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48" documentId="13_ncr:1_{ED0704F7-267B-44E9-B05C-68CB6FBFD63F}" xr6:coauthVersionLast="47" xr6:coauthVersionMax="47" xr10:uidLastSave="{C9D0FA13-0D35-46B3-A142-C1CABD55F090}"/>
  <bookViews>
    <workbookView minimized="1" xWindow="14745" yWindow="345" windowWidth="28800" windowHeight="22170" tabRatio="828" activeTab="1" xr2:uid="{76D8B127-F22E-4191-BFCA-2B9A6AA03022}"/>
  </bookViews>
  <sheets>
    <sheet name="Legend" sheetId="31" r:id="rId1"/>
    <sheet name="Transfer costs" sheetId="30" r:id="rId2"/>
    <sheet name="Parameter Input" sheetId="2"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9" i="30" l="1"/>
  <c r="B98" i="30"/>
  <c r="L16" i="30"/>
  <c r="L15" i="30"/>
  <c r="L14" i="30"/>
  <c r="B96" i="30"/>
  <c r="L13" i="30"/>
  <c r="L12" i="30"/>
  <c r="L11" i="30"/>
  <c r="B95" i="30"/>
  <c r="L10" i="30"/>
  <c r="L9" i="30"/>
  <c r="L8" i="30"/>
  <c r="L7" i="30"/>
  <c r="L4" i="30"/>
  <c r="L3" i="30"/>
  <c r="L2" i="30"/>
  <c r="C363" i="26" l="1"/>
  <c r="D363" i="26"/>
  <c r="E363" i="26"/>
  <c r="F363" i="26"/>
  <c r="G363" i="26"/>
  <c r="H363" i="26"/>
  <c r="I363" i="26"/>
  <c r="J363" i="26"/>
  <c r="K363" i="26"/>
  <c r="L363" i="26"/>
  <c r="M363" i="26"/>
  <c r="N363" i="26"/>
  <c r="O363" i="26"/>
  <c r="P363" i="26"/>
  <c r="Q363" i="26"/>
  <c r="R363" i="26"/>
  <c r="S363" i="26"/>
  <c r="T363" i="26"/>
  <c r="U363" i="26"/>
  <c r="V363" i="26"/>
  <c r="W363" i="26"/>
  <c r="X363" i="26"/>
  <c r="Y363" i="26"/>
  <c r="Z363" i="26"/>
  <c r="AA363" i="26"/>
  <c r="AB363" i="26"/>
  <c r="AC363" i="26"/>
  <c r="B363" i="26"/>
  <c r="C254" i="26"/>
  <c r="D254" i="26"/>
  <c r="E254" i="26"/>
  <c r="F254" i="26"/>
  <c r="G254" i="26"/>
  <c r="H254" i="26"/>
  <c r="I254" i="26"/>
  <c r="J254" i="26"/>
  <c r="K254" i="26"/>
  <c r="L254" i="26"/>
  <c r="M254" i="26"/>
  <c r="N254" i="26"/>
  <c r="O254" i="26"/>
  <c r="P254" i="26"/>
  <c r="Q254" i="26"/>
  <c r="R254" i="26"/>
  <c r="S254" i="26"/>
  <c r="T254" i="26"/>
  <c r="U254" i="26"/>
  <c r="V254" i="26"/>
  <c r="W254" i="26"/>
  <c r="X254" i="26"/>
  <c r="Y254" i="26"/>
  <c r="Z254" i="26"/>
  <c r="AA254" i="26"/>
  <c r="AB254" i="26"/>
  <c r="AC254" i="26"/>
  <c r="B254" i="26"/>
  <c r="C146"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B146" i="26"/>
  <c r="C40"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B40" i="26"/>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B363"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B254"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B146"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B40" i="25"/>
  <c r="C363" i="24"/>
  <c r="D363" i="24"/>
  <c r="E363" i="24"/>
  <c r="F363" i="24"/>
  <c r="G363" i="24"/>
  <c r="H363" i="24"/>
  <c r="I363" i="24"/>
  <c r="J363" i="24"/>
  <c r="K363" i="24"/>
  <c r="L363" i="24"/>
  <c r="M363" i="24"/>
  <c r="N363" i="24"/>
  <c r="O363" i="24"/>
  <c r="P363" i="24"/>
  <c r="Q363" i="24"/>
  <c r="R363" i="24"/>
  <c r="S363" i="24"/>
  <c r="T363" i="24"/>
  <c r="U363" i="24"/>
  <c r="V363" i="24"/>
  <c r="W363" i="24"/>
  <c r="X363" i="24"/>
  <c r="Y363" i="24"/>
  <c r="Z363" i="24"/>
  <c r="AA363" i="24"/>
  <c r="AB363" i="24"/>
  <c r="AC363" i="24"/>
  <c r="B363" i="24"/>
  <c r="C254" i="24"/>
  <c r="D254" i="24"/>
  <c r="E254" i="24"/>
  <c r="F254" i="24"/>
  <c r="G254" i="24"/>
  <c r="H254" i="24"/>
  <c r="I254" i="24"/>
  <c r="J254" i="24"/>
  <c r="K254" i="24"/>
  <c r="L254" i="24"/>
  <c r="M254" i="24"/>
  <c r="N254" i="24"/>
  <c r="O254" i="24"/>
  <c r="P254" i="24"/>
  <c r="Q254" i="24"/>
  <c r="R254" i="24"/>
  <c r="S254" i="24"/>
  <c r="T254" i="24"/>
  <c r="U254" i="24"/>
  <c r="V254" i="24"/>
  <c r="W254" i="24"/>
  <c r="X254" i="24"/>
  <c r="Y254" i="24"/>
  <c r="Z254" i="24"/>
  <c r="AA254" i="24"/>
  <c r="AB254" i="24"/>
  <c r="AC254" i="24"/>
  <c r="B254" i="24"/>
  <c r="C146"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B146"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B40" i="24"/>
  <c r="C468" i="23"/>
  <c r="D468" i="23"/>
  <c r="E468" i="23"/>
  <c r="F468" i="23"/>
  <c r="G468" i="23"/>
  <c r="H468" i="23"/>
  <c r="I468" i="23"/>
  <c r="J468" i="23"/>
  <c r="K468" i="23"/>
  <c r="L468" i="23"/>
  <c r="M468" i="23"/>
  <c r="N468" i="23"/>
  <c r="O468" i="23"/>
  <c r="P468" i="23"/>
  <c r="Q468" i="23"/>
  <c r="R468" i="23"/>
  <c r="S468" i="23"/>
  <c r="T468" i="23"/>
  <c r="U468" i="23"/>
  <c r="V468" i="23"/>
  <c r="W468" i="23"/>
  <c r="X468" i="23"/>
  <c r="Y468" i="23"/>
  <c r="Z468" i="23"/>
  <c r="AA468" i="23"/>
  <c r="AB468" i="23"/>
  <c r="AC468" i="23"/>
  <c r="B468" i="23"/>
  <c r="C363" i="23"/>
  <c r="D363" i="23"/>
  <c r="E363" i="23"/>
  <c r="F363" i="23"/>
  <c r="G363" i="23"/>
  <c r="H363" i="23"/>
  <c r="I363" i="23"/>
  <c r="J363" i="23"/>
  <c r="K363" i="23"/>
  <c r="L363" i="23"/>
  <c r="M363" i="23"/>
  <c r="N363" i="23"/>
  <c r="O363" i="23"/>
  <c r="P363" i="23"/>
  <c r="Q363" i="23"/>
  <c r="R363" i="23"/>
  <c r="S363" i="23"/>
  <c r="T363" i="23"/>
  <c r="U363" i="23"/>
  <c r="V363" i="23"/>
  <c r="W363" i="23"/>
  <c r="X363" i="23"/>
  <c r="Y363" i="23"/>
  <c r="Z363" i="23"/>
  <c r="AA363" i="23"/>
  <c r="AB363" i="23"/>
  <c r="AC363" i="23"/>
  <c r="B363" i="23"/>
  <c r="C254" i="23"/>
  <c r="D254" i="23"/>
  <c r="E254" i="23"/>
  <c r="F254" i="23"/>
  <c r="G254" i="23"/>
  <c r="H254" i="23"/>
  <c r="I254" i="23"/>
  <c r="J254" i="23"/>
  <c r="K254" i="23"/>
  <c r="L254" i="23"/>
  <c r="M254" i="23"/>
  <c r="N254" i="23"/>
  <c r="O254" i="23"/>
  <c r="P254" i="23"/>
  <c r="Q254" i="23"/>
  <c r="R254" i="23"/>
  <c r="S254" i="23"/>
  <c r="T254" i="23"/>
  <c r="U254" i="23"/>
  <c r="V254" i="23"/>
  <c r="W254" i="23"/>
  <c r="X254" i="23"/>
  <c r="Y254" i="23"/>
  <c r="Z254" i="23"/>
  <c r="AA254" i="23"/>
  <c r="AB254" i="23"/>
  <c r="AC254" i="23"/>
  <c r="B254" i="23"/>
  <c r="C146"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B146"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B40" i="23"/>
  <c r="C468" i="22"/>
  <c r="D468" i="22"/>
  <c r="E468" i="22"/>
  <c r="F468" i="22"/>
  <c r="G468" i="22"/>
  <c r="H468" i="22"/>
  <c r="I468" i="22"/>
  <c r="J468" i="22"/>
  <c r="K468" i="22"/>
  <c r="L468" i="22"/>
  <c r="M468" i="22"/>
  <c r="N468" i="22"/>
  <c r="O468" i="22"/>
  <c r="P468" i="22"/>
  <c r="Q468" i="22"/>
  <c r="R468" i="22"/>
  <c r="S468" i="22"/>
  <c r="T468" i="22"/>
  <c r="U468" i="22"/>
  <c r="V468" i="22"/>
  <c r="W468" i="22"/>
  <c r="X468" i="22"/>
  <c r="Y468" i="22"/>
  <c r="Z468" i="22"/>
  <c r="AA468" i="22"/>
  <c r="AB468" i="22"/>
  <c r="AC468" i="22"/>
  <c r="B468" i="22"/>
  <c r="C363" i="22"/>
  <c r="D363" i="22"/>
  <c r="E363" i="22"/>
  <c r="F363" i="22"/>
  <c r="G363" i="22"/>
  <c r="H363" i="22"/>
  <c r="I363" i="22"/>
  <c r="J363" i="22"/>
  <c r="K363" i="22"/>
  <c r="L363" i="22"/>
  <c r="M363" i="22"/>
  <c r="N363" i="22"/>
  <c r="O363" i="22"/>
  <c r="P363" i="22"/>
  <c r="Q363" i="22"/>
  <c r="R363" i="22"/>
  <c r="S363" i="22"/>
  <c r="T363" i="22"/>
  <c r="U363" i="22"/>
  <c r="V363" i="22"/>
  <c r="W363" i="22"/>
  <c r="X363" i="22"/>
  <c r="Y363" i="22"/>
  <c r="Z363" i="22"/>
  <c r="AA363" i="22"/>
  <c r="AB363" i="22"/>
  <c r="AC363" i="22"/>
  <c r="B363" i="22"/>
  <c r="C254" i="22"/>
  <c r="D254" i="22"/>
  <c r="E254" i="22"/>
  <c r="F254" i="22"/>
  <c r="G254" i="22"/>
  <c r="H254" i="22"/>
  <c r="I254" i="22"/>
  <c r="J254" i="22"/>
  <c r="K254" i="22"/>
  <c r="L254" i="22"/>
  <c r="M254" i="22"/>
  <c r="N254" i="22"/>
  <c r="O254" i="22"/>
  <c r="P254" i="22"/>
  <c r="Q254" i="22"/>
  <c r="R254" i="22"/>
  <c r="S254" i="22"/>
  <c r="T254" i="22"/>
  <c r="U254" i="22"/>
  <c r="V254" i="22"/>
  <c r="W254" i="22"/>
  <c r="X254" i="22"/>
  <c r="Y254" i="22"/>
  <c r="Z254" i="22"/>
  <c r="AA254" i="22"/>
  <c r="AB254" i="22"/>
  <c r="AC254" i="22"/>
  <c r="B254" i="22"/>
  <c r="AB146" i="22"/>
  <c r="AC146" i="22"/>
  <c r="C146"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B146"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B40" i="22"/>
  <c r="C468" i="21"/>
  <c r="D468" i="21"/>
  <c r="E468" i="21"/>
  <c r="F468" i="21"/>
  <c r="G468" i="21"/>
  <c r="H468" i="21"/>
  <c r="I468" i="21"/>
  <c r="J468" i="21"/>
  <c r="K468" i="21"/>
  <c r="L468" i="21"/>
  <c r="M468" i="21"/>
  <c r="N468" i="21"/>
  <c r="O468" i="21"/>
  <c r="P468" i="21"/>
  <c r="Q468" i="21"/>
  <c r="R468" i="21"/>
  <c r="S468" i="21"/>
  <c r="T468" i="21"/>
  <c r="U468" i="21"/>
  <c r="V468" i="21"/>
  <c r="W468" i="21"/>
  <c r="X468" i="21"/>
  <c r="Y468" i="21"/>
  <c r="Z468" i="21"/>
  <c r="AA468" i="21"/>
  <c r="AB468" i="21"/>
  <c r="AC468" i="21"/>
  <c r="B468" i="21"/>
  <c r="C363" i="21"/>
  <c r="D363" i="21"/>
  <c r="E363" i="21"/>
  <c r="F363" i="21"/>
  <c r="G363" i="21"/>
  <c r="H363" i="21"/>
  <c r="I363" i="21"/>
  <c r="J363" i="21"/>
  <c r="K363" i="21"/>
  <c r="L363" i="21"/>
  <c r="M363" i="21"/>
  <c r="N363" i="21"/>
  <c r="O363" i="21"/>
  <c r="P363" i="21"/>
  <c r="Q363" i="21"/>
  <c r="R363" i="21"/>
  <c r="S363" i="21"/>
  <c r="T363" i="21"/>
  <c r="U363" i="21"/>
  <c r="V363" i="21"/>
  <c r="W363" i="21"/>
  <c r="X363" i="21"/>
  <c r="Y363" i="21"/>
  <c r="Z363" i="21"/>
  <c r="AA363" i="21"/>
  <c r="AB363" i="21"/>
  <c r="AC363" i="21"/>
  <c r="B363" i="21"/>
  <c r="C254"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B254" i="21"/>
  <c r="C146"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B146"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B40" i="21"/>
  <c r="C468" i="20"/>
  <c r="D468" i="20"/>
  <c r="E468" i="20"/>
  <c r="F468" i="20"/>
  <c r="G468" i="20"/>
  <c r="H468" i="20"/>
  <c r="I468" i="20"/>
  <c r="J468" i="20"/>
  <c r="K468" i="20"/>
  <c r="L468" i="20"/>
  <c r="M468" i="20"/>
  <c r="N468" i="20"/>
  <c r="O468" i="20"/>
  <c r="P468" i="20"/>
  <c r="Q468" i="20"/>
  <c r="R468" i="20"/>
  <c r="S468" i="20"/>
  <c r="T468" i="20"/>
  <c r="U468" i="20"/>
  <c r="V468" i="20"/>
  <c r="W468" i="20"/>
  <c r="X468" i="20"/>
  <c r="Y468" i="20"/>
  <c r="Z468" i="20"/>
  <c r="AA468" i="20"/>
  <c r="AB468" i="20"/>
  <c r="AC468" i="20"/>
  <c r="B468" i="20"/>
  <c r="C363" i="20"/>
  <c r="D363" i="20"/>
  <c r="E363" i="20"/>
  <c r="F363" i="20"/>
  <c r="G363" i="20"/>
  <c r="H363" i="20"/>
  <c r="I363" i="20"/>
  <c r="J363" i="20"/>
  <c r="K363" i="20"/>
  <c r="L363" i="20"/>
  <c r="M363" i="20"/>
  <c r="N363" i="20"/>
  <c r="O363" i="20"/>
  <c r="P363" i="20"/>
  <c r="Q363" i="20"/>
  <c r="R363" i="20"/>
  <c r="S363" i="20"/>
  <c r="T363" i="20"/>
  <c r="U363" i="20"/>
  <c r="V363" i="20"/>
  <c r="W363" i="20"/>
  <c r="X363" i="20"/>
  <c r="Y363" i="20"/>
  <c r="Z363" i="20"/>
  <c r="AA363" i="20"/>
  <c r="AB363" i="20"/>
  <c r="AC363" i="20"/>
  <c r="B363" i="20"/>
  <c r="C254" i="20"/>
  <c r="D254" i="20"/>
  <c r="E254" i="20"/>
  <c r="F254" i="20"/>
  <c r="G254" i="20"/>
  <c r="H254" i="20"/>
  <c r="I254" i="20"/>
  <c r="J254" i="20"/>
  <c r="K254" i="20"/>
  <c r="L254" i="20"/>
  <c r="M254" i="20"/>
  <c r="N254" i="20"/>
  <c r="O254" i="20"/>
  <c r="P254" i="20"/>
  <c r="Q254" i="20"/>
  <c r="R254" i="20"/>
  <c r="S254" i="20"/>
  <c r="T254" i="20"/>
  <c r="U254" i="20"/>
  <c r="V254" i="20"/>
  <c r="W254" i="20"/>
  <c r="X254" i="20"/>
  <c r="Y254" i="20"/>
  <c r="Z254" i="20"/>
  <c r="AA254" i="20"/>
  <c r="AB254" i="20"/>
  <c r="AC254" i="20"/>
  <c r="B254" i="20"/>
  <c r="AC146" i="20"/>
  <c r="C146" i="20"/>
  <c r="D146" i="20"/>
  <c r="E146" i="20"/>
  <c r="F146" i="20"/>
  <c r="G146" i="20"/>
  <c r="H146" i="20"/>
  <c r="I146" i="20"/>
  <c r="J146" i="20"/>
  <c r="K146" i="20"/>
  <c r="L146" i="20"/>
  <c r="M146" i="20"/>
  <c r="N146" i="20"/>
  <c r="O146" i="20"/>
  <c r="P146" i="20"/>
  <c r="Q146" i="20"/>
  <c r="R146" i="20"/>
  <c r="S146" i="20"/>
  <c r="T146" i="20"/>
  <c r="U146" i="20"/>
  <c r="V146" i="20"/>
  <c r="W146" i="20"/>
  <c r="X146" i="20"/>
  <c r="Y146" i="20"/>
  <c r="Z146" i="20"/>
  <c r="AA146" i="20"/>
  <c r="AB146" i="20"/>
  <c r="B146" i="20"/>
  <c r="C40" i="20"/>
  <c r="D40"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B40" i="20"/>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AC468" i="19"/>
  <c r="B468"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AC363" i="19"/>
  <c r="B363"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AC254" i="19"/>
  <c r="B254"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B146" i="19"/>
  <c r="B40" i="19"/>
  <c r="C363" i="32"/>
  <c r="D363" i="32"/>
  <c r="E363" i="32"/>
  <c r="F363" i="32"/>
  <c r="G363" i="32"/>
  <c r="H363" i="32"/>
  <c r="I363" i="32"/>
  <c r="J363" i="32"/>
  <c r="K363" i="32"/>
  <c r="L363" i="32"/>
  <c r="M363" i="32"/>
  <c r="N363" i="32"/>
  <c r="O363" i="32"/>
  <c r="P363" i="32"/>
  <c r="Q363" i="32"/>
  <c r="R363" i="32"/>
  <c r="S363" i="32"/>
  <c r="T363" i="32"/>
  <c r="U363" i="32"/>
  <c r="V363" i="32"/>
  <c r="W363" i="32"/>
  <c r="X363" i="32"/>
  <c r="Y363" i="32"/>
  <c r="Z363" i="32"/>
  <c r="AA363" i="32"/>
  <c r="AB363" i="32"/>
  <c r="AC363" i="32"/>
  <c r="B363" i="32"/>
  <c r="C254" i="32"/>
  <c r="D254" i="32"/>
  <c r="E254" i="32"/>
  <c r="F254" i="32"/>
  <c r="G254" i="32"/>
  <c r="H254" i="32"/>
  <c r="I254" i="32"/>
  <c r="J254" i="32"/>
  <c r="K254" i="32"/>
  <c r="L254" i="32"/>
  <c r="M254" i="32"/>
  <c r="N254" i="32"/>
  <c r="O254" i="32"/>
  <c r="P254" i="32"/>
  <c r="Q254" i="32"/>
  <c r="R254" i="32"/>
  <c r="S254" i="32"/>
  <c r="T254" i="32"/>
  <c r="U254" i="32"/>
  <c r="V254" i="32"/>
  <c r="W254" i="32"/>
  <c r="X254" i="32"/>
  <c r="Y254" i="32"/>
  <c r="Z254" i="32"/>
  <c r="AA254" i="32"/>
  <c r="AB254" i="32"/>
  <c r="AC254" i="32"/>
  <c r="B254" i="32"/>
  <c r="C146" i="32"/>
  <c r="D146" i="32"/>
  <c r="E146" i="32"/>
  <c r="F146" i="32"/>
  <c r="G146" i="32"/>
  <c r="H146" i="32"/>
  <c r="I146" i="32"/>
  <c r="J146" i="32"/>
  <c r="K146" i="32"/>
  <c r="L146" i="32"/>
  <c r="M146" i="32"/>
  <c r="N146" i="32"/>
  <c r="O146" i="32"/>
  <c r="P146" i="32"/>
  <c r="Q146" i="32"/>
  <c r="R146" i="32"/>
  <c r="S146" i="32"/>
  <c r="T146" i="32"/>
  <c r="U146" i="32"/>
  <c r="V146" i="32"/>
  <c r="W146" i="32"/>
  <c r="X146" i="32"/>
  <c r="Y146" i="32"/>
  <c r="Z146" i="32"/>
  <c r="AA146" i="32"/>
  <c r="AB146" i="32"/>
  <c r="AC146" i="32"/>
  <c r="B146" i="32"/>
  <c r="C40" i="32"/>
  <c r="D40"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B40" i="32"/>
  <c r="C363" i="13"/>
  <c r="D363"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B363" i="13"/>
  <c r="C254" i="13"/>
  <c r="D254"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B254" i="13"/>
  <c r="C146"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B146"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B40" i="13"/>
  <c r="C468" i="9"/>
  <c r="D468" i="9"/>
  <c r="E468" i="9"/>
  <c r="F468" i="9"/>
  <c r="G468" i="9"/>
  <c r="H468" i="9"/>
  <c r="I468" i="9"/>
  <c r="J468" i="9"/>
  <c r="K468" i="9"/>
  <c r="L468" i="9"/>
  <c r="M468" i="9"/>
  <c r="N468" i="9"/>
  <c r="O468" i="9"/>
  <c r="P468" i="9"/>
  <c r="Q468" i="9"/>
  <c r="R468" i="9"/>
  <c r="S468" i="9"/>
  <c r="T468" i="9"/>
  <c r="U468" i="9"/>
  <c r="V468" i="9"/>
  <c r="W468" i="9"/>
  <c r="X468" i="9"/>
  <c r="Y468" i="9"/>
  <c r="Z468" i="9"/>
  <c r="AA468" i="9"/>
  <c r="AB468" i="9"/>
  <c r="AC468" i="9"/>
  <c r="B468" i="9"/>
  <c r="C363" i="9"/>
  <c r="D363" i="9"/>
  <c r="E363" i="9"/>
  <c r="F363" i="9"/>
  <c r="G363" i="9"/>
  <c r="H363" i="9"/>
  <c r="I363" i="9"/>
  <c r="J363" i="9"/>
  <c r="K363" i="9"/>
  <c r="L363" i="9"/>
  <c r="M363" i="9"/>
  <c r="N363" i="9"/>
  <c r="O363" i="9"/>
  <c r="P363" i="9"/>
  <c r="Q363" i="9"/>
  <c r="R363" i="9"/>
  <c r="S363" i="9"/>
  <c r="T363" i="9"/>
  <c r="U363" i="9"/>
  <c r="V363" i="9"/>
  <c r="W363" i="9"/>
  <c r="X363" i="9"/>
  <c r="Y363" i="9"/>
  <c r="Z363" i="9"/>
  <c r="AA363" i="9"/>
  <c r="AB363" i="9"/>
  <c r="AC363" i="9"/>
  <c r="B363" i="9"/>
  <c r="C254" i="9"/>
  <c r="D254" i="9"/>
  <c r="E254" i="9"/>
  <c r="F254" i="9"/>
  <c r="G254" i="9"/>
  <c r="H254" i="9"/>
  <c r="I254" i="9"/>
  <c r="J254" i="9"/>
  <c r="K254" i="9"/>
  <c r="L254" i="9"/>
  <c r="M254" i="9"/>
  <c r="N254" i="9"/>
  <c r="O254" i="9"/>
  <c r="P254" i="9"/>
  <c r="Q254" i="9"/>
  <c r="R254" i="9"/>
  <c r="S254" i="9"/>
  <c r="T254" i="9"/>
  <c r="U254" i="9"/>
  <c r="V254" i="9"/>
  <c r="W254" i="9"/>
  <c r="X254" i="9"/>
  <c r="Y254" i="9"/>
  <c r="Z254" i="9"/>
  <c r="AA254" i="9"/>
  <c r="AB254" i="9"/>
  <c r="AC254" i="9"/>
  <c r="B254" i="9"/>
  <c r="C146" i="9"/>
  <c r="D146" i="9"/>
  <c r="E146" i="9"/>
  <c r="F146" i="9"/>
  <c r="G146" i="9"/>
  <c r="H146" i="9"/>
  <c r="I146" i="9"/>
  <c r="J146" i="9"/>
  <c r="K146" i="9"/>
  <c r="L146" i="9"/>
  <c r="M146" i="9"/>
  <c r="N146" i="9"/>
  <c r="O146" i="9"/>
  <c r="P146" i="9"/>
  <c r="Q146" i="9"/>
  <c r="R146" i="9"/>
  <c r="S146" i="9"/>
  <c r="T146" i="9"/>
  <c r="U146" i="9"/>
  <c r="V146" i="9"/>
  <c r="W146" i="9"/>
  <c r="X146" i="9"/>
  <c r="Y146" i="9"/>
  <c r="Z146" i="9"/>
  <c r="AA146" i="9"/>
  <c r="AB146" i="9"/>
  <c r="AC146" i="9"/>
  <c r="B146"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B40" i="9"/>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B468" i="3"/>
  <c r="C254"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B254"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B146"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B363" i="3"/>
  <c r="C363" i="3"/>
  <c r="D363" i="3"/>
  <c r="E363" i="3"/>
  <c r="F363" i="3"/>
  <c r="G363" i="3"/>
  <c r="H363" i="3"/>
  <c r="I363" i="3"/>
  <c r="J363" i="3"/>
  <c r="K363" i="3"/>
  <c r="L363" i="3"/>
  <c r="M363" i="3"/>
  <c r="N363" i="3"/>
  <c r="O363" i="3"/>
  <c r="P363" i="3"/>
  <c r="Q363" i="3"/>
  <c r="R363" i="3"/>
  <c r="S363" i="3"/>
  <c r="T363" i="3"/>
  <c r="U363" i="3"/>
  <c r="V363" i="3"/>
  <c r="W363" i="3"/>
  <c r="X363" i="3"/>
  <c r="Y363" i="3"/>
  <c r="Z363" i="3"/>
  <c r="AA363" i="3"/>
  <c r="AB363" i="3"/>
  <c r="AC363" i="3"/>
  <c r="F43" i="30" l="1"/>
  <c r="F16" i="30"/>
  <c r="F15" i="30"/>
  <c r="F14" i="30"/>
  <c r="F13" i="30"/>
  <c r="F12" i="30"/>
  <c r="F11" i="30"/>
  <c r="F10" i="30"/>
  <c r="F9" i="30"/>
  <c r="F8" i="30"/>
  <c r="F7" i="30"/>
  <c r="F6" i="30"/>
  <c r="F5" i="30"/>
  <c r="F4" i="30"/>
  <c r="F3" i="30"/>
  <c r="F2" i="30"/>
  <c r="AJ478" i="34" l="1"/>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66" i="2" l="1"/>
  <c r="N266" i="2"/>
  <c r="O266" i="2"/>
  <c r="P266" i="2"/>
  <c r="Q266" i="2"/>
  <c r="L266" i="2"/>
  <c r="M254" i="2"/>
  <c r="N254" i="2"/>
  <c r="O254" i="2"/>
  <c r="P254" i="2"/>
  <c r="Q254" i="2"/>
  <c r="L254" i="2"/>
  <c r="Q242" i="2"/>
  <c r="P242" i="2"/>
  <c r="O242" i="2"/>
  <c r="N242" i="2"/>
  <c r="M242" i="2"/>
  <c r="L242" i="2"/>
  <c r="M188" i="2"/>
  <c r="N188" i="2"/>
  <c r="O188" i="2"/>
  <c r="P188" i="2"/>
  <c r="Q188" i="2"/>
  <c r="L188" i="2"/>
  <c r="Q106" i="2"/>
  <c r="P106" i="2"/>
  <c r="O106" i="2"/>
  <c r="N106" i="2"/>
  <c r="M106" i="2"/>
  <c r="L106" i="2"/>
  <c r="M176" i="2"/>
  <c r="N176" i="2"/>
  <c r="O176" i="2"/>
  <c r="P176" i="2"/>
  <c r="Q176" i="2"/>
  <c r="L176" i="2"/>
  <c r="M164" i="2"/>
  <c r="N164" i="2"/>
  <c r="O164" i="2"/>
  <c r="P164" i="2"/>
  <c r="Q164" i="2"/>
  <c r="L164" i="2"/>
  <c r="M94" i="2"/>
  <c r="N94" i="2"/>
  <c r="O94" i="2"/>
  <c r="P94" i="2"/>
  <c r="Q94" i="2"/>
  <c r="L94" i="2"/>
  <c r="M229" i="2"/>
  <c r="N229" i="2"/>
  <c r="O229" i="2"/>
  <c r="P229" i="2"/>
  <c r="Q229" i="2"/>
  <c r="L229" i="2"/>
  <c r="M217" i="2"/>
  <c r="N217" i="2"/>
  <c r="O217" i="2"/>
  <c r="P217" i="2"/>
  <c r="Q217" i="2"/>
  <c r="L217" i="2"/>
  <c r="Q82" i="2"/>
  <c r="P82" i="2"/>
  <c r="O82" i="2"/>
  <c r="M82" i="2"/>
  <c r="L82" i="2"/>
  <c r="C253" i="2" l="1"/>
  <c r="B253" i="2"/>
  <c r="I26" i="30" s="1"/>
  <c r="C240" i="2"/>
  <c r="B240" i="2"/>
  <c r="I24" i="30" s="1"/>
  <c r="C228" i="2"/>
  <c r="B228" i="2"/>
  <c r="I23" i="30" s="1"/>
  <c r="C216" i="2"/>
  <c r="B216" i="2"/>
  <c r="I25" i="30" s="1"/>
  <c r="C207" i="2"/>
  <c r="C198" i="2"/>
  <c r="B198" i="2"/>
  <c r="I31" i="30" s="1"/>
  <c r="C187" i="2"/>
  <c r="B187" i="2"/>
  <c r="C175" i="2"/>
  <c r="B175" i="2"/>
  <c r="C163" i="2"/>
  <c r="B163" i="2"/>
  <c r="C151" i="2"/>
  <c r="B151" i="2"/>
  <c r="C141" i="2"/>
  <c r="C72" i="2"/>
  <c r="C133" i="2"/>
  <c r="B133" i="2"/>
  <c r="I37" i="30" s="1"/>
  <c r="C119" i="2"/>
  <c r="B119" i="2"/>
  <c r="I35" i="30" s="1"/>
  <c r="C106" i="2"/>
  <c r="B106" i="2"/>
  <c r="I34" i="30" s="1"/>
  <c r="C93" i="2"/>
  <c r="B93" i="2"/>
  <c r="C81" i="2"/>
  <c r="B81" i="2"/>
  <c r="I36" i="30" s="1"/>
  <c r="G3" i="30" l="1"/>
  <c r="H3" i="30" s="1"/>
  <c r="G9" i="30"/>
  <c r="H9" i="30" s="1"/>
  <c r="J7" i="30"/>
  <c r="I38" i="30"/>
  <c r="G12" i="30"/>
  <c r="H12" i="30" s="1"/>
  <c r="G16" i="30"/>
  <c r="H16" i="30" s="1"/>
  <c r="G15" i="30"/>
  <c r="H15" i="30" s="1"/>
  <c r="G14" i="30"/>
  <c r="H14" i="30" s="1"/>
  <c r="I9" i="30"/>
  <c r="I8" i="30"/>
  <c r="I2" i="30"/>
  <c r="I3" i="30"/>
  <c r="I11" i="30"/>
  <c r="I12" i="30"/>
  <c r="J9" i="30"/>
  <c r="J10" i="30"/>
  <c r="J14" i="30"/>
  <c r="I16" i="30"/>
  <c r="J3" i="30"/>
  <c r="J4" i="30"/>
  <c r="I15" i="30"/>
  <c r="I14" i="30"/>
  <c r="J15" i="30"/>
  <c r="J16" i="30"/>
  <c r="J13" i="30"/>
  <c r="J12" i="30"/>
  <c r="H46" i="29"/>
  <c r="H45" i="29"/>
  <c r="H44" i="29"/>
  <c r="H42" i="29"/>
  <c r="G46" i="29"/>
  <c r="G45" i="29"/>
  <c r="G44" i="29"/>
  <c r="G42" i="29"/>
  <c r="X149" i="2"/>
  <c r="K14" i="30" l="1"/>
  <c r="K12" i="30"/>
  <c r="K15" i="30"/>
  <c r="K3" i="30"/>
  <c r="K16" i="30"/>
  <c r="K9" i="30"/>
  <c r="A38" i="32"/>
  <c r="A56" i="32" s="1"/>
  <c r="M252" i="2"/>
  <c r="L252" i="2"/>
  <c r="M240" i="2"/>
  <c r="L240" i="2"/>
  <c r="M264" i="2"/>
  <c r="L264" i="2"/>
  <c r="M227" i="2"/>
  <c r="L227" i="2"/>
  <c r="M215" i="2"/>
  <c r="L215" i="2"/>
  <c r="C251" i="2"/>
  <c r="B251" i="2"/>
  <c r="C238" i="2"/>
  <c r="B238" i="2"/>
  <c r="C226" i="2"/>
  <c r="B226" i="2"/>
  <c r="C214" i="2"/>
  <c r="B214" i="2"/>
  <c r="C256" i="2"/>
  <c r="B256" i="2"/>
  <c r="C243" i="2"/>
  <c r="B243" i="2"/>
  <c r="C231" i="2"/>
  <c r="B231" i="2"/>
  <c r="C219" i="2"/>
  <c r="B219" i="2"/>
  <c r="AG60" i="32" l="1"/>
  <c r="E220" i="2"/>
  <c r="M261" i="2" l="1"/>
  <c r="L261" i="2"/>
  <c r="L249" i="2"/>
  <c r="M249" i="2"/>
  <c r="M237" i="2"/>
  <c r="L237"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214" i="2"/>
  <c r="AD215" i="2" s="1"/>
  <c r="AD211" i="2"/>
  <c r="AC211" i="2"/>
  <c r="Q232" i="2"/>
  <c r="P232" i="2"/>
  <c r="O232" i="2"/>
  <c r="M225" i="2"/>
  <c r="C226" i="32" s="1"/>
  <c r="L225" i="2"/>
  <c r="B335" i="32" s="1"/>
  <c r="B147" i="2"/>
  <c r="L171" i="2"/>
  <c r="A399" i="32" l="1"/>
  <c r="F42" i="29"/>
  <c r="J42" i="29" s="1"/>
  <c r="F43" i="29"/>
  <c r="F44" i="29"/>
  <c r="J44" i="29" s="1"/>
  <c r="F45" i="29"/>
  <c r="J45" i="29" s="1"/>
  <c r="F46" i="29"/>
  <c r="J46" i="29" s="1"/>
  <c r="AK126" i="32"/>
  <c r="AD229" i="32"/>
  <c r="O249" i="32" s="1"/>
  <c r="A279" i="32"/>
  <c r="A280" i="32"/>
  <c r="AD216" i="2"/>
  <c r="M232" i="2" s="1"/>
  <c r="C21" i="32" s="1"/>
  <c r="AK232" i="32"/>
  <c r="AF233" i="32"/>
  <c r="Q253" i="32" s="1"/>
  <c r="U350" i="32"/>
  <c r="F370" i="32" s="1"/>
  <c r="S346" i="32"/>
  <c r="D366" i="32" s="1"/>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V133" i="32"/>
  <c r="G153" i="32" s="1"/>
  <c r="AK334" i="32"/>
  <c r="V354" i="32" s="1"/>
  <c r="Z11" i="32"/>
  <c r="K31" i="32" s="1"/>
  <c r="W22" i="32"/>
  <c r="H42" i="32" s="1"/>
  <c r="AQ26" i="32"/>
  <c r="S119" i="32"/>
  <c r="D139" i="32" s="1"/>
  <c r="AB225" i="32"/>
  <c r="M245" i="32" s="1"/>
  <c r="AC120" i="32"/>
  <c r="AG122" i="32"/>
  <c r="R142" i="32" s="1"/>
  <c r="AA339" i="32"/>
  <c r="L359" i="32" s="1"/>
  <c r="AC343" i="32"/>
  <c r="AF19" i="32"/>
  <c r="Q39" i="32" s="1"/>
  <c r="AC128" i="32"/>
  <c r="AN338" i="32"/>
  <c r="Y358" i="32" s="1"/>
  <c r="AF11" i="32"/>
  <c r="Q31" i="32" s="1"/>
  <c r="AI18" i="32"/>
  <c r="T38" i="32" s="1"/>
  <c r="AI26" i="32"/>
  <c r="AB129" i="32"/>
  <c r="M149" i="32" s="1"/>
  <c r="AR130" i="32"/>
  <c r="AC150" i="32" s="1"/>
  <c r="AB132" i="32"/>
  <c r="AA231" i="32"/>
  <c r="L251" i="32" s="1"/>
  <c r="AH126" i="32"/>
  <c r="AL128" i="32"/>
  <c r="W148" i="32" s="1"/>
  <c r="AN228" i="32"/>
  <c r="AP233" i="32"/>
  <c r="AA253" i="32" s="1"/>
  <c r="AD334" i="32"/>
  <c r="O354" i="32" s="1"/>
  <c r="T337" i="32"/>
  <c r="AN339" i="32"/>
  <c r="AI341" i="32"/>
  <c r="AL343" i="32"/>
  <c r="C118" i="32"/>
  <c r="S126" i="32"/>
  <c r="AL225" i="32"/>
  <c r="W245" i="32" s="1"/>
  <c r="U233" i="32"/>
  <c r="F253" i="32" s="1"/>
  <c r="R225" i="32"/>
  <c r="C245" i="32" s="1"/>
  <c r="AP236" i="32"/>
  <c r="AA256" i="32" s="1"/>
  <c r="AK339" i="32"/>
  <c r="AD349" i="32"/>
  <c r="AC215" i="2"/>
  <c r="AN11" i="32"/>
  <c r="Y31" i="32" s="1"/>
  <c r="AD117" i="32"/>
  <c r="O137" i="32" s="1"/>
  <c r="AD130" i="32"/>
  <c r="O150" i="32" s="1"/>
  <c r="Z236" i="32"/>
  <c r="K256" i="32" s="1"/>
  <c r="AO341" i="32"/>
  <c r="Z361" i="32" s="1"/>
  <c r="AO340" i="32"/>
  <c r="Z360" i="32" s="1"/>
  <c r="AB20" i="32"/>
  <c r="AN24" i="32"/>
  <c r="Y44" i="32" s="1"/>
  <c r="AK118" i="32"/>
  <c r="AA125" i="32"/>
  <c r="L145" i="32" s="1"/>
  <c r="AL231" i="32"/>
  <c r="W251" i="32" s="1"/>
  <c r="AO234" i="32"/>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V26" i="32"/>
  <c r="X11" i="32"/>
  <c r="I31" i="32" s="1"/>
  <c r="AA13" i="32"/>
  <c r="L33" i="32" s="1"/>
  <c r="AJ15" i="32"/>
  <c r="U35" i="32" s="1"/>
  <c r="AP17" i="32"/>
  <c r="AA37" i="32" s="1"/>
  <c r="U24" i="32"/>
  <c r="F44" i="32" s="1"/>
  <c r="AK117" i="32"/>
  <c r="V137" i="32" s="1"/>
  <c r="AG119" i="32"/>
  <c r="R139" i="32" s="1"/>
  <c r="R126" i="32"/>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AK23" i="32"/>
  <c r="V43" i="32" s="1"/>
  <c r="AF24" i="32"/>
  <c r="AP117" i="32"/>
  <c r="AA137" i="32" s="1"/>
  <c r="AO119" i="32"/>
  <c r="Z139" i="32" s="1"/>
  <c r="V125" i="32"/>
  <c r="G145" i="32" s="1"/>
  <c r="AI126" i="32"/>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Y18" i="32"/>
  <c r="J38" i="32" s="1"/>
  <c r="AF225" i="32"/>
  <c r="AP229" i="32"/>
  <c r="Z231" i="32"/>
  <c r="K251" i="32" s="1"/>
  <c r="Q234" i="32"/>
  <c r="R236" i="32"/>
  <c r="C256" i="32" s="1"/>
  <c r="U334" i="32"/>
  <c r="F354" i="32" s="1"/>
  <c r="AF337" i="32"/>
  <c r="AI343" i="32"/>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T137" i="32" s="1"/>
  <c r="AA117" i="32"/>
  <c r="L137" i="32" s="1"/>
  <c r="AQ117" i="32"/>
  <c r="AB137" i="32" s="1"/>
  <c r="AB119" i="32"/>
  <c r="M139" i="32" s="1"/>
  <c r="AI120" i="32"/>
  <c r="T121" i="32"/>
  <c r="E141" i="32" s="1"/>
  <c r="AJ121" i="32"/>
  <c r="U141" i="32" s="1"/>
  <c r="AC123" i="32"/>
  <c r="N143" i="32" s="1"/>
  <c r="U126" i="32"/>
  <c r="AP126" i="32"/>
  <c r="AE133" i="32"/>
  <c r="P153" i="32" s="1"/>
  <c r="U225" i="32"/>
  <c r="F245" i="32" s="1"/>
  <c r="S228" i="32"/>
  <c r="AC230" i="32"/>
  <c r="AO232" i="32"/>
  <c r="Z252" i="32" s="1"/>
  <c r="AL233" i="32"/>
  <c r="W253" i="32" s="1"/>
  <c r="T234" i="32"/>
  <c r="AI236" i="32"/>
  <c r="T256" i="32" s="1"/>
  <c r="V237" i="32"/>
  <c r="G257" i="32" s="1"/>
  <c r="U337" i="32"/>
  <c r="AN337" i="32"/>
  <c r="AL339" i="32"/>
  <c r="W359" i="32" s="1"/>
  <c r="AO343" i="32"/>
  <c r="S345" i="32"/>
  <c r="D365" i="32" s="1"/>
  <c r="AG345" i="32"/>
  <c r="R365" i="32" s="1"/>
  <c r="X346" i="32"/>
  <c r="I366" i="32" s="1"/>
  <c r="AQ346" i="32"/>
  <c r="AB366" i="32" s="1"/>
  <c r="T347" i="32"/>
  <c r="E367" i="32" s="1"/>
  <c r="AP347" i="32"/>
  <c r="AA367" i="32" s="1"/>
  <c r="AQ18" i="32"/>
  <c r="Z27" i="32"/>
  <c r="K47" i="32" s="1"/>
  <c r="AC117" i="32"/>
  <c r="N137" i="32" s="1"/>
  <c r="Q120" i="32"/>
  <c r="AN120" i="32"/>
  <c r="U121" i="32"/>
  <c r="F141" i="32" s="1"/>
  <c r="AK121" i="32"/>
  <c r="V141" i="32" s="1"/>
  <c r="V122" i="32"/>
  <c r="G142" i="32" s="1"/>
  <c r="AP123" i="32"/>
  <c r="W126" i="32"/>
  <c r="AQ126" i="32"/>
  <c r="V225" i="32"/>
  <c r="G245" i="32" s="1"/>
  <c r="AO225" i="32"/>
  <c r="Z245" i="32" s="1"/>
  <c r="Q226" i="32"/>
  <c r="W228" i="32"/>
  <c r="AF229" i="32"/>
  <c r="Q249" i="32" s="1"/>
  <c r="AI230" i="32"/>
  <c r="T250" i="32" s="1"/>
  <c r="AR232" i="32"/>
  <c r="AC252" i="32" s="1"/>
  <c r="U234" i="32"/>
  <c r="X237" i="32"/>
  <c r="I257" i="32" s="1"/>
  <c r="S238" i="32"/>
  <c r="D258" i="32" s="1"/>
  <c r="Q240" i="32"/>
  <c r="W337" i="32"/>
  <c r="AO337" i="32"/>
  <c r="R338" i="32"/>
  <c r="C358" i="32" s="1"/>
  <c r="AE339" i="32"/>
  <c r="P359" i="32" s="1"/>
  <c r="T345" i="32"/>
  <c r="E365" i="32" s="1"/>
  <c r="AI345" i="32"/>
  <c r="T365" i="32" s="1"/>
  <c r="AL346" i="32"/>
  <c r="W366" i="32" s="1"/>
  <c r="AA346" i="32"/>
  <c r="L366" i="32" s="1"/>
  <c r="AR346" i="32"/>
  <c r="AC366" i="32" s="1"/>
  <c r="W347" i="32"/>
  <c r="H367" i="32" s="1"/>
  <c r="AR347" i="32"/>
  <c r="AR349" i="32"/>
  <c r="AK15" i="32"/>
  <c r="V35" i="32" s="1"/>
  <c r="AL18" i="32"/>
  <c r="W38" i="32" s="1"/>
  <c r="R27" i="32"/>
  <c r="C47" i="32" s="1"/>
  <c r="AG120" i="32"/>
  <c r="AH121" i="32"/>
  <c r="S141" i="32" s="1"/>
  <c r="X19" i="32"/>
  <c r="I39" i="32" s="1"/>
  <c r="AM22" i="32"/>
  <c r="X42" i="32" s="1"/>
  <c r="AN20" i="32"/>
  <c r="S120" i="32"/>
  <c r="W121" i="32"/>
  <c r="H141" i="32" s="1"/>
  <c r="X126" i="32"/>
  <c r="AP225" i="32"/>
  <c r="AA245" i="32" s="1"/>
  <c r="V232" i="32"/>
  <c r="G252" i="32" s="1"/>
  <c r="AA234" i="32"/>
  <c r="AN237" i="32"/>
  <c r="AB337" i="32"/>
  <c r="AQ337" i="32"/>
  <c r="Z338" i="32"/>
  <c r="K358" i="32" s="1"/>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AP26" i="32"/>
  <c r="AH27" i="32"/>
  <c r="S47" i="32" s="1"/>
  <c r="Q117" i="32"/>
  <c r="B137" i="32" s="1"/>
  <c r="Z119" i="32"/>
  <c r="K139" i="32" s="1"/>
  <c r="U120" i="32"/>
  <c r="X121" i="32"/>
  <c r="I141" i="32" s="1"/>
  <c r="AR121" i="32"/>
  <c r="AC141" i="32" s="1"/>
  <c r="AC126" i="32"/>
  <c r="AA132" i="32"/>
  <c r="AC225" i="32"/>
  <c r="N245" i="32" s="1"/>
  <c r="AR225" i="32"/>
  <c r="AC245" i="32" s="1"/>
  <c r="AA226" i="32"/>
  <c r="Z228" i="32"/>
  <c r="AL229" i="32"/>
  <c r="W249" i="32" s="1"/>
  <c r="Y230" i="32"/>
  <c r="J250" i="32" s="1"/>
  <c r="AD231" i="32"/>
  <c r="O251" i="32" s="1"/>
  <c r="AN231" i="32"/>
  <c r="Y251" i="32" s="1"/>
  <c r="W232" i="32"/>
  <c r="H252" i="32" s="1"/>
  <c r="AE234" i="32"/>
  <c r="AC238" i="32"/>
  <c r="N258" i="32" s="1"/>
  <c r="AH240" i="32"/>
  <c r="AJ337" i="32"/>
  <c r="AC337" i="32"/>
  <c r="AB338" i="32"/>
  <c r="M358" i="32" s="1"/>
  <c r="Y339" i="32"/>
  <c r="J359" i="32" s="1"/>
  <c r="V343" i="32"/>
  <c r="W345" i="32"/>
  <c r="H365" i="32" s="1"/>
  <c r="AK345" i="32"/>
  <c r="V365" i="32" s="1"/>
  <c r="AF346" i="32"/>
  <c r="Q366" i="32" s="1"/>
  <c r="AB347" i="32"/>
  <c r="M367" i="32" s="1"/>
  <c r="AP18" i="32"/>
  <c r="AA38" i="32" s="1"/>
  <c r="AG23" i="32"/>
  <c r="R43" i="32" s="1"/>
  <c r="V18" i="32"/>
  <c r="G38" i="32" s="1"/>
  <c r="AC19" i="32"/>
  <c r="N39" i="32" s="1"/>
  <c r="AR20" i="32"/>
  <c r="AN117" i="32"/>
  <c r="Y137" i="32" s="1"/>
  <c r="X132" i="32"/>
  <c r="T238" i="32"/>
  <c r="E258" i="32" s="1"/>
  <c r="AA18" i="32"/>
  <c r="L38" i="32" s="1"/>
  <c r="AN19" i="32"/>
  <c r="Y39" i="32" s="1"/>
  <c r="T20" i="32"/>
  <c r="AH22" i="32"/>
  <c r="S42" i="32" s="1"/>
  <c r="AD23" i="32"/>
  <c r="O43" i="32" s="1"/>
  <c r="AJ25" i="32"/>
  <c r="S26" i="32"/>
  <c r="AK27" i="32"/>
  <c r="V47" i="32" s="1"/>
  <c r="S117" i="32"/>
  <c r="D137" i="32" s="1"/>
  <c r="AJ117" i="32"/>
  <c r="U137" i="32" s="1"/>
  <c r="AM119" i="32"/>
  <c r="X139" i="32" s="1"/>
  <c r="Z121" i="32"/>
  <c r="K141" i="32" s="1"/>
  <c r="AK123" i="32"/>
  <c r="V143" i="32" s="1"/>
  <c r="AE126" i="32"/>
  <c r="AK128" i="32"/>
  <c r="V148" i="32" s="1"/>
  <c r="AP129" i="32"/>
  <c r="AA149" i="32" s="1"/>
  <c r="AJ225" i="32"/>
  <c r="U245" i="32" s="1"/>
  <c r="AD225" i="32"/>
  <c r="O245" i="32" s="1"/>
  <c r="AE226" i="32"/>
  <c r="AH228" i="32"/>
  <c r="AJ229" i="32"/>
  <c r="U249" i="32" s="1"/>
  <c r="AO229" i="32"/>
  <c r="Z249" i="32" s="1"/>
  <c r="AE230" i="32"/>
  <c r="P250" i="32" s="1"/>
  <c r="R231" i="32"/>
  <c r="C251" i="32" s="1"/>
  <c r="AR231" i="32"/>
  <c r="AC251" i="32" s="1"/>
  <c r="Y232" i="32"/>
  <c r="J252" i="32" s="1"/>
  <c r="AF234" i="32"/>
  <c r="Z339" i="32"/>
  <c r="K359" i="32" s="1"/>
  <c r="Y343" i="32"/>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340" i="32"/>
  <c r="M360" i="32" s="1"/>
  <c r="S341" i="32"/>
  <c r="D361" i="32" s="1"/>
  <c r="AM345" i="32"/>
  <c r="X365" i="32" s="1"/>
  <c r="AB345" i="32"/>
  <c r="M365" i="32" s="1"/>
  <c r="AQ345" i="32"/>
  <c r="AB365" i="32" s="1"/>
  <c r="AI346" i="32"/>
  <c r="T366" i="32" s="1"/>
  <c r="AH347" i="32"/>
  <c r="S367" i="32" s="1"/>
  <c r="AJ347" i="32"/>
  <c r="U367" i="32" s="1"/>
  <c r="Q349" i="32"/>
  <c r="AF121" i="32"/>
  <c r="AG228" i="32"/>
  <c r="AO228" i="32"/>
  <c r="AH232" i="32"/>
  <c r="S252" i="32" s="1"/>
  <c r="AC345" i="32"/>
  <c r="N365" i="32" s="1"/>
  <c r="AR345" i="32"/>
  <c r="AC365" i="32" s="1"/>
  <c r="AM347" i="32"/>
  <c r="X367" i="32" s="1"/>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R36" i="32" s="1"/>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U33" i="32" s="1"/>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L36" i="32" s="1"/>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E38" i="32" s="1"/>
  <c r="AD18" i="32"/>
  <c r="O38" i="32" s="1"/>
  <c r="AH20" i="32"/>
  <c r="R20" i="32"/>
  <c r="AE20" i="32"/>
  <c r="AM20" i="32"/>
  <c r="AK20" i="32"/>
  <c r="U20" i="32"/>
  <c r="AC20" i="32"/>
  <c r="S20" i="32"/>
  <c r="AP20" i="32"/>
  <c r="Z20" i="32"/>
  <c r="AJ20" i="32"/>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K144" i="32" s="1"/>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AB38"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AI20" i="32"/>
  <c r="AQ20" i="32"/>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AD20" i="32"/>
  <c r="AL20" i="32"/>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A64" i="32"/>
  <c r="Z118" i="32"/>
  <c r="AQ118" i="32"/>
  <c r="AR119" i="32"/>
  <c r="AC139" i="32" s="1"/>
  <c r="AA122" i="32"/>
  <c r="L142" i="32" s="1"/>
  <c r="AL123" i="32"/>
  <c r="W143" i="32" s="1"/>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AF20" i="32"/>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J126" i="32"/>
  <c r="AB126" i="32"/>
  <c r="T126" i="32"/>
  <c r="AO126" i="32"/>
  <c r="AG126" i="32"/>
  <c r="Y126" i="32"/>
  <c r="Q126" i="32"/>
  <c r="AL126" i="32"/>
  <c r="AD126" i="32"/>
  <c r="V126" i="32"/>
  <c r="AN126" i="32"/>
  <c r="AA126" i="32"/>
  <c r="AM126" i="32"/>
  <c r="Z126" i="32"/>
  <c r="AF126" i="32"/>
  <c r="A182" i="32"/>
  <c r="A170" i="32"/>
  <c r="W117" i="32"/>
  <c r="H137" i="32" s="1"/>
  <c r="AE117" i="32"/>
  <c r="P137" i="32" s="1"/>
  <c r="AM117" i="32"/>
  <c r="X137" i="32" s="1"/>
  <c r="AB121" i="32"/>
  <c r="M141" i="32" s="1"/>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S124" i="32"/>
  <c r="D144" i="32" s="1"/>
  <c r="AA124" i="32"/>
  <c r="L144" i="32" s="1"/>
  <c r="AI124" i="32"/>
  <c r="T144" i="32" s="1"/>
  <c r="AQ124" i="32"/>
  <c r="AB144" i="32" s="1"/>
  <c r="AA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H261" i="32" s="1"/>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34" i="32"/>
  <c r="AI234" i="32"/>
  <c r="AG237" i="32"/>
  <c r="R257" i="32" s="1"/>
  <c r="A288" i="32"/>
  <c r="A276"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AN234" i="32"/>
  <c r="AE236" i="32"/>
  <c r="P256" i="32" s="1"/>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AR236" i="32"/>
  <c r="AC256" i="32" s="1"/>
  <c r="AH236" i="32"/>
  <c r="S256" i="32" s="1"/>
  <c r="AA238" i="32"/>
  <c r="L258" i="32" s="1"/>
  <c r="W240" i="32"/>
  <c r="AL230" i="32"/>
  <c r="W250" i="32" s="1"/>
  <c r="AD230" i="32"/>
  <c r="O250" i="32" s="1"/>
  <c r="V230" i="32"/>
  <c r="G250" i="32" s="1"/>
  <c r="AP230" i="32"/>
  <c r="AA250" i="32" s="1"/>
  <c r="AH230" i="32"/>
  <c r="S250" i="32" s="1"/>
  <c r="Z230" i="32"/>
  <c r="K250" i="32" s="1"/>
  <c r="R230" i="32"/>
  <c r="C250" i="32" s="1"/>
  <c r="AA230" i="32"/>
  <c r="L250" i="32" s="1"/>
  <c r="AK230" i="32"/>
  <c r="V250" i="32" s="1"/>
  <c r="AL234" i="32"/>
  <c r="AD234" i="32"/>
  <c r="AP234" i="32"/>
  <c r="AH234" i="32"/>
  <c r="Z234" i="32"/>
  <c r="R234" i="32"/>
  <c r="AM234" i="32"/>
  <c r="AB234" i="32"/>
  <c r="S234" i="32"/>
  <c r="AJ234" i="32"/>
  <c r="AR234" i="32"/>
  <c r="AG234" i="32"/>
  <c r="W234" i="32"/>
  <c r="AC234" i="32"/>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H343" i="32"/>
  <c r="Z343" i="32"/>
  <c r="R343" i="32"/>
  <c r="AG343" i="32"/>
  <c r="U343" i="32"/>
  <c r="AE343" i="32"/>
  <c r="S343" i="32"/>
  <c r="AQ343" i="32"/>
  <c r="AD343" i="32"/>
  <c r="Q343" i="32"/>
  <c r="AM343" i="32"/>
  <c r="AA343" i="32"/>
  <c r="AK343" i="32"/>
  <c r="Z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AG349" i="32"/>
  <c r="A397" i="32"/>
  <c r="A385" i="32"/>
  <c r="R334" i="32"/>
  <c r="C354" i="32" s="1"/>
  <c r="Z334" i="32"/>
  <c r="K354" i="32" s="1"/>
  <c r="AH334" i="32"/>
  <c r="S354" i="32" s="1"/>
  <c r="AP334" i="32"/>
  <c r="AA354" i="32" s="1"/>
  <c r="R336" i="32"/>
  <c r="C356" i="32" s="1"/>
  <c r="AB336" i="32"/>
  <c r="M356" i="32" s="1"/>
  <c r="AK336" i="32"/>
  <c r="V356" i="32" s="1"/>
  <c r="X337" i="32"/>
  <c r="AI337"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Y359" i="32"/>
  <c r="V359" i="32"/>
  <c r="T339" i="32"/>
  <c r="E359" i="32" s="1"/>
  <c r="AB339" i="32"/>
  <c r="M359" i="32" s="1"/>
  <c r="AJ339" i="32"/>
  <c r="U359" i="32" s="1"/>
  <c r="AR339" i="32"/>
  <c r="AC359" i="32" s="1"/>
  <c r="X343" i="32"/>
  <c r="AF343" i="32"/>
  <c r="AN343" i="32"/>
  <c r="V345" i="32"/>
  <c r="G365" i="32" s="1"/>
  <c r="AD345" i="32"/>
  <c r="O365" i="32" s="1"/>
  <c r="AL345" i="32"/>
  <c r="W365" i="32" s="1"/>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AB343" i="32"/>
  <c r="AJ343" i="32"/>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O368" i="32" l="1"/>
  <c r="C344" i="32"/>
  <c r="Q369" i="32"/>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216" i="2"/>
  <c r="L232"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E398" i="32" s="1"/>
  <c r="M355" i="32"/>
  <c r="M374" i="32" s="1"/>
  <c r="S355" i="32"/>
  <c r="S374" i="32" s="1"/>
  <c r="O355" i="32"/>
  <c r="O398" i="32" s="1"/>
  <c r="H368" i="32"/>
  <c r="X355" i="32"/>
  <c r="X374" i="32" s="1"/>
  <c r="V355" i="32"/>
  <c r="V398" i="32" s="1"/>
  <c r="Y355" i="32"/>
  <c r="Y398" i="32" s="1"/>
  <c r="AB355" i="32"/>
  <c r="AB374" i="32" s="1"/>
  <c r="N152" i="32"/>
  <c r="B355" i="32"/>
  <c r="B398" i="32" s="1"/>
  <c r="Q7" i="33" s="1"/>
  <c r="J369" i="32"/>
  <c r="I152" i="32"/>
  <c r="I259" i="32"/>
  <c r="I369" i="32"/>
  <c r="I151" i="32"/>
  <c r="B369" i="32"/>
  <c r="B151" i="32"/>
  <c r="B368" i="32"/>
  <c r="F259" i="32"/>
  <c r="I368" i="32"/>
  <c r="F369" i="32"/>
  <c r="I260" i="32"/>
  <c r="K259" i="32"/>
  <c r="D355" i="32"/>
  <c r="D386" i="32" s="1"/>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AB265" i="32" s="1"/>
  <c r="C260" i="32"/>
  <c r="D260" i="32"/>
  <c r="R246" i="32"/>
  <c r="R289" i="32" s="1"/>
  <c r="C246" i="32"/>
  <c r="C289" i="32" s="1"/>
  <c r="X246" i="32"/>
  <c r="X265" i="32" s="1"/>
  <c r="D246" i="32"/>
  <c r="D289" i="32" s="1"/>
  <c r="D152" i="32"/>
  <c r="AC246" i="32"/>
  <c r="AC277" i="32" s="1"/>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V51" i="32" s="1"/>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7" i="32"/>
  <c r="D399" i="32"/>
  <c r="D387" i="32"/>
  <c r="D375" i="32"/>
  <c r="D373" i="32"/>
  <c r="D385" i="32"/>
  <c r="D271" i="32"/>
  <c r="D295" i="32"/>
  <c r="D283" i="32"/>
  <c r="AC268" i="32"/>
  <c r="AC280" i="32"/>
  <c r="AC292" i="32"/>
  <c r="DR10" i="33" s="1"/>
  <c r="I290" i="32"/>
  <c r="I266" i="32"/>
  <c r="I288" i="32"/>
  <c r="I278" i="32"/>
  <c r="I264" i="32"/>
  <c r="I276" i="32"/>
  <c r="B392" i="32"/>
  <c r="B404" i="32"/>
  <c r="Q13" i="33" s="1"/>
  <c r="B380" i="32"/>
  <c r="O399" i="32"/>
  <c r="O397" i="32"/>
  <c r="O385"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F292" i="32"/>
  <c r="F280" i="32"/>
  <c r="F268" i="32"/>
  <c r="Y387" i="32"/>
  <c r="Z397" i="32"/>
  <c r="Z385" i="32"/>
  <c r="Z399" i="32"/>
  <c r="Z375" i="32"/>
  <c r="Z373" i="32"/>
  <c r="Z387" i="32"/>
  <c r="T278" i="32"/>
  <c r="T276" i="32"/>
  <c r="T288" i="32"/>
  <c r="T264" i="32"/>
  <c r="T290" i="32"/>
  <c r="T266" i="32"/>
  <c r="N276"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88" i="32"/>
  <c r="AB289" i="32"/>
  <c r="AB276" i="32"/>
  <c r="AB266" i="32"/>
  <c r="AB264"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8" i="32"/>
  <c r="AC264" i="32"/>
  <c r="K290" i="32"/>
  <c r="K288" i="32"/>
  <c r="K276" i="32"/>
  <c r="K264" i="32"/>
  <c r="K266" i="32"/>
  <c r="K278" i="32"/>
  <c r="O264" i="32"/>
  <c r="O278"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85" i="32"/>
  <c r="G373" i="32"/>
  <c r="G387" i="32"/>
  <c r="G375" i="32"/>
  <c r="X402" i="32"/>
  <c r="X390" i="32"/>
  <c r="X378" i="32"/>
  <c r="D390" i="32"/>
  <c r="D402" i="32"/>
  <c r="D378" i="32"/>
  <c r="S385" i="32"/>
  <c r="S386" i="32"/>
  <c r="S387" i="32"/>
  <c r="S373" i="32"/>
  <c r="S397" i="32"/>
  <c r="S399" i="32"/>
  <c r="S375" i="32"/>
  <c r="V399" i="32"/>
  <c r="V387" i="32"/>
  <c r="V397"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F386" i="32" l="1"/>
  <c r="K398" i="32"/>
  <c r="F169" i="32"/>
  <c r="N289" i="32"/>
  <c r="O386" i="32"/>
  <c r="P51" i="32"/>
  <c r="R265" i="32"/>
  <c r="J386" i="32"/>
  <c r="O265" i="32"/>
  <c r="AA277" i="32"/>
  <c r="AA265" i="32"/>
  <c r="C265" i="32"/>
  <c r="Z398" i="32"/>
  <c r="V374" i="32"/>
  <c r="G398" i="32"/>
  <c r="AB277" i="32"/>
  <c r="D374" i="32"/>
  <c r="J265" i="32"/>
  <c r="E386" i="32"/>
  <c r="V75" i="32"/>
  <c r="AC265" i="32"/>
  <c r="V63" i="32"/>
  <c r="C374" i="32"/>
  <c r="N63" i="32"/>
  <c r="D398" i="32"/>
  <c r="Q289" i="32"/>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146" i="2"/>
  <c r="X76" i="2"/>
  <c r="Q269" i="2" l="1"/>
  <c r="P269" i="2"/>
  <c r="O269" i="2"/>
  <c r="Q257" i="2"/>
  <c r="P257" i="2"/>
  <c r="O257" i="2"/>
  <c r="Q245" i="2"/>
  <c r="P245" i="2"/>
  <c r="O245" i="2"/>
  <c r="Q220" i="2"/>
  <c r="P220" i="2"/>
  <c r="O220" i="2"/>
  <c r="Q191" i="2"/>
  <c r="P191" i="2"/>
  <c r="O191" i="2"/>
  <c r="Q179" i="2"/>
  <c r="P179" i="2"/>
  <c r="O179" i="2"/>
  <c r="Q167" i="2"/>
  <c r="P167" i="2"/>
  <c r="O167" i="2"/>
  <c r="Q109" i="2"/>
  <c r="P109" i="2"/>
  <c r="O109" i="2"/>
  <c r="Q97" i="2"/>
  <c r="P97" i="2"/>
  <c r="O97" i="2"/>
  <c r="Q85" i="2"/>
  <c r="P85" i="2"/>
  <c r="AS211" i="2"/>
  <c r="AN211" i="2"/>
  <c r="AI211" i="2"/>
  <c r="AM211" i="2"/>
  <c r="AH211" i="2"/>
  <c r="AR211" i="2"/>
  <c r="Y211" i="2"/>
  <c r="X211" i="2"/>
  <c r="AN146" i="2"/>
  <c r="AM146" i="2"/>
  <c r="AI146" i="2"/>
  <c r="AH146" i="2"/>
  <c r="AD146" i="2"/>
  <c r="AC146" i="2"/>
  <c r="Y146" i="2"/>
  <c r="Y76" i="2"/>
  <c r="AD76" i="2"/>
  <c r="AC76" i="2"/>
  <c r="AI76" i="2"/>
  <c r="AH76"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62" i="2"/>
  <c r="M262" i="2"/>
  <c r="L250" i="2"/>
  <c r="L238"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213" i="2"/>
  <c r="L213" i="2"/>
  <c r="M189" i="2" l="1"/>
  <c r="L189" i="2"/>
  <c r="M177" i="2"/>
  <c r="L177" i="2"/>
  <c r="M78" i="2" l="1"/>
  <c r="L78" i="2"/>
  <c r="AH214" i="2" l="1"/>
  <c r="AH215" i="2" s="1"/>
  <c r="AS214" i="2"/>
  <c r="AS215" i="2" s="1"/>
  <c r="AR214" i="2"/>
  <c r="AR215" i="2" s="1"/>
  <c r="AN214" i="2"/>
  <c r="AN215" i="2" s="1"/>
  <c r="AM214" i="2"/>
  <c r="AM215" i="2" s="1"/>
  <c r="AI214" i="2"/>
  <c r="AI215" i="2" s="1"/>
  <c r="AN149" i="2"/>
  <c r="AM149" i="2"/>
  <c r="AC149" i="2"/>
  <c r="AI149" i="2"/>
  <c r="AH149" i="2"/>
  <c r="AD149" i="2"/>
  <c r="AH79" i="2"/>
  <c r="AH80" i="2" s="1"/>
  <c r="AI79" i="2"/>
  <c r="AI80" i="2" s="1"/>
  <c r="AC79" i="2"/>
  <c r="AC80" i="2" s="1"/>
  <c r="AD79" i="2"/>
  <c r="AD80"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94" i="2"/>
  <c r="C195" i="2" s="1"/>
  <c r="B194" i="2"/>
  <c r="B195" i="2" s="1"/>
  <c r="B183" i="2"/>
  <c r="B184" i="2" s="1"/>
  <c r="B171" i="2"/>
  <c r="B172" i="2" s="1"/>
  <c r="B159" i="2"/>
  <c r="B160" i="2" s="1"/>
  <c r="C185" i="2"/>
  <c r="B185" i="2"/>
  <c r="C183" i="2"/>
  <c r="C184" i="2" s="1"/>
  <c r="C173" i="2"/>
  <c r="B173" i="2"/>
  <c r="C171" i="2"/>
  <c r="C172" i="2" s="1"/>
  <c r="C159" i="2"/>
  <c r="C160" i="2" s="1"/>
  <c r="C161" i="2"/>
  <c r="B161" i="2"/>
  <c r="B148" i="2"/>
  <c r="C147" i="2"/>
  <c r="C148" i="2" s="1"/>
  <c r="E143" i="2"/>
  <c r="B150" i="2" s="1"/>
  <c r="I30" i="30" s="1"/>
  <c r="M183" i="2"/>
  <c r="M186" i="2" s="1"/>
  <c r="L183" i="2"/>
  <c r="M171" i="2"/>
  <c r="M174" i="2" s="1"/>
  <c r="M162" i="2"/>
  <c r="L162" i="2"/>
  <c r="M148" i="2"/>
  <c r="G4" i="30" l="1"/>
  <c r="H4" i="30" s="1"/>
  <c r="G2" i="30"/>
  <c r="H2" i="30" s="1"/>
  <c r="I4" i="30"/>
  <c r="K4" i="30" s="1"/>
  <c r="J2" i="30"/>
  <c r="K2" i="30" s="1"/>
  <c r="M151" i="2"/>
  <c r="L151" i="2"/>
  <c r="X150" i="2" s="1"/>
  <c r="X151" i="2" s="1"/>
  <c r="AI81" i="2"/>
  <c r="M97"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81" i="2"/>
  <c r="E7" i="29"/>
  <c r="I7" i="29" s="1"/>
  <c r="E11" i="29"/>
  <c r="I11" i="29" s="1"/>
  <c r="E8" i="29"/>
  <c r="I8" i="29" s="1"/>
  <c r="E9" i="29"/>
  <c r="I9" i="29" s="1"/>
  <c r="E10" i="29"/>
  <c r="I10" i="29" s="1"/>
  <c r="F53" i="29"/>
  <c r="F54" i="29"/>
  <c r="J54" i="29" s="1"/>
  <c r="F55" i="29"/>
  <c r="J55" i="29" s="1"/>
  <c r="F56" i="29"/>
  <c r="J56" i="29" s="1"/>
  <c r="F52" i="29"/>
  <c r="J52" i="29" s="1"/>
  <c r="AD81" i="2"/>
  <c r="M109" i="2" s="1"/>
  <c r="C21" i="20" s="1"/>
  <c r="F15" i="29"/>
  <c r="J15" i="29" s="1"/>
  <c r="F16" i="29"/>
  <c r="J16" i="29" s="1"/>
  <c r="F12" i="29"/>
  <c r="J12" i="29" s="1"/>
  <c r="F13" i="29"/>
  <c r="J13" i="29" s="1"/>
  <c r="F14" i="29"/>
  <c r="J14" i="29" s="1"/>
  <c r="AS216" i="2"/>
  <c r="M269" i="2" s="1"/>
  <c r="C127" i="26" s="1"/>
  <c r="F60" i="29"/>
  <c r="J60" i="29" s="1"/>
  <c r="F61" i="29"/>
  <c r="J61" i="29" s="1"/>
  <c r="F59" i="29"/>
  <c r="J59" i="29" s="1"/>
  <c r="F57" i="29"/>
  <c r="J57" i="29" s="1"/>
  <c r="F58" i="29"/>
  <c r="AC81" i="2"/>
  <c r="L109" i="2" s="1"/>
  <c r="B449" i="20" s="1"/>
  <c r="E13" i="29"/>
  <c r="I13" i="29" s="1"/>
  <c r="E14" i="29"/>
  <c r="I14" i="29" s="1"/>
  <c r="E15" i="29"/>
  <c r="I15" i="29" s="1"/>
  <c r="E16" i="29"/>
  <c r="I16" i="29" s="1"/>
  <c r="E12" i="29"/>
  <c r="I12" i="29" s="1"/>
  <c r="AH216" i="2"/>
  <c r="L245" i="2" s="1"/>
  <c r="B235" i="24" s="1"/>
  <c r="E50" i="29"/>
  <c r="I50" i="29" s="1"/>
  <c r="E51" i="29"/>
  <c r="I51" i="29" s="1"/>
  <c r="E47" i="29"/>
  <c r="I47" i="29" s="1"/>
  <c r="E48" i="29"/>
  <c r="E49" i="29"/>
  <c r="I49" i="29" s="1"/>
  <c r="L172" i="2"/>
  <c r="L174" i="2"/>
  <c r="L184" i="2"/>
  <c r="L186" i="2"/>
  <c r="C162" i="2"/>
  <c r="C186" i="2"/>
  <c r="B186" i="2"/>
  <c r="I29" i="30" s="1"/>
  <c r="C174" i="2"/>
  <c r="B174" i="2"/>
  <c r="I28" i="30" s="1"/>
  <c r="B162" i="2"/>
  <c r="C150" i="2"/>
  <c r="AR235" i="24"/>
  <c r="AP21" i="23"/>
  <c r="AK21" i="21"/>
  <c r="W344" i="20"/>
  <c r="AD344" i="22"/>
  <c r="AQ344" i="24"/>
  <c r="AQ235" i="22"/>
  <c r="AI127" i="20"/>
  <c r="AN216" i="2"/>
  <c r="M257" i="2" s="1"/>
  <c r="AI216" i="2"/>
  <c r="M245" i="2" s="1"/>
  <c r="C344" i="24" s="1"/>
  <c r="AR216" i="2"/>
  <c r="L269" i="2" s="1"/>
  <c r="B21" i="26" s="1"/>
  <c r="AM216" i="2"/>
  <c r="L257" i="2" s="1"/>
  <c r="B235" i="25" s="1"/>
  <c r="U235" i="20"/>
  <c r="AQ449" i="21"/>
  <c r="AQ449" i="22"/>
  <c r="S127" i="3"/>
  <c r="W235" i="19"/>
  <c r="AJ127" i="20"/>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I32" i="30" l="1"/>
  <c r="G7" i="30" s="1"/>
  <c r="H7" i="30" s="1"/>
  <c r="I7" i="30"/>
  <c r="K7" i="30" s="1"/>
  <c r="G10" i="30"/>
  <c r="H10" i="30" s="1"/>
  <c r="G8" i="30"/>
  <c r="H8" i="30" s="1"/>
  <c r="G13" i="30"/>
  <c r="H13" i="30" s="1"/>
  <c r="G11" i="30"/>
  <c r="H11" i="30" s="1"/>
  <c r="J8" i="30"/>
  <c r="K8" i="30" s="1"/>
  <c r="I10" i="30"/>
  <c r="K10" i="30" s="1"/>
  <c r="J11" i="30"/>
  <c r="K11" i="30" s="1"/>
  <c r="I13" i="30"/>
  <c r="K13" i="30" s="1"/>
  <c r="B21" i="20"/>
  <c r="N41" i="20" s="1"/>
  <c r="N70" i="20" s="1"/>
  <c r="B344" i="20"/>
  <c r="B235" i="20"/>
  <c r="B21" i="24"/>
  <c r="B127" i="20"/>
  <c r="L97"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150"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C344" i="19"/>
  <c r="C21" i="19"/>
  <c r="C235" i="19"/>
  <c r="C449" i="19"/>
  <c r="C449" i="20"/>
  <c r="X469" i="20" s="1"/>
  <c r="X498" i="20" s="1"/>
  <c r="C235" i="20"/>
  <c r="L187" i="2"/>
  <c r="AC150" i="2" s="1"/>
  <c r="L163" i="2"/>
  <c r="AH150" i="2" s="1"/>
  <c r="L175" i="2"/>
  <c r="AM150" i="2" s="1"/>
  <c r="AE181" i="2"/>
  <c r="AF181" i="2" s="1"/>
  <c r="H364" i="20" l="1"/>
  <c r="H393" i="20" s="1"/>
  <c r="I255" i="20"/>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151" i="2"/>
  <c r="L179" i="2" s="1"/>
  <c r="B235" i="22" s="1"/>
  <c r="E27" i="29"/>
  <c r="I27" i="29" s="1"/>
  <c r="E31" i="29"/>
  <c r="I31" i="29" s="1"/>
  <c r="E28" i="29"/>
  <c r="I28" i="29" s="1"/>
  <c r="E29" i="29"/>
  <c r="I29" i="29" s="1"/>
  <c r="E30" i="29"/>
  <c r="I30" i="29" s="1"/>
  <c r="AC41" i="26"/>
  <c r="AC70" i="26" s="1"/>
  <c r="E41" i="26"/>
  <c r="E70" i="26" s="1"/>
  <c r="Q41" i="26"/>
  <c r="Q70" i="26" s="1"/>
  <c r="M41" i="26"/>
  <c r="M70" i="26" s="1"/>
  <c r="AC151" i="2"/>
  <c r="L191" i="2" s="1"/>
  <c r="B127" i="23" s="1"/>
  <c r="E33" i="29"/>
  <c r="I33" i="29" s="1"/>
  <c r="E34" i="29"/>
  <c r="I34" i="29" s="1"/>
  <c r="E35" i="29"/>
  <c r="I35" i="29" s="1"/>
  <c r="E36" i="29"/>
  <c r="I36" i="29" s="1"/>
  <c r="E32" i="29"/>
  <c r="I32" i="29" s="1"/>
  <c r="M187" i="2"/>
  <c r="AD150" i="2" s="1"/>
  <c r="M163" i="2"/>
  <c r="AI150" i="2" s="1"/>
  <c r="M175" i="2"/>
  <c r="AN150" i="2" s="1"/>
  <c r="L41" i="26"/>
  <c r="L70" i="26" s="1"/>
  <c r="AB41" i="26"/>
  <c r="AB70" i="26" s="1"/>
  <c r="K41" i="26"/>
  <c r="K70" i="26" s="1"/>
  <c r="O41" i="26"/>
  <c r="O70" i="26" s="1"/>
  <c r="X41" i="26"/>
  <c r="X70" i="26" s="1"/>
  <c r="W41" i="26"/>
  <c r="W70" i="26" s="1"/>
  <c r="U41" i="26"/>
  <c r="U70" i="26" s="1"/>
  <c r="AH151" i="2"/>
  <c r="L167"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C41" i="19" l="1"/>
  <c r="C70" i="19" s="1"/>
  <c r="K41" i="19"/>
  <c r="K70" i="19" s="1"/>
  <c r="S41" i="19"/>
  <c r="S70" i="19" s="1"/>
  <c r="AA41" i="19"/>
  <c r="AA70" i="19" s="1"/>
  <c r="D41" i="19"/>
  <c r="D70" i="19" s="1"/>
  <c r="L41" i="19"/>
  <c r="L70" i="19" s="1"/>
  <c r="T41" i="19"/>
  <c r="T70" i="19" s="1"/>
  <c r="AB41" i="19"/>
  <c r="AB70" i="19" s="1"/>
  <c r="R41" i="19"/>
  <c r="R70" i="19" s="1"/>
  <c r="E41" i="19"/>
  <c r="E70" i="19" s="1"/>
  <c r="M41" i="19"/>
  <c r="M70" i="19" s="1"/>
  <c r="U41" i="19"/>
  <c r="U70" i="19" s="1"/>
  <c r="AC41" i="19"/>
  <c r="AC70" i="19" s="1"/>
  <c r="F41" i="19"/>
  <c r="F70" i="19" s="1"/>
  <c r="N41" i="19"/>
  <c r="N70" i="19" s="1"/>
  <c r="V41" i="19"/>
  <c r="V70" i="19" s="1"/>
  <c r="J41" i="19"/>
  <c r="J70" i="19" s="1"/>
  <c r="G41" i="19"/>
  <c r="O41" i="19"/>
  <c r="O70" i="19" s="1"/>
  <c r="W41" i="19"/>
  <c r="W70" i="19" s="1"/>
  <c r="H41" i="19"/>
  <c r="H70" i="19" s="1"/>
  <c r="P41" i="19"/>
  <c r="P70" i="19" s="1"/>
  <c r="X41" i="19"/>
  <c r="X70" i="19" s="1"/>
  <c r="I41" i="19"/>
  <c r="I70" i="19" s="1"/>
  <c r="Q41" i="19"/>
  <c r="Q70" i="19" s="1"/>
  <c r="Y41" i="19"/>
  <c r="Y70" i="19" s="1"/>
  <c r="Z41" i="19"/>
  <c r="Z70" i="19" s="1"/>
  <c r="Q147" i="19"/>
  <c r="Q176" i="19" s="1"/>
  <c r="O147" i="19"/>
  <c r="O176"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M147" i="19"/>
  <c r="M176" i="19" s="1"/>
  <c r="G70" i="19"/>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151" i="2"/>
  <c r="M179" i="2" s="1"/>
  <c r="F28" i="29"/>
  <c r="J28" i="29" s="1"/>
  <c r="F29" i="29"/>
  <c r="J29" i="29" s="1"/>
  <c r="F30" i="29"/>
  <c r="J30" i="29" s="1"/>
  <c r="F31" i="29"/>
  <c r="J31" i="29" s="1"/>
  <c r="F27" i="29"/>
  <c r="J27" i="29" s="1"/>
  <c r="AI151" i="2"/>
  <c r="M167" i="2" s="1"/>
  <c r="F22" i="29"/>
  <c r="J22" i="29" s="1"/>
  <c r="F23" i="29"/>
  <c r="J23" i="29" s="1"/>
  <c r="F24" i="29"/>
  <c r="J24" i="29" s="1"/>
  <c r="F25" i="29"/>
  <c r="J25" i="29" s="1"/>
  <c r="F26" i="29"/>
  <c r="J26" i="29" s="1"/>
  <c r="AD151" i="2"/>
  <c r="M191"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150" i="2"/>
  <c r="L150"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155"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79" i="2"/>
  <c r="Y80" i="2" s="1"/>
  <c r="X214" i="2"/>
  <c r="X215" i="2" s="1"/>
  <c r="Y215"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80" i="2"/>
  <c r="X216" i="2" l="1"/>
  <c r="L220" i="2" s="1"/>
  <c r="B235" i="13" s="1"/>
  <c r="E38" i="29"/>
  <c r="E39" i="29"/>
  <c r="I39" i="29" s="1"/>
  <c r="E40" i="29"/>
  <c r="I40" i="29" s="1"/>
  <c r="E41" i="29"/>
  <c r="I41" i="29" s="1"/>
  <c r="E37" i="29"/>
  <c r="I37" i="29" s="1"/>
  <c r="X81" i="2"/>
  <c r="L85" i="2" s="1"/>
  <c r="B21" i="3" s="1"/>
  <c r="E5" i="29"/>
  <c r="I5" i="29" s="1"/>
  <c r="E6" i="29"/>
  <c r="I6" i="29" s="1"/>
  <c r="E2" i="29"/>
  <c r="I2" i="29" s="1"/>
  <c r="E4" i="29"/>
  <c r="I4" i="29" s="1"/>
  <c r="E3" i="29"/>
  <c r="I3" i="29" s="1"/>
  <c r="F38" i="29"/>
  <c r="Y81" i="2"/>
  <c r="M85"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151" i="2"/>
  <c r="M155" i="2" s="1"/>
  <c r="C344" i="9" s="1"/>
  <c r="F17" i="29"/>
  <c r="J17" i="29" s="1"/>
  <c r="F21" i="29"/>
  <c r="J21" i="29" s="1"/>
  <c r="F18" i="29"/>
  <c r="J18" i="29" s="1"/>
  <c r="F19" i="29"/>
  <c r="J19" i="29" s="1"/>
  <c r="F20" i="29"/>
  <c r="J20" i="29" s="1"/>
  <c r="Y216"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220"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Z41" i="13" l="1"/>
  <c r="L41" i="13"/>
  <c r="L70" i="13" s="1"/>
  <c r="C344" i="13"/>
  <c r="B364" i="13" s="1"/>
  <c r="B393" i="13" s="1"/>
  <c r="P41" i="13"/>
  <c r="P70" i="13" s="1"/>
  <c r="J41" i="13"/>
  <c r="J70" i="13" s="1"/>
  <c r="M41" i="13"/>
  <c r="M70" i="13" s="1"/>
  <c r="H41" i="13"/>
  <c r="H70" i="13" s="1"/>
  <c r="I41" i="13"/>
  <c r="I70" i="13" s="1"/>
  <c r="F41" i="13"/>
  <c r="F70" i="13" s="1"/>
  <c r="V41" i="13"/>
  <c r="V70" i="13" s="1"/>
  <c r="B41" i="13"/>
  <c r="B70" i="13" s="1"/>
  <c r="C41" i="13"/>
  <c r="C70" i="13" s="1"/>
  <c r="S41" i="13"/>
  <c r="S70" i="13" s="1"/>
  <c r="AB41" i="13"/>
  <c r="AB70" i="13" s="1"/>
  <c r="T41" i="13"/>
  <c r="T70" i="13" s="1"/>
  <c r="W41" i="13"/>
  <c r="W70" i="13" s="1"/>
  <c r="O41" i="13"/>
  <c r="O70" i="13" s="1"/>
  <c r="Q41" i="13"/>
  <c r="Q70" i="13" s="1"/>
  <c r="N41" i="13"/>
  <c r="N70" i="13" s="1"/>
  <c r="Y41" i="13"/>
  <c r="Y70" i="13" s="1"/>
  <c r="R41" i="13"/>
  <c r="R70" i="13" s="1"/>
  <c r="C235" i="13"/>
  <c r="R255" i="13" s="1"/>
  <c r="R284" i="13" s="1"/>
  <c r="T41" i="9"/>
  <c r="T70" i="9" s="1"/>
  <c r="G41" i="9"/>
  <c r="G70" i="9" s="1"/>
  <c r="C41" i="9"/>
  <c r="C70" i="9" s="1"/>
  <c r="AA41" i="13"/>
  <c r="AA70" i="13" s="1"/>
  <c r="AC41" i="13"/>
  <c r="AC70" i="13" s="1"/>
  <c r="D41" i="13"/>
  <c r="D70" i="13" s="1"/>
  <c r="G41" i="13"/>
  <c r="G70" i="13" s="1"/>
  <c r="K41" i="13"/>
  <c r="K70" i="13" s="1"/>
  <c r="E41" i="13"/>
  <c r="E70"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AA469" i="9"/>
  <c r="AA498" i="9" s="1"/>
  <c r="Y469" i="9"/>
  <c r="Y498" i="9" s="1"/>
  <c r="H469" i="9"/>
  <c r="H498" i="9" s="1"/>
  <c r="S469" i="9"/>
  <c r="S498" i="9" s="1"/>
  <c r="B469" i="9"/>
  <c r="B498" i="9" s="1"/>
  <c r="X469" i="9"/>
  <c r="X498" i="9" s="1"/>
  <c r="L469" i="9"/>
  <c r="L498" i="9" s="1"/>
  <c r="V469" i="9"/>
  <c r="V498" i="9" s="1"/>
  <c r="C469" i="9"/>
  <c r="C498" i="9" s="1"/>
  <c r="I469" i="9"/>
  <c r="I498" i="9" s="1"/>
  <c r="K469" i="9"/>
  <c r="K498" i="9" s="1"/>
  <c r="R469" i="9"/>
  <c r="R498" i="9" s="1"/>
  <c r="AB469" i="9"/>
  <c r="AB498" i="9" s="1"/>
  <c r="V364" i="13"/>
  <c r="V393" i="13" s="1"/>
  <c r="E469" i="9"/>
  <c r="E498" i="9" s="1"/>
  <c r="N469" i="9"/>
  <c r="N498" i="9" s="1"/>
  <c r="T469" i="9"/>
  <c r="T498" i="9" s="1"/>
  <c r="Z469" i="9"/>
  <c r="Z498" i="9" s="1"/>
  <c r="M364" i="13"/>
  <c r="M393" i="13" s="1"/>
  <c r="F364" i="13"/>
  <c r="F393" i="13" s="1"/>
  <c r="F469" i="9"/>
  <c r="F498" i="9" s="1"/>
  <c r="G469" i="9"/>
  <c r="G498" i="9" s="1"/>
  <c r="Z70" i="13"/>
  <c r="B176" i="3"/>
  <c r="M184" i="2"/>
  <c r="M172" i="2"/>
  <c r="M160" i="2"/>
  <c r="L160" i="2"/>
  <c r="L148" i="2"/>
  <c r="W364" i="13" l="1"/>
  <c r="W393" i="13" s="1"/>
  <c r="AA364" i="13"/>
  <c r="AA393" i="13" s="1"/>
  <c r="U364" i="13"/>
  <c r="U393" i="13" s="1"/>
  <c r="T364" i="13"/>
  <c r="T393" i="13" s="1"/>
  <c r="N364" i="13"/>
  <c r="N393" i="13" s="1"/>
  <c r="E364" i="13"/>
  <c r="E393" i="13" s="1"/>
  <c r="O364" i="13"/>
  <c r="O393" i="13" s="1"/>
  <c r="AC364" i="13"/>
  <c r="AC393" i="13" s="1"/>
  <c r="G364" i="13"/>
  <c r="G393" i="13" s="1"/>
  <c r="J364" i="13"/>
  <c r="J393" i="13" s="1"/>
  <c r="I364" i="13"/>
  <c r="I393" i="13" s="1"/>
  <c r="H364" i="13"/>
  <c r="H393" i="13" s="1"/>
  <c r="L364" i="13"/>
  <c r="L393" i="13" s="1"/>
  <c r="Y364" i="13"/>
  <c r="Y393" i="13" s="1"/>
  <c r="Z364" i="13"/>
  <c r="Z393" i="13" s="1"/>
  <c r="P364" i="13"/>
  <c r="P393" i="13" s="1"/>
  <c r="K364" i="13"/>
  <c r="K393" i="13" s="1"/>
  <c r="X364" i="13"/>
  <c r="X393" i="13" s="1"/>
  <c r="Q364" i="13"/>
  <c r="Q393" i="13" s="1"/>
  <c r="C364" i="13"/>
  <c r="C393" i="13" s="1"/>
  <c r="S364" i="13"/>
  <c r="S393" i="13" s="1"/>
  <c r="R364" i="13"/>
  <c r="R393" i="13" s="1"/>
  <c r="AB364" i="13"/>
  <c r="AB393" i="13" s="1"/>
  <c r="D364" i="13"/>
  <c r="D393" i="13" s="1"/>
  <c r="B255" i="13"/>
  <c r="B284" i="13" s="1"/>
  <c r="D255" i="13"/>
  <c r="D284" i="13" s="1"/>
  <c r="C255" i="13"/>
  <c r="C284" i="13" s="1"/>
  <c r="X255" i="13"/>
  <c r="X284" i="13" s="1"/>
  <c r="J255" i="13"/>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250" i="2"/>
  <c r="C337" i="32" s="1"/>
  <c r="B250" i="2"/>
  <c r="B337" i="32" s="1"/>
  <c r="C237" i="2"/>
  <c r="C228" i="32" s="1"/>
  <c r="B237" i="2"/>
  <c r="B228" i="32" s="1"/>
  <c r="C225" i="2"/>
  <c r="C120" i="32" s="1"/>
  <c r="B225" i="2"/>
  <c r="B120" i="32" s="1"/>
  <c r="C213" i="2"/>
  <c r="C14" i="32" s="1"/>
  <c r="B213"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250" i="2"/>
  <c r="M238"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102" i="2"/>
  <c r="L102" i="2"/>
  <c r="M90" i="2"/>
  <c r="L90" i="2"/>
  <c r="C130" i="2"/>
  <c r="B130" i="2"/>
  <c r="C116" i="2"/>
  <c r="B116" i="2"/>
  <c r="C103" i="2"/>
  <c r="B103" i="2"/>
  <c r="C90" i="2"/>
  <c r="B90" i="2"/>
  <c r="C78" i="2"/>
  <c r="B78"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AQ20" i="26"/>
  <c r="AQ225" i="26"/>
  <c r="AB245" i="26" s="1"/>
  <c r="S123" i="26"/>
  <c r="D143" i="26" s="1"/>
  <c r="AN234" i="26"/>
  <c r="V240" i="26"/>
  <c r="AR131" i="26"/>
  <c r="Y236" i="26"/>
  <c r="J256" i="26" s="1"/>
  <c r="AI130" i="24"/>
  <c r="T150" i="24" s="1"/>
  <c r="AQ126" i="26"/>
  <c r="V117" i="26"/>
  <c r="G137" i="26" s="1"/>
  <c r="AI128" i="26"/>
  <c r="T148" i="26" s="1"/>
  <c r="AC234" i="26"/>
  <c r="AO234" i="26"/>
  <c r="V20" i="26"/>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Z239" i="24"/>
  <c r="R11" i="24"/>
  <c r="C31" i="24" s="1"/>
  <c r="AK338" i="24"/>
  <c r="V358" i="24" s="1"/>
  <c r="T234" i="24"/>
  <c r="AI240" i="24"/>
  <c r="Q126" i="26"/>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AD234" i="26"/>
  <c r="X343" i="26"/>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V233" i="24"/>
  <c r="G253" i="24" s="1"/>
  <c r="AH342" i="24"/>
  <c r="S362" i="24" s="1"/>
  <c r="AP132" i="24"/>
  <c r="AG19" i="25"/>
  <c r="R39" i="25" s="1"/>
  <c r="AF132" i="25"/>
  <c r="AG17" i="26"/>
  <c r="R37" i="26" s="1"/>
  <c r="AI20" i="26"/>
  <c r="U26" i="26"/>
  <c r="AG122" i="26"/>
  <c r="R142" i="26" s="1"/>
  <c r="W126" i="26"/>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AQ133" i="25"/>
  <c r="AB153" i="25" s="1"/>
  <c r="AJ337" i="25"/>
  <c r="U357" i="25" s="1"/>
  <c r="Q122" i="26"/>
  <c r="B142" i="26" s="1"/>
  <c r="AF232" i="26"/>
  <c r="Q252" i="26" s="1"/>
  <c r="AQ341" i="26"/>
  <c r="AB361" i="26" s="1"/>
  <c r="AP120" i="24"/>
  <c r="AA140" i="24" s="1"/>
  <c r="AC227" i="24"/>
  <c r="N247" i="24" s="1"/>
  <c r="T237" i="24"/>
  <c r="E257" i="24" s="1"/>
  <c r="AK126" i="25"/>
  <c r="AB226" i="25"/>
  <c r="M246" i="25" s="1"/>
  <c r="AP236" i="25"/>
  <c r="AA256" i="25" s="1"/>
  <c r="AM230" i="26"/>
  <c r="X250" i="26" s="1"/>
  <c r="AH238" i="26"/>
  <c r="S258" i="26" s="1"/>
  <c r="AA341" i="26"/>
  <c r="L361" i="26" s="1"/>
  <c r="AL20" i="26"/>
  <c r="Z123" i="26"/>
  <c r="K143" i="26" s="1"/>
  <c r="Z343" i="26"/>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AO126" i="25"/>
  <c r="AI129" i="25"/>
  <c r="T149" i="25" s="1"/>
  <c r="U228" i="25"/>
  <c r="F248" i="25" s="1"/>
  <c r="AD17" i="25"/>
  <c r="O37" i="25" s="1"/>
  <c r="S14" i="26"/>
  <c r="D34" i="26" s="1"/>
  <c r="AH16" i="26"/>
  <c r="S36" i="26" s="1"/>
  <c r="Z20" i="26"/>
  <c r="AN23" i="26"/>
  <c r="Y43" i="26" s="1"/>
  <c r="AF26" i="26"/>
  <c r="R117" i="26"/>
  <c r="C137" i="26" s="1"/>
  <c r="AM117" i="26"/>
  <c r="X137" i="26" s="1"/>
  <c r="AE121" i="26"/>
  <c r="P141" i="26" s="1"/>
  <c r="AG126" i="26"/>
  <c r="V128" i="26"/>
  <c r="G148" i="26" s="1"/>
  <c r="AA232" i="26"/>
  <c r="L252" i="26" s="1"/>
  <c r="AP234" i="26"/>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AL225" i="24"/>
  <c r="W245" i="24" s="1"/>
  <c r="AN335" i="24"/>
  <c r="Y355" i="24" s="1"/>
  <c r="W338" i="24"/>
  <c r="H358" i="24" s="1"/>
  <c r="AL123" i="24"/>
  <c r="W143" i="24" s="1"/>
  <c r="S340" i="24"/>
  <c r="D360" i="24" s="1"/>
  <c r="AO126" i="24"/>
  <c r="AN343" i="24"/>
  <c r="Q240" i="24"/>
  <c r="AI12" i="25"/>
  <c r="T32" i="25" s="1"/>
  <c r="AI13" i="25"/>
  <c r="T33" i="25" s="1"/>
  <c r="AQ17" i="25"/>
  <c r="AB37" i="25" s="1"/>
  <c r="AA119" i="25"/>
  <c r="L139" i="25" s="1"/>
  <c r="Z126" i="25"/>
  <c r="AA129" i="25"/>
  <c r="AF225" i="25"/>
  <c r="Q245" i="25" s="1"/>
  <c r="AE227" i="25"/>
  <c r="P247" i="25" s="1"/>
  <c r="R231" i="25"/>
  <c r="C251" i="25" s="1"/>
  <c r="AB11" i="25"/>
  <c r="M31" i="25" s="1"/>
  <c r="AI20" i="25"/>
  <c r="W121" i="25"/>
  <c r="H141" i="25" s="1"/>
  <c r="AJ338" i="25"/>
  <c r="U358" i="25" s="1"/>
  <c r="AE14" i="26"/>
  <c r="P34" i="26" s="1"/>
  <c r="AE16" i="26"/>
  <c r="P36" i="26" s="1"/>
  <c r="AC20" i="26"/>
  <c r="U117" i="26"/>
  <c r="F137" i="26" s="1"/>
  <c r="AP117" i="26"/>
  <c r="AA137" i="26" s="1"/>
  <c r="AH120" i="26"/>
  <c r="S140" i="26" s="1"/>
  <c r="AO121" i="26"/>
  <c r="Z141" i="26" s="1"/>
  <c r="AI123" i="26"/>
  <c r="T143" i="26" s="1"/>
  <c r="AN124" i="26"/>
  <c r="Y144" i="26" s="1"/>
  <c r="AI126" i="26"/>
  <c r="Z128" i="26"/>
  <c r="K148" i="26" s="1"/>
  <c r="AF131" i="26"/>
  <c r="T230" i="26"/>
  <c r="E250" i="26" s="1"/>
  <c r="AE232" i="26"/>
  <c r="P252" i="26" s="1"/>
  <c r="Q236" i="26"/>
  <c r="B256" i="26" s="1"/>
  <c r="AE239" i="26"/>
  <c r="AC337" i="26"/>
  <c r="N357" i="26" s="1"/>
  <c r="AJ340" i="26"/>
  <c r="U360" i="26" s="1"/>
  <c r="AG225" i="26"/>
  <c r="R245" i="26" s="1"/>
  <c r="AI234" i="26"/>
  <c r="AJ240" i="26"/>
  <c r="AJ13" i="24"/>
  <c r="U33" i="24" s="1"/>
  <c r="V27" i="24"/>
  <c r="G47" i="24" s="1"/>
  <c r="AM126" i="25"/>
  <c r="AB126" i="25"/>
  <c r="AR126" i="25"/>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AC126" i="25"/>
  <c r="S128" i="25"/>
  <c r="AD131" i="25"/>
  <c r="AO133" i="25"/>
  <c r="Z153" i="25" s="1"/>
  <c r="AE231" i="25"/>
  <c r="P251" i="25" s="1"/>
  <c r="AE341" i="25"/>
  <c r="P361" i="25" s="1"/>
  <c r="S15" i="26"/>
  <c r="D35" i="26" s="1"/>
  <c r="V16" i="26"/>
  <c r="G36" i="26" s="1"/>
  <c r="AP25" i="26"/>
  <c r="W117" i="26"/>
  <c r="H137" i="26" s="1"/>
  <c r="AI120" i="26"/>
  <c r="T140" i="26" s="1"/>
  <c r="AR126" i="26"/>
  <c r="AE128" i="26"/>
  <c r="P148" i="26" s="1"/>
  <c r="AG129" i="26"/>
  <c r="R149" i="26" s="1"/>
  <c r="AG131" i="26"/>
  <c r="Z227" i="26"/>
  <c r="K247" i="26" s="1"/>
  <c r="U234" i="26"/>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AG126" i="25"/>
  <c r="AL231" i="25"/>
  <c r="W251" i="25" s="1"/>
  <c r="AI341" i="25"/>
  <c r="T361" i="25" s="1"/>
  <c r="W16" i="26"/>
  <c r="H36" i="26" s="1"/>
  <c r="H54" i="26" s="1"/>
  <c r="AP20" i="26"/>
  <c r="Z117" i="26"/>
  <c r="K137" i="26" s="1"/>
  <c r="AD123" i="26"/>
  <c r="O143" i="26" s="1"/>
  <c r="AJ126" i="26"/>
  <c r="AF128" i="26"/>
  <c r="Q148" i="26" s="1"/>
  <c r="AJ128" i="26"/>
  <c r="U148" i="26" s="1"/>
  <c r="AA129" i="26"/>
  <c r="L149" i="26" s="1"/>
  <c r="U131" i="26"/>
  <c r="AC133" i="26"/>
  <c r="N153" i="26" s="1"/>
  <c r="U227" i="26"/>
  <c r="F247" i="26" s="1"/>
  <c r="V234" i="26"/>
  <c r="Z236" i="26"/>
  <c r="K256" i="26" s="1"/>
  <c r="AN237" i="26"/>
  <c r="Y257" i="26" s="1"/>
  <c r="AJ241" i="26"/>
  <c r="AO341" i="26"/>
  <c r="Z361" i="26" s="1"/>
  <c r="AA347" i="26"/>
  <c r="L367" i="26" s="1"/>
  <c r="AH15" i="26"/>
  <c r="S35" i="26" s="1"/>
  <c r="AB227" i="24"/>
  <c r="M247" i="24" s="1"/>
  <c r="AR229" i="24"/>
  <c r="AC249" i="24" s="1"/>
  <c r="AQ237" i="24"/>
  <c r="AB257" i="24" s="1"/>
  <c r="R126" i="25"/>
  <c r="AH126" i="25"/>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AP230" i="25"/>
  <c r="AA250" i="25" s="1"/>
  <c r="AA268" i="25" s="1"/>
  <c r="AI337" i="25"/>
  <c r="T357" i="25" s="1"/>
  <c r="AN20" i="26"/>
  <c r="AD117" i="26"/>
  <c r="O137" i="26" s="1"/>
  <c r="AJ122" i="26"/>
  <c r="U142" i="26" s="1"/>
  <c r="U126" i="26"/>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V343" i="25"/>
  <c r="AG343" i="25"/>
  <c r="AK343" i="25"/>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AM23" i="26"/>
  <c r="X43" i="26" s="1"/>
  <c r="AR119" i="26"/>
  <c r="AC139" i="26" s="1"/>
  <c r="Z120" i="26"/>
  <c r="K140" i="26" s="1"/>
  <c r="S122" i="26"/>
  <c r="D142" i="26" s="1"/>
  <c r="AI122" i="26"/>
  <c r="T142" i="26" s="1"/>
  <c r="T123" i="26"/>
  <c r="E143" i="26" s="1"/>
  <c r="AI124" i="26"/>
  <c r="T144" i="26" s="1"/>
  <c r="AC124" i="26"/>
  <c r="N144" i="26" s="1"/>
  <c r="S126" i="26"/>
  <c r="AM126" i="26"/>
  <c r="X131" i="26"/>
  <c r="V133" i="26"/>
  <c r="G153" i="26" s="1"/>
  <c r="AA234" i="26"/>
  <c r="AQ234" i="26"/>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AR129" i="26"/>
  <c r="AC149" i="26" s="1"/>
  <c r="AK129" i="26"/>
  <c r="V149" i="26" s="1"/>
  <c r="AJ130" i="26"/>
  <c r="U150" i="26" s="1"/>
  <c r="Q234" i="26"/>
  <c r="AG234" i="26"/>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Q129" i="26"/>
  <c r="B149" i="26" s="1"/>
  <c r="AL129" i="26"/>
  <c r="W149" i="26" s="1"/>
  <c r="T130" i="26"/>
  <c r="E150" i="26" s="1"/>
  <c r="AJ131" i="26"/>
  <c r="AI131" i="26"/>
  <c r="AN133" i="26"/>
  <c r="Y153" i="26" s="1"/>
  <c r="AG133" i="26"/>
  <c r="R153" i="26" s="1"/>
  <c r="R234" i="26"/>
  <c r="AH234" i="26"/>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W338" i="25"/>
  <c r="H358" i="25" s="1"/>
  <c r="AO240" i="25"/>
  <c r="Q14" i="26"/>
  <c r="B34" i="26" s="1"/>
  <c r="U16" i="26"/>
  <c r="F36" i="26" s="1"/>
  <c r="AK16" i="26"/>
  <c r="V36" i="26" s="1"/>
  <c r="AN18" i="26"/>
  <c r="Y38" i="26" s="1"/>
  <c r="Q20" i="26"/>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U20" i="26"/>
  <c r="AH20" i="26"/>
  <c r="R20" i="26"/>
  <c r="AG20" i="26"/>
  <c r="S20" i="26"/>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AE20" i="26"/>
  <c r="W20" i="26"/>
  <c r="Y20" i="26"/>
  <c r="AK20" i="26"/>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AB20" i="26"/>
  <c r="AJ20" i="26"/>
  <c r="AR20" i="26"/>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AF20" i="26"/>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AD126" i="26"/>
  <c r="V126" i="26"/>
  <c r="AP126" i="26"/>
  <c r="AH126" i="26"/>
  <c r="Z126" i="26"/>
  <c r="R126" i="26"/>
  <c r="AA126" i="26"/>
  <c r="AK126" i="26"/>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AN126" i="26"/>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AE126" i="26"/>
  <c r="AO126" i="26"/>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AE234" i="26"/>
  <c r="W234" i="26"/>
  <c r="Y234" i="26"/>
  <c r="AK234" i="26"/>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AL234" i="26"/>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AB234" i="26"/>
  <c r="AJ234" i="26"/>
  <c r="AR234" i="26"/>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AF234" i="26"/>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AK343" i="26"/>
  <c r="AB343" i="26"/>
  <c r="S343" i="26"/>
  <c r="AJ343" i="26"/>
  <c r="AA343" i="26"/>
  <c r="R343" i="26"/>
  <c r="AG343" i="26"/>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AP343" i="26"/>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AR343" i="26"/>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AE343" i="26"/>
  <c r="W343" i="26"/>
  <c r="Y343" i="26"/>
  <c r="AH343" i="26"/>
  <c r="AQ343" i="26"/>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AC343" i="26"/>
  <c r="AL343" i="26"/>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AN343" i="26"/>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AN20" i="25"/>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AR20" i="25"/>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H20" i="25"/>
  <c r="Z20" i="25"/>
  <c r="R20" i="25"/>
  <c r="AO20" i="25"/>
  <c r="AG20" i="25"/>
  <c r="Y20" i="25"/>
  <c r="Q20" i="25"/>
  <c r="AM20" i="25"/>
  <c r="AE20" i="25"/>
  <c r="W20" i="25"/>
  <c r="AL20" i="25"/>
  <c r="AD20" i="25"/>
  <c r="V20" i="25"/>
  <c r="AK20" i="25"/>
  <c r="AC20" i="25"/>
  <c r="U20" i="25"/>
  <c r="AJ20" i="25"/>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T234" i="25"/>
  <c r="AR234" i="25"/>
  <c r="AE234" i="25"/>
  <c r="S234" i="25"/>
  <c r="AQ234" i="25"/>
  <c r="AD234" i="25"/>
  <c r="R234" i="25"/>
  <c r="AP234" i="25"/>
  <c r="AB234" i="25"/>
  <c r="AJ234" i="25"/>
  <c r="W234" i="25"/>
  <c r="AL234" i="25"/>
  <c r="AI234" i="25"/>
  <c r="Z234" i="25"/>
  <c r="X121" i="25"/>
  <c r="I141" i="25" s="1"/>
  <c r="AF121" i="25"/>
  <c r="Q141" i="25" s="1"/>
  <c r="AN121" i="25"/>
  <c r="Y141" i="25" s="1"/>
  <c r="T125" i="25"/>
  <c r="E145" i="25" s="1"/>
  <c r="AB125" i="25"/>
  <c r="M145" i="25" s="1"/>
  <c r="AJ125" i="25"/>
  <c r="U145" i="25" s="1"/>
  <c r="AR125" i="25"/>
  <c r="AC145" i="25" s="1"/>
  <c r="S126" i="25"/>
  <c r="AA126" i="25"/>
  <c r="AI126" i="25"/>
  <c r="AQ126" i="25"/>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AD126" i="25"/>
  <c r="AL126" i="25"/>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AJ121" i="25"/>
  <c r="U141" i="25" s="1"/>
  <c r="AR121" i="25"/>
  <c r="AC141" i="25" s="1"/>
  <c r="X125" i="25"/>
  <c r="I145" i="25" s="1"/>
  <c r="AF125" i="25"/>
  <c r="Q145" i="25" s="1"/>
  <c r="AN125" i="25"/>
  <c r="Y145" i="25" s="1"/>
  <c r="W126" i="25"/>
  <c r="AE126" i="25"/>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AF126" i="25"/>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AC234" i="25"/>
  <c r="AK234" i="25"/>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AF234" i="25"/>
  <c r="AN234" i="25"/>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Y234" i="25"/>
  <c r="AG234" i="25"/>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I343" i="25"/>
  <c r="AA343" i="25"/>
  <c r="S343" i="25"/>
  <c r="Y343" i="25"/>
  <c r="AL343" i="25"/>
  <c r="AG349" i="25"/>
  <c r="Z343" i="25"/>
  <c r="AM343" i="25"/>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AP343" i="25"/>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AD343" i="25"/>
  <c r="AQ343" i="25"/>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AE343" i="25"/>
  <c r="V349" i="25"/>
  <c r="U343" i="25"/>
  <c r="X335" i="25"/>
  <c r="I355" i="25" s="1"/>
  <c r="AF335" i="25"/>
  <c r="Q355" i="25" s="1"/>
  <c r="AN335" i="25"/>
  <c r="Y355" i="25" s="1"/>
  <c r="U338" i="25"/>
  <c r="F358" i="25" s="1"/>
  <c r="AC338" i="25"/>
  <c r="N358" i="25" s="1"/>
  <c r="AK338" i="25"/>
  <c r="V358" i="25" s="1"/>
  <c r="AR339" i="25"/>
  <c r="AC359" i="25" s="1"/>
  <c r="AO343" i="25"/>
  <c r="X343" i="25"/>
  <c r="AF343" i="25"/>
  <c r="AN343" i="25"/>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AB343" i="25"/>
  <c r="AJ343" i="25"/>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AJ118" i="24"/>
  <c r="U138" i="24" s="1"/>
  <c r="Y121" i="24"/>
  <c r="J141" i="24" s="1"/>
  <c r="AF125" i="24"/>
  <c r="Q145" i="24" s="1"/>
  <c r="Y126" i="24"/>
  <c r="AG229" i="24"/>
  <c r="R249" i="24" s="1"/>
  <c r="AB231" i="24"/>
  <c r="M251" i="24" s="1"/>
  <c r="AR231" i="24"/>
  <c r="AC251" i="24" s="1"/>
  <c r="U236" i="24"/>
  <c r="F256" i="24" s="1"/>
  <c r="AO11" i="24"/>
  <c r="Z31" i="24" s="1"/>
  <c r="AQ340" i="24"/>
  <c r="AB360" i="24" s="1"/>
  <c r="AJ343" i="24"/>
  <c r="Y12" i="24"/>
  <c r="J32" i="24" s="1"/>
  <c r="AG121" i="24"/>
  <c r="R141" i="24" s="1"/>
  <c r="AJ125" i="24"/>
  <c r="U145" i="24" s="1"/>
  <c r="AH125" i="24"/>
  <c r="S145" i="24" s="1"/>
  <c r="Z126" i="24"/>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Y342" i="24"/>
  <c r="J362" i="24" s="1"/>
  <c r="AG343" i="24"/>
  <c r="Z342" i="24"/>
  <c r="K362" i="24" s="1"/>
  <c r="AD342" i="24"/>
  <c r="O362" i="24" s="1"/>
  <c r="Z233" i="24"/>
  <c r="K253" i="24" s="1"/>
  <c r="AO234" i="24"/>
  <c r="W236" i="24"/>
  <c r="H256" i="24" s="1"/>
  <c r="AN236" i="24"/>
  <c r="Y256" i="24" s="1"/>
  <c r="AC233" i="24"/>
  <c r="N253" i="24" s="1"/>
  <c r="Z234" i="24"/>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AF20" i="24"/>
  <c r="AP20" i="24"/>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AR20" i="24"/>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AE20" i="24"/>
  <c r="W20" i="24"/>
  <c r="AQ20" i="24"/>
  <c r="AI20" i="24"/>
  <c r="AA20" i="24"/>
  <c r="S20" i="24"/>
  <c r="Z20" i="24"/>
  <c r="AK20" i="24"/>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AB20" i="24"/>
  <c r="AL20" i="24"/>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AC20" i="24"/>
  <c r="AN20" i="24"/>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AO20" i="24"/>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R128" i="24"/>
  <c r="C148" i="24" s="1"/>
  <c r="AG128" i="24"/>
  <c r="R148" i="24" s="1"/>
  <c r="Y129" i="24"/>
  <c r="J149" i="24" s="1"/>
  <c r="AO129" i="24"/>
  <c r="Z149" i="24" s="1"/>
  <c r="R130" i="24"/>
  <c r="C150" i="24" s="1"/>
  <c r="AJ130" i="24"/>
  <c r="U150" i="24" s="1"/>
  <c r="AH131" i="24"/>
  <c r="AF132" i="24"/>
  <c r="AL126" i="24"/>
  <c r="AD126" i="24"/>
  <c r="V126" i="24"/>
  <c r="AK126" i="24"/>
  <c r="AC126" i="24"/>
  <c r="U126" i="24"/>
  <c r="AR126" i="24"/>
  <c r="AH126" i="24"/>
  <c r="X126" i="24"/>
  <c r="AN126" i="24"/>
  <c r="AB126" i="24"/>
  <c r="R126" i="24"/>
  <c r="AE126" i="24"/>
  <c r="AQ126" i="24"/>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AF126" i="24"/>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AI126" i="24"/>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AJ126" i="24"/>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AE234" i="24"/>
  <c r="W234" i="24"/>
  <c r="AQ234" i="24"/>
  <c r="AI234" i="24"/>
  <c r="AA234" i="24"/>
  <c r="S234" i="24"/>
  <c r="AH234" i="24"/>
  <c r="X234" i="24"/>
  <c r="AR234" i="24"/>
  <c r="AG234" i="24"/>
  <c r="V234" i="24"/>
  <c r="AP234" i="24"/>
  <c r="AF234" i="24"/>
  <c r="U234" i="24"/>
  <c r="AN234" i="24"/>
  <c r="AC234" i="24"/>
  <c r="R234" i="24"/>
  <c r="AL234" i="24"/>
  <c r="AB234" i="24"/>
  <c r="Q234" i="24"/>
  <c r="AK234" i="24"/>
  <c r="Y234" i="24"/>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AE343" i="24"/>
  <c r="W343" i="24"/>
  <c r="AL343" i="24"/>
  <c r="AD343" i="24"/>
  <c r="V343" i="24"/>
  <c r="AQ343" i="24"/>
  <c r="AI343" i="24"/>
  <c r="AA343" i="24"/>
  <c r="S343" i="24"/>
  <c r="AK343" i="24"/>
  <c r="Y343" i="24"/>
  <c r="AH343" i="24"/>
  <c r="U343" i="24"/>
  <c r="AR343" i="24"/>
  <c r="AF343" i="24"/>
  <c r="R343" i="24"/>
  <c r="AP343" i="24"/>
  <c r="AC343" i="24"/>
  <c r="Q343" i="24"/>
  <c r="AO343" i="24"/>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AC126" i="3"/>
  <c r="AK126" i="3"/>
  <c r="V126" i="3"/>
  <c r="AD126" i="3"/>
  <c r="AL126" i="3"/>
  <c r="W126" i="3"/>
  <c r="AE126" i="3"/>
  <c r="AM126" i="3"/>
  <c r="X126" i="3"/>
  <c r="AF126" i="3"/>
  <c r="AN126" i="3"/>
  <c r="Y126" i="3"/>
  <c r="AG126" i="3"/>
  <c r="AO126" i="3"/>
  <c r="R126" i="3"/>
  <c r="Z126" i="3"/>
  <c r="AH126" i="3"/>
  <c r="AP126" i="3"/>
  <c r="S126" i="3"/>
  <c r="AA126" i="3"/>
  <c r="AI126" i="3"/>
  <c r="AQ126" i="3"/>
  <c r="AJ126" i="3"/>
  <c r="AB126" i="3"/>
  <c r="AR126" i="3"/>
  <c r="T126" i="3"/>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AC20" i="3"/>
  <c r="AK20" i="3"/>
  <c r="V20" i="3"/>
  <c r="W20" i="3"/>
  <c r="AE20" i="3"/>
  <c r="AM20" i="3"/>
  <c r="AG20" i="3"/>
  <c r="R20" i="3"/>
  <c r="Z20" i="3"/>
  <c r="AH20" i="3"/>
  <c r="X20" i="3"/>
  <c r="AF20" i="3"/>
  <c r="AN20" i="3"/>
  <c r="Y20" i="3"/>
  <c r="AO20" i="3"/>
  <c r="AP20" i="3"/>
  <c r="AL20" i="3"/>
  <c r="S20" i="3"/>
  <c r="AA20" i="3"/>
  <c r="AI20" i="3"/>
  <c r="AQ20" i="3"/>
  <c r="T20" i="3"/>
  <c r="AB20" i="3"/>
  <c r="AJ20" i="3"/>
  <c r="AR20" i="3"/>
  <c r="AD20" i="3"/>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U229" i="19"/>
  <c r="F249" i="19" s="1"/>
  <c r="AB20" i="20"/>
  <c r="V343" i="20"/>
  <c r="U229" i="20"/>
  <c r="F249" i="20" s="1"/>
  <c r="AL20" i="23"/>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G137" i="20" s="1"/>
  <c r="AK125" i="20"/>
  <c r="V145" i="20" s="1"/>
  <c r="AM132" i="20"/>
  <c r="U126" i="21"/>
  <c r="AR24" i="23"/>
  <c r="AC44" i="23" s="1"/>
  <c r="AA448" i="23"/>
  <c r="AQ439" i="21"/>
  <c r="AB459" i="21" s="1"/>
  <c r="W15" i="19"/>
  <c r="H35" i="19" s="1"/>
  <c r="Q229" i="19"/>
  <c r="B249" i="19" s="1"/>
  <c r="AO229" i="19"/>
  <c r="Z249" i="19" s="1"/>
  <c r="S231" i="19"/>
  <c r="D251" i="19" s="1"/>
  <c r="D269" i="19" s="1"/>
  <c r="W17" i="19"/>
  <c r="H37" i="19" s="1"/>
  <c r="AF12" i="19"/>
  <c r="Q32" i="19" s="1"/>
  <c r="U234" i="19"/>
  <c r="AI454" i="19"/>
  <c r="AN340" i="20"/>
  <c r="Y360" i="20" s="1"/>
  <c r="AD441" i="22"/>
  <c r="O461" i="22" s="1"/>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S121" i="20"/>
  <c r="D141" i="20" s="1"/>
  <c r="AJ118" i="21"/>
  <c r="U138" i="21" s="1"/>
  <c r="AN117" i="21"/>
  <c r="Y137" i="21" s="1"/>
  <c r="V25" i="19"/>
  <c r="AL123" i="19"/>
  <c r="W143" i="19" s="1"/>
  <c r="W161" i="19" s="1"/>
  <c r="AB342" i="19"/>
  <c r="M362" i="19" s="1"/>
  <c r="AN15" i="21"/>
  <c r="Y35" i="21" s="1"/>
  <c r="AR118" i="21"/>
  <c r="AC138" i="21" s="1"/>
  <c r="V126" i="21"/>
  <c r="AI340" i="21"/>
  <c r="T360" i="21" s="1"/>
  <c r="AQ15" i="21"/>
  <c r="AB35" i="21" s="1"/>
  <c r="R118" i="21"/>
  <c r="C138" i="21" s="1"/>
  <c r="W126" i="21"/>
  <c r="T339" i="22"/>
  <c r="E359" i="22" s="1"/>
  <c r="AF239" i="23"/>
  <c r="S120" i="19"/>
  <c r="D140" i="19" s="1"/>
  <c r="S22" i="19"/>
  <c r="D42" i="19" s="1"/>
  <c r="W121" i="19"/>
  <c r="H141" i="19" s="1"/>
  <c r="R340" i="20"/>
  <c r="C360" i="20" s="1"/>
  <c r="U118" i="21"/>
  <c r="F138" i="21" s="1"/>
  <c r="AC126" i="21"/>
  <c r="T229" i="21"/>
  <c r="E249" i="21" s="1"/>
  <c r="AM118" i="19"/>
  <c r="X138" i="19" s="1"/>
  <c r="X240" i="20"/>
  <c r="AR337" i="19"/>
  <c r="AC357" i="19" s="1"/>
  <c r="AM440" i="19"/>
  <c r="X460" i="19" s="1"/>
  <c r="AN130" i="20"/>
  <c r="Y150" i="20" s="1"/>
  <c r="AL238" i="20"/>
  <c r="W258" i="20" s="1"/>
  <c r="AK15" i="21"/>
  <c r="V35" i="21" s="1"/>
  <c r="Z118" i="21"/>
  <c r="K138" i="21" s="1"/>
  <c r="AH126" i="21"/>
  <c r="AH334" i="22"/>
  <c r="S354" i="22" s="1"/>
  <c r="T12" i="20"/>
  <c r="E32" i="20" s="1"/>
  <c r="AC118" i="20"/>
  <c r="N138" i="20" s="1"/>
  <c r="AM126" i="20"/>
  <c r="S15" i="21"/>
  <c r="D35" i="21" s="1"/>
  <c r="AA118" i="21"/>
  <c r="L138" i="21" s="1"/>
  <c r="AI126" i="21"/>
  <c r="AM232" i="22"/>
  <c r="X252" i="22" s="1"/>
  <c r="Z23" i="23"/>
  <c r="K43" i="23" s="1"/>
  <c r="AO236" i="23"/>
  <c r="Z256" i="23" s="1"/>
  <c r="AK17" i="19"/>
  <c r="V37" i="19" s="1"/>
  <c r="AP118" i="20"/>
  <c r="AA138" i="20" s="1"/>
  <c r="V15" i="21"/>
  <c r="G35" i="21" s="1"/>
  <c r="AD118" i="21"/>
  <c r="O138" i="21" s="1"/>
  <c r="AE126" i="21"/>
  <c r="AK126" i="21"/>
  <c r="V226" i="21"/>
  <c r="G246" i="21" s="1"/>
  <c r="AE443" i="21"/>
  <c r="P463" i="21" s="1"/>
  <c r="AM234" i="2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K475" i="21" s="1"/>
  <c r="AE335" i="21"/>
  <c r="P355" i="21" s="1"/>
  <c r="AG121" i="21"/>
  <c r="R141" i="21" s="1"/>
  <c r="AJ231" i="21"/>
  <c r="U251" i="21" s="1"/>
  <c r="AF125" i="21"/>
  <c r="Q145" i="21" s="1"/>
  <c r="AR343" i="2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AE341" i="21"/>
  <c r="P361" i="21" s="1"/>
  <c r="AC442" i="21"/>
  <c r="N462" i="21" s="1"/>
  <c r="AX11" i="22"/>
  <c r="AP25" i="22"/>
  <c r="R121" i="22"/>
  <c r="C141" i="22" s="1"/>
  <c r="Q236" i="22"/>
  <c r="B256" i="22" s="1"/>
  <c r="U239" i="22"/>
  <c r="AL15" i="22"/>
  <c r="W35" i="22" s="1"/>
  <c r="AJ118" i="22"/>
  <c r="U138" i="22" s="1"/>
  <c r="AB126" i="22"/>
  <c r="AK342" i="22"/>
  <c r="V362" i="22" s="1"/>
  <c r="Z227" i="23"/>
  <c r="K247" i="23" s="1"/>
  <c r="AH455" i="23"/>
  <c r="S475" i="23" s="1"/>
  <c r="U20" i="23"/>
  <c r="AI448" i="23"/>
  <c r="AA22" i="19"/>
  <c r="L42" i="19" s="1"/>
  <c r="T123" i="19"/>
  <c r="E143" i="19" s="1"/>
  <c r="U12" i="20"/>
  <c r="F32" i="20" s="1"/>
  <c r="AA120" i="20"/>
  <c r="L140" i="20" s="1"/>
  <c r="W126" i="20"/>
  <c r="AA236" i="20"/>
  <c r="L256" i="20" s="1"/>
  <c r="AP238" i="20"/>
  <c r="AA258" i="20" s="1"/>
  <c r="AE240" i="20"/>
  <c r="AE346" i="20"/>
  <c r="P366" i="20" s="1"/>
  <c r="AN445" i="20"/>
  <c r="Y465" i="20" s="1"/>
  <c r="R448" i="20"/>
  <c r="AQ443" i="20"/>
  <c r="AB463" i="20" s="1"/>
  <c r="W119" i="21"/>
  <c r="H139" i="21" s="1"/>
  <c r="AC129" i="21"/>
  <c r="N149" i="21" s="1"/>
  <c r="AH234" i="21"/>
  <c r="AB442" i="21"/>
  <c r="M462" i="21" s="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AK236" i="20"/>
  <c r="V256" i="20" s="1"/>
  <c r="AQ342" i="20"/>
  <c r="AB362" i="20" s="1"/>
  <c r="R11" i="22"/>
  <c r="C31" i="22" s="1"/>
  <c r="AC26" i="19"/>
  <c r="Q342" i="19"/>
  <c r="B362" i="19" s="1"/>
  <c r="R440" i="19"/>
  <c r="C460" i="19" s="1"/>
  <c r="Z443" i="19"/>
  <c r="K463" i="19" s="1"/>
  <c r="W118" i="20"/>
  <c r="H138" i="20" s="1"/>
  <c r="AA119" i="20"/>
  <c r="L139" i="20" s="1"/>
  <c r="AE121" i="20"/>
  <c r="P141" i="20" s="1"/>
  <c r="AI126" i="20"/>
  <c r="AO236" i="20"/>
  <c r="Z256" i="20" s="1"/>
  <c r="S131" i="21"/>
  <c r="Z347" i="21"/>
  <c r="K367" i="21" s="1"/>
  <c r="AA453" i="21"/>
  <c r="AK20" i="21"/>
  <c r="X334" i="21"/>
  <c r="I354" i="21" s="1"/>
  <c r="AD123" i="21"/>
  <c r="O143" i="21" s="1"/>
  <c r="AM342" i="21"/>
  <c r="X362" i="21" s="1"/>
  <c r="AC448" i="2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T234" i="19"/>
  <c r="AR447" i="19"/>
  <c r="AC467" i="19" s="1"/>
  <c r="AM240" i="19"/>
  <c r="S454" i="19"/>
  <c r="U338" i="19"/>
  <c r="F358" i="19" s="1"/>
  <c r="AO131" i="21"/>
  <c r="AN118" i="19"/>
  <c r="Y138" i="19" s="1"/>
  <c r="AC234" i="19"/>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Z360" i="20" s="1"/>
  <c r="AB341" i="20"/>
  <c r="M361" i="20" s="1"/>
  <c r="AL441" i="20"/>
  <c r="W461" i="20" s="1"/>
  <c r="X226" i="20"/>
  <c r="I246" i="20" s="1"/>
  <c r="Y450" i="20"/>
  <c r="J470" i="20" s="1"/>
  <c r="AM234" i="20"/>
  <c r="AN454" i="20"/>
  <c r="V232" i="21"/>
  <c r="G252" i="21" s="1"/>
  <c r="R441" i="21"/>
  <c r="C461" i="21" s="1"/>
  <c r="AO455" i="21"/>
  <c r="Z475" i="21" s="1"/>
  <c r="AH448" i="21"/>
  <c r="AK24" i="22"/>
  <c r="V44" i="22" s="1"/>
  <c r="Q25" i="22"/>
  <c r="T27" i="22"/>
  <c r="E47" i="22" s="1"/>
  <c r="AB227" i="22"/>
  <c r="M247" i="22" s="1"/>
  <c r="AJ334" i="22"/>
  <c r="U354" i="22" s="1"/>
  <c r="AM450" i="22"/>
  <c r="X470" i="22" s="1"/>
  <c r="AI24" i="23"/>
  <c r="T44" i="23" s="1"/>
  <c r="AR120" i="23"/>
  <c r="AC140" i="23" s="1"/>
  <c r="AL129" i="23"/>
  <c r="W149" i="23" s="1"/>
  <c r="AG131" i="23"/>
  <c r="R232" i="23"/>
  <c r="C252" i="23" s="1"/>
  <c r="AC341" i="23"/>
  <c r="N361" i="23" s="1"/>
  <c r="Q442" i="23"/>
  <c r="B462" i="23" s="1"/>
  <c r="AJ226" i="19"/>
  <c r="U246" i="19" s="1"/>
  <c r="AJ234" i="19"/>
  <c r="AG340" i="19"/>
  <c r="R360" i="19" s="1"/>
  <c r="AD447" i="19"/>
  <c r="O467" i="19" s="1"/>
  <c r="AR117" i="20"/>
  <c r="AC137" i="20" s="1"/>
  <c r="Z128" i="20"/>
  <c r="K148" i="20" s="1"/>
  <c r="AF226" i="20"/>
  <c r="Q246" i="20" s="1"/>
  <c r="AM227" i="20"/>
  <c r="X247" i="20" s="1"/>
  <c r="X340" i="20"/>
  <c r="I360" i="20" s="1"/>
  <c r="AP340" i="20"/>
  <c r="AA360" i="20" s="1"/>
  <c r="AQ236" i="19"/>
  <c r="AB256" i="19" s="1"/>
  <c r="AF240" i="19"/>
  <c r="AN447" i="20"/>
  <c r="Y467" i="20" s="1"/>
  <c r="AR232" i="21"/>
  <c r="AC252" i="21" s="1"/>
  <c r="AO238" i="21"/>
  <c r="Z258" i="21" s="1"/>
  <c r="AG441" i="21"/>
  <c r="R461" i="21" s="1"/>
  <c r="S455" i="21"/>
  <c r="D475" i="21" s="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C360" i="20" s="1"/>
  <c r="AH450" i="20"/>
  <c r="S470" i="20" s="1"/>
  <c r="AA232" i="21"/>
  <c r="L252" i="21" s="1"/>
  <c r="AB337" i="21"/>
  <c r="M357" i="21" s="1"/>
  <c r="AI126" i="22"/>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B461" i="21" s="1"/>
  <c r="AL442" i="21"/>
  <c r="W462" i="21" s="1"/>
  <c r="AH444" i="21"/>
  <c r="S464" i="21" s="1"/>
  <c r="Q27" i="22"/>
  <c r="B47" i="22" s="1"/>
  <c r="AH227" i="22"/>
  <c r="S247" i="22" s="1"/>
  <c r="AO240" i="22"/>
  <c r="AR339" i="22"/>
  <c r="AC359" i="22" s="1"/>
  <c r="AM348" i="22"/>
  <c r="AC118" i="22"/>
  <c r="N138" i="22" s="1"/>
  <c r="AG439" i="22"/>
  <c r="R459" i="22" s="1"/>
  <c r="AN126" i="22"/>
  <c r="AO342" i="22"/>
  <c r="Z362" i="22" s="1"/>
  <c r="AA447" i="22"/>
  <c r="L467" i="22" s="1"/>
  <c r="AP232" i="23"/>
  <c r="AA252" i="23" s="1"/>
  <c r="AP446" i="23"/>
  <c r="AA466" i="23" s="1"/>
  <c r="AQ15" i="23"/>
  <c r="AB35" i="23" s="1"/>
  <c r="AK126" i="23"/>
  <c r="AH12" i="19"/>
  <c r="S32" i="19" s="1"/>
  <c r="AC17" i="19"/>
  <c r="N37" i="19" s="1"/>
  <c r="AB18" i="19"/>
  <c r="M38" i="19" s="1"/>
  <c r="AG124" i="19"/>
  <c r="R144" i="19" s="1"/>
  <c r="Q452" i="19"/>
  <c r="B472" i="19" s="1"/>
  <c r="AQ346" i="20"/>
  <c r="AB366" i="20" s="1"/>
  <c r="W448" i="20"/>
  <c r="Y19" i="22"/>
  <c r="J39" i="22" s="1"/>
  <c r="Q19" i="22"/>
  <c r="B39" i="22" s="1"/>
  <c r="AX32" i="22"/>
  <c r="S20" i="22"/>
  <c r="AA20" i="22"/>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AB343" i="22"/>
  <c r="AP340" i="23"/>
  <c r="AA360" i="23" s="1"/>
  <c r="AD340" i="23"/>
  <c r="O360" i="23" s="1"/>
  <c r="AP27" i="19"/>
  <c r="AA47" i="19" s="1"/>
  <c r="U124" i="19"/>
  <c r="F144" i="19" s="1"/>
  <c r="W131" i="19"/>
  <c r="AI227" i="19"/>
  <c r="T247" i="19" s="1"/>
  <c r="W241" i="19"/>
  <c r="H261" i="19" s="1"/>
  <c r="AD442" i="19"/>
  <c r="O462" i="19" s="1"/>
  <c r="X451" i="19"/>
  <c r="I471" i="19" s="1"/>
  <c r="AG348" i="20"/>
  <c r="AH448" i="20"/>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Q124" i="21"/>
  <c r="B144" i="21" s="1"/>
  <c r="Y241" i="21"/>
  <c r="J261" i="21" s="1"/>
  <c r="Q241" i="21"/>
  <c r="B261" i="21" s="1"/>
  <c r="AN335" i="21"/>
  <c r="Y355" i="21" s="1"/>
  <c r="AF343" i="2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AQ14" i="21"/>
  <c r="AB34" i="21" s="1"/>
  <c r="S23" i="21"/>
  <c r="D43" i="21" s="1"/>
  <c r="AN25" i="21"/>
  <c r="X26" i="21"/>
  <c r="AR124" i="21"/>
  <c r="AC144" i="21" s="1"/>
  <c r="AI232" i="21"/>
  <c r="T252" i="21" s="1"/>
  <c r="AH237" i="21"/>
  <c r="S257" i="21" s="1"/>
  <c r="X348" i="21"/>
  <c r="AO349" i="21"/>
  <c r="W444" i="21"/>
  <c r="H464" i="21" s="1"/>
  <c r="R448" i="2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V26" i="21"/>
  <c r="AQ133" i="21"/>
  <c r="AB153" i="21" s="1"/>
  <c r="AL132" i="22"/>
  <c r="AK350" i="22"/>
  <c r="V370" i="22" s="1"/>
  <c r="AQ16" i="23"/>
  <c r="AB36" i="23" s="1"/>
  <c r="Q131" i="23"/>
  <c r="AN132" i="23"/>
  <c r="W228" i="23"/>
  <c r="H248" i="23" s="1"/>
  <c r="W339" i="23"/>
  <c r="H359" i="23" s="1"/>
  <c r="H377" i="23" s="1"/>
  <c r="AC451" i="23"/>
  <c r="N471" i="23" s="1"/>
  <c r="AH334" i="23"/>
  <c r="S354" i="23" s="1"/>
  <c r="AG234" i="23"/>
  <c r="AK16" i="21"/>
  <c r="V36" i="21" s="1"/>
  <c r="AD27" i="21"/>
  <c r="O47" i="21" s="1"/>
  <c r="U133" i="21"/>
  <c r="F153" i="21" s="1"/>
  <c r="AF348" i="21"/>
  <c r="AE444" i="21"/>
  <c r="P464" i="21" s="1"/>
  <c r="P482" i="21" s="1"/>
  <c r="AH226" i="21"/>
  <c r="S246" i="21" s="1"/>
  <c r="AR340" i="21"/>
  <c r="AC360" i="21" s="1"/>
  <c r="AC378" i="21" s="1"/>
  <c r="Y234" i="2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A257" i="21" s="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AD448" i="20"/>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AI448" i="21"/>
  <c r="AN448" i="2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AD126" i="23"/>
  <c r="AN126" i="23"/>
  <c r="AO234" i="23"/>
  <c r="U234" i="23"/>
  <c r="AI234" i="23"/>
  <c r="T234" i="23"/>
  <c r="AH234" i="23"/>
  <c r="S234" i="23"/>
  <c r="AF234" i="23"/>
  <c r="AR234" i="23"/>
  <c r="AC234" i="23"/>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AL448" i="22"/>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AP234" i="23"/>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V447" i="23"/>
  <c r="G467" i="23" s="1"/>
  <c r="U448" i="23"/>
  <c r="X448" i="23"/>
  <c r="X342" i="23"/>
  <c r="I362" i="23" s="1"/>
  <c r="AH343" i="23"/>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Y20" i="23"/>
  <c r="AG20" i="23"/>
  <c r="AO20" i="23"/>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Z20" i="23"/>
  <c r="AH20" i="23"/>
  <c r="AP20" i="23"/>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AA20" i="23"/>
  <c r="AI20" i="23"/>
  <c r="AQ20" i="23"/>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AB20" i="23"/>
  <c r="AJ20" i="23"/>
  <c r="AR20" i="23"/>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AD20" i="23"/>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AE20" i="23"/>
  <c r="AM20" i="23"/>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AF20" i="23"/>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AC126" i="23"/>
  <c r="AM126" i="23"/>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AE126" i="23"/>
  <c r="AO126" i="23"/>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AF126" i="23"/>
  <c r="AP126" i="23"/>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AG126" i="23"/>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X128" i="23"/>
  <c r="I148" i="23" s="1"/>
  <c r="Y132" i="23"/>
  <c r="AM123" i="23"/>
  <c r="X143" i="23" s="1"/>
  <c r="AE123" i="23"/>
  <c r="P143" i="23" s="1"/>
  <c r="W123" i="23"/>
  <c r="H143" i="23" s="1"/>
  <c r="AL123" i="23"/>
  <c r="W143" i="23" s="1"/>
  <c r="AD123" i="23"/>
  <c r="O143" i="23" s="1"/>
  <c r="V123" i="23"/>
  <c r="G143" i="23" s="1"/>
  <c r="Z123" i="23"/>
  <c r="K143" i="23" s="1"/>
  <c r="AJ123" i="23"/>
  <c r="U143" i="23" s="1"/>
  <c r="AR126" i="23"/>
  <c r="AJ126" i="23"/>
  <c r="AB126" i="23"/>
  <c r="T126" i="23"/>
  <c r="AQ126" i="23"/>
  <c r="AI126" i="23"/>
  <c r="AA126" i="23"/>
  <c r="S126" i="23"/>
  <c r="Z126" i="23"/>
  <c r="AL126" i="23"/>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AA234" i="23"/>
  <c r="AK234" i="23"/>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AB234" i="23"/>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AE234" i="23"/>
  <c r="W234" i="23"/>
  <c r="AL234" i="23"/>
  <c r="AD234" i="23"/>
  <c r="V234" i="23"/>
  <c r="Z234" i="23"/>
  <c r="AJ234" i="23"/>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AC343" i="23"/>
  <c r="U343" i="23"/>
  <c r="AO343" i="23"/>
  <c r="AG343" i="23"/>
  <c r="Y343" i="23"/>
  <c r="Q343" i="23"/>
  <c r="AL343" i="23"/>
  <c r="V343" i="23"/>
  <c r="AI343" i="23"/>
  <c r="S343" i="23"/>
  <c r="Z343" i="23"/>
  <c r="AP343" i="23"/>
  <c r="R343" i="23"/>
  <c r="AM343" i="23"/>
  <c r="U345" i="23"/>
  <c r="F365" i="23" s="1"/>
  <c r="W347" i="23"/>
  <c r="H367" i="23" s="1"/>
  <c r="W334" i="23"/>
  <c r="H354" i="23" s="1"/>
  <c r="AK334" i="23"/>
  <c r="V354" i="23" s="1"/>
  <c r="AI335" i="23"/>
  <c r="T355" i="23" s="1"/>
  <c r="AB338" i="23"/>
  <c r="M358" i="23" s="1"/>
  <c r="AQ343" i="23"/>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AF343" i="23"/>
  <c r="AN343" i="23"/>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AB343" i="23"/>
  <c r="AJ343" i="23"/>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S448" i="23"/>
  <c r="AN448" i="23"/>
  <c r="Z448" i="23"/>
  <c r="AP448" i="23"/>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AK448" i="23"/>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V439" i="23"/>
  <c r="G459" i="23" s="1"/>
  <c r="AI439" i="23"/>
  <c r="T459" i="23" s="1"/>
  <c r="Y442" i="23"/>
  <c r="J462" i="23" s="1"/>
  <c r="AL442" i="23"/>
  <c r="W462" i="23" s="1"/>
  <c r="X447" i="23"/>
  <c r="I467" i="23" s="1"/>
  <c r="AM447" i="23"/>
  <c r="X467" i="23" s="1"/>
  <c r="AR448" i="23"/>
  <c r="AJ448" i="23"/>
  <c r="AB448" i="23"/>
  <c r="T448" i="23"/>
  <c r="AO448" i="23"/>
  <c r="AG448" i="23"/>
  <c r="Y448" i="23"/>
  <c r="Q448" i="23"/>
  <c r="AH448" i="23"/>
  <c r="W448" i="23"/>
  <c r="AM448" i="23"/>
  <c r="AC448" i="23"/>
  <c r="R448" i="23"/>
  <c r="AE448" i="23"/>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R233" i="22"/>
  <c r="C253" i="22" s="1"/>
  <c r="T233" i="22"/>
  <c r="E253" i="22" s="1"/>
  <c r="AP233" i="22"/>
  <c r="AA253" i="22" s="1"/>
  <c r="AC233" i="22"/>
  <c r="N253" i="22" s="1"/>
  <c r="R234" i="22"/>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AG20" i="22"/>
  <c r="Y20" i="22"/>
  <c r="Q20" i="22"/>
  <c r="AX33" i="22"/>
  <c r="AE20" i="22"/>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AL20" i="22"/>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AQ20" i="22"/>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Z20" i="22"/>
  <c r="AH20" i="22"/>
  <c r="AP20" i="22"/>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AB20" i="22"/>
  <c r="AJ20" i="22"/>
  <c r="AR20" i="22"/>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AC20" i="22"/>
  <c r="AK20" i="22"/>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AF20" i="22"/>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AC126" i="22"/>
  <c r="AO126" i="22"/>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AF126" i="22"/>
  <c r="AP126" i="22"/>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AG126" i="22"/>
  <c r="AQ126" i="22"/>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AH126" i="22"/>
  <c r="AR126" i="22"/>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AE126" i="22"/>
  <c r="W126" i="22"/>
  <c r="AL126" i="22"/>
  <c r="AD126" i="22"/>
  <c r="V126" i="22"/>
  <c r="Z126" i="22"/>
  <c r="AJ126" i="22"/>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AA126" i="22"/>
  <c r="AK126" i="22"/>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AB234" i="22"/>
  <c r="AR234" i="22"/>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AD234" i="22"/>
  <c r="S237" i="22"/>
  <c r="D257" i="22" s="1"/>
  <c r="AH237" i="22"/>
  <c r="S257" i="22" s="1"/>
  <c r="Y238" i="22"/>
  <c r="J258" i="22" s="1"/>
  <c r="AM238" i="22"/>
  <c r="X258" i="22" s="1"/>
  <c r="Q239" i="22"/>
  <c r="AF239" i="22"/>
  <c r="X240" i="22"/>
  <c r="AN240" i="22"/>
  <c r="S241" i="22"/>
  <c r="D261" i="22" s="1"/>
  <c r="AE241" i="22"/>
  <c r="P261" i="22" s="1"/>
  <c r="A289" i="22"/>
  <c r="A277" i="22"/>
  <c r="A283" i="22"/>
  <c r="T234" i="22"/>
  <c r="AI234" i="22"/>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AJ234" i="22"/>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AA237" i="22"/>
  <c r="L257" i="22" s="1"/>
  <c r="X239" i="22"/>
  <c r="AQ234" i="22"/>
  <c r="AG234" i="22"/>
  <c r="U234" i="22"/>
  <c r="AO234" i="22"/>
  <c r="AC234" i="22"/>
  <c r="S234" i="22"/>
  <c r="Z234" i="22"/>
  <c r="AL234" i="22"/>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AP234" i="22"/>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AE234" i="22"/>
  <c r="AM234" i="22"/>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AR343" i="22"/>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AF234" i="22"/>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AG343" i="22"/>
  <c r="Y343" i="22"/>
  <c r="Q343" i="22"/>
  <c r="AM343" i="22"/>
  <c r="AE343" i="22"/>
  <c r="W343" i="22"/>
  <c r="AL343" i="22"/>
  <c r="AD343" i="22"/>
  <c r="V343" i="22"/>
  <c r="AK343" i="22"/>
  <c r="AC343" i="22"/>
  <c r="U343" i="22"/>
  <c r="AP343" i="22"/>
  <c r="AH343" i="22"/>
  <c r="Z343" i="22"/>
  <c r="R343" i="22"/>
  <c r="AJ343" i="22"/>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AN343" i="22"/>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AQ343" i="22"/>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E448" i="22"/>
  <c r="AD448" i="22"/>
  <c r="Z448" i="22"/>
  <c r="U448" i="22"/>
  <c r="R448" i="22"/>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AG448" i="22"/>
  <c r="Y448" i="22"/>
  <c r="Q448" i="22"/>
  <c r="AR448" i="22"/>
  <c r="AJ448" i="22"/>
  <c r="AB448" i="22"/>
  <c r="T448" i="22"/>
  <c r="AQ448" i="22"/>
  <c r="AI448" i="22"/>
  <c r="AA448" i="22"/>
  <c r="S448" i="22"/>
  <c r="AK448" i="22"/>
  <c r="W448" i="22"/>
  <c r="AH448" i="22"/>
  <c r="V448" i="22"/>
  <c r="AC448" i="22"/>
  <c r="AN448" i="22"/>
  <c r="X448" i="22"/>
  <c r="AM448" i="22"/>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AM448" i="21"/>
  <c r="Q447" i="21"/>
  <c r="B467" i="21" s="1"/>
  <c r="W448" i="21"/>
  <c r="AQ448" i="21"/>
  <c r="Z447" i="21"/>
  <c r="K467" i="21" s="1"/>
  <c r="X448" i="21"/>
  <c r="AA447" i="21"/>
  <c r="L467" i="21" s="1"/>
  <c r="R233" i="21"/>
  <c r="C253" i="21" s="1"/>
  <c r="AC233" i="21"/>
  <c r="N253" i="21" s="1"/>
  <c r="AP233" i="21"/>
  <c r="AA253" i="21" s="1"/>
  <c r="AE234" i="21"/>
  <c r="U233" i="21"/>
  <c r="F253" i="21" s="1"/>
  <c r="AH233" i="21"/>
  <c r="S253" i="21" s="1"/>
  <c r="AI234" i="21"/>
  <c r="AN234" i="21"/>
  <c r="X233" i="21"/>
  <c r="I253" i="21" s="1"/>
  <c r="AI233" i="21"/>
  <c r="T253" i="21" s="1"/>
  <c r="Q234" i="21"/>
  <c r="Y233" i="21"/>
  <c r="J253" i="21" s="1"/>
  <c r="AK233" i="21"/>
  <c r="V253" i="21" s="1"/>
  <c r="R234" i="2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AR12" i="21"/>
  <c r="AC32" i="21" s="1"/>
  <c r="AE20" i="2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AH20" i="2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AM20" i="2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AN20" i="2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AP20" i="2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AG20" i="21"/>
  <c r="Y20" i="21"/>
  <c r="Q20" i="21"/>
  <c r="AL20" i="21"/>
  <c r="AD20" i="21"/>
  <c r="V20" i="21"/>
  <c r="AR20" i="21"/>
  <c r="AJ20" i="21"/>
  <c r="AB20" i="21"/>
  <c r="T20" i="21"/>
  <c r="AQ20" i="21"/>
  <c r="AI20" i="21"/>
  <c r="AA20" i="21"/>
  <c r="S20" i="21"/>
  <c r="AF20" i="2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AL126" i="2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AM126" i="2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AD126" i="21"/>
  <c r="AQ126" i="2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T126" i="21"/>
  <c r="AB126" i="21"/>
  <c r="AJ126" i="21"/>
  <c r="AR126" i="2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AF126" i="21"/>
  <c r="AN126" i="2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Y126" i="21"/>
  <c r="AG126" i="2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AO234" i="2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AD234" i="21"/>
  <c r="V234" i="21"/>
  <c r="AK234" i="21"/>
  <c r="AC234" i="21"/>
  <c r="U234" i="21"/>
  <c r="AQ234" i="21"/>
  <c r="AG234" i="21"/>
  <c r="W234" i="21"/>
  <c r="AP234" i="21"/>
  <c r="AF234" i="21"/>
  <c r="T234" i="21"/>
  <c r="AB234" i="21"/>
  <c r="AR234" i="2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AJ234" i="2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AI346" i="21"/>
  <c r="T366" i="21" s="1"/>
  <c r="AH350" i="21"/>
  <c r="S370" i="21" s="1"/>
  <c r="Z341" i="21"/>
  <c r="K361" i="21" s="1"/>
  <c r="AB343" i="2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U345" i="21"/>
  <c r="F365" i="21" s="1"/>
  <c r="AL341" i="21"/>
  <c r="W361" i="21" s="1"/>
  <c r="AL343" i="2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I343" i="21"/>
  <c r="AA343" i="21"/>
  <c r="S343" i="21"/>
  <c r="AP343" i="21"/>
  <c r="AH343" i="21"/>
  <c r="Z343" i="21"/>
  <c r="R343" i="21"/>
  <c r="AO343" i="21"/>
  <c r="AE343" i="21"/>
  <c r="U343" i="21"/>
  <c r="AN343" i="21"/>
  <c r="AD343" i="21"/>
  <c r="T343" i="21"/>
  <c r="AM343" i="21"/>
  <c r="AC343" i="21"/>
  <c r="Q343" i="21"/>
  <c r="AK343" i="21"/>
  <c r="Y343" i="21"/>
  <c r="AJ343" i="21"/>
  <c r="X343" i="2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AL448" i="21"/>
  <c r="AD448" i="21"/>
  <c r="V448" i="21"/>
  <c r="AR448" i="21"/>
  <c r="AJ448" i="21"/>
  <c r="AB448" i="21"/>
  <c r="T448" i="21"/>
  <c r="Z448" i="21"/>
  <c r="AK448" i="2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AE448" i="21"/>
  <c r="AO448" i="21"/>
  <c r="Y451" i="21"/>
  <c r="J471" i="21" s="1"/>
  <c r="V453" i="21"/>
  <c r="AG453" i="21"/>
  <c r="T454" i="21"/>
  <c r="AD454" i="21"/>
  <c r="AP454" i="21"/>
  <c r="Q444" i="21"/>
  <c r="B464" i="21" s="1"/>
  <c r="Y444" i="21"/>
  <c r="J464" i="21" s="1"/>
  <c r="AG444" i="21"/>
  <c r="R464" i="21" s="1"/>
  <c r="AO445" i="21"/>
  <c r="Z465" i="21" s="1"/>
  <c r="AG445" i="21"/>
  <c r="R465" i="21" s="1"/>
  <c r="AM445" i="21"/>
  <c r="X465" i="21" s="1"/>
  <c r="X445" i="21"/>
  <c r="I465" i="21" s="1"/>
  <c r="AF445" i="21"/>
  <c r="Q465" i="21" s="1"/>
  <c r="AQ445" i="21"/>
  <c r="AB465" i="21" s="1"/>
  <c r="U448" i="21"/>
  <c r="AF448" i="21"/>
  <c r="AP448" i="2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AE343" i="20"/>
  <c r="AO343" i="20"/>
  <c r="AH343" i="20"/>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AE231" i="20"/>
  <c r="P251" i="20" s="1"/>
  <c r="AC343" i="20"/>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AM343" i="20"/>
  <c r="W343" i="20"/>
  <c r="AQ233" i="20"/>
  <c r="AB253" i="20" s="1"/>
  <c r="S234" i="20"/>
  <c r="AI234" i="20"/>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U20" i="20"/>
  <c r="AC20" i="20"/>
  <c r="AG20" i="20"/>
  <c r="AN20" i="20"/>
  <c r="AK20" i="20"/>
  <c r="Q20" i="20"/>
  <c r="AR20" i="20"/>
  <c r="R20" i="20"/>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AO20" i="20"/>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AG343" i="19"/>
  <c r="AB234" i="19"/>
  <c r="AK234" i="19"/>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AA20" i="20"/>
  <c r="AI20" i="20"/>
  <c r="AQ20" i="20"/>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A78" i="20"/>
  <c r="A66"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AD20" i="20"/>
  <c r="AL20" i="20"/>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AE20" i="20"/>
  <c r="AM20" i="20"/>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AF20" i="20"/>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AH20" i="20"/>
  <c r="X23" i="20"/>
  <c r="I43" i="20" s="1"/>
  <c r="AF23" i="20"/>
  <c r="Q43" i="20" s="1"/>
  <c r="V25" i="20"/>
  <c r="AD25" i="20"/>
  <c r="U26" i="20"/>
  <c r="AC26" i="20"/>
  <c r="T27" i="20"/>
  <c r="E47" i="20" s="1"/>
  <c r="AB27" i="20"/>
  <c r="M47" i="20" s="1"/>
  <c r="AJ27" i="20"/>
  <c r="U47" i="20" s="1"/>
  <c r="A64"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AP126" i="20"/>
  <c r="AD126" i="20"/>
  <c r="T126" i="20"/>
  <c r="AL126" i="20"/>
  <c r="AB126" i="20"/>
  <c r="R126" i="20"/>
  <c r="AK126" i="20"/>
  <c r="AA126" i="20"/>
  <c r="AJ126" i="20"/>
  <c r="Z126" i="20"/>
  <c r="AR126" i="20"/>
  <c r="AH126" i="20"/>
  <c r="V126" i="20"/>
  <c r="AQ126" i="20"/>
  <c r="AE126" i="20"/>
  <c r="U126" i="20"/>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AJ234" i="20"/>
  <c r="Z234" i="20"/>
  <c r="AR234" i="20"/>
  <c r="AH234" i="20"/>
  <c r="V234" i="20"/>
  <c r="AQ234" i="20"/>
  <c r="AE234" i="20"/>
  <c r="U234" i="20"/>
  <c r="AP234" i="20"/>
  <c r="AD234" i="20"/>
  <c r="T234" i="20"/>
  <c r="AL234" i="20"/>
  <c r="AB234" i="20"/>
  <c r="R234" i="20"/>
  <c r="AK234" i="20"/>
  <c r="AA234" i="20"/>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AF126" i="20"/>
  <c r="AN126" i="20"/>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AG126" i="20"/>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AF234" i="20"/>
  <c r="AN234" i="20"/>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AG234" i="20"/>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L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AN343" i="20"/>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AD343" i="20"/>
  <c r="AP343" i="20"/>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X335" i="20"/>
  <c r="I355" i="20" s="1"/>
  <c r="AF335" i="20"/>
  <c r="Q355" i="20" s="1"/>
  <c r="AN335" i="20"/>
  <c r="Y355" i="20" s="1"/>
  <c r="W336" i="20"/>
  <c r="H356" i="20" s="1"/>
  <c r="AE336" i="20"/>
  <c r="P356" i="20" s="1"/>
  <c r="AM336" i="20"/>
  <c r="X356" i="20" s="1"/>
  <c r="Y340" i="20"/>
  <c r="J360" i="20" s="1"/>
  <c r="Y343" i="20"/>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J343" i="20"/>
  <c r="AB343" i="20"/>
  <c r="T343" i="20"/>
  <c r="AQ343" i="20"/>
  <c r="AI343" i="20"/>
  <c r="AA343" i="20"/>
  <c r="S343" i="20"/>
  <c r="Z343" i="20"/>
  <c r="AL343" i="20"/>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AM448" i="20"/>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V448" i="20"/>
  <c r="AI448" i="20"/>
  <c r="S448" i="20"/>
  <c r="AE448" i="20"/>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AF448" i="20"/>
  <c r="AN448" i="20"/>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Y448" i="20"/>
  <c r="AG448" i="20"/>
  <c r="AO448" i="20"/>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AB448" i="20"/>
  <c r="AJ448" i="20"/>
  <c r="AR448" i="20"/>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AC448" i="20"/>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AG126" i="19"/>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AH126" i="19"/>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AI126" i="19"/>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AL126" i="19"/>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AM126" i="19"/>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AA126" i="19"/>
  <c r="AO126" i="19"/>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AD126" i="19"/>
  <c r="AP126" i="19"/>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AE126" i="19"/>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AB126" i="19"/>
  <c r="AJ126" i="19"/>
  <c r="AR126" i="19"/>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AC126" i="19"/>
  <c r="AK126" i="19"/>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AF126" i="19"/>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AA234" i="19"/>
  <c r="AI234" i="19"/>
  <c r="AQ234" i="19"/>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AD234" i="19"/>
  <c r="AL234" i="19"/>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AE234" i="19"/>
  <c r="AM234" i="19"/>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AF234" i="19"/>
  <c r="AN234" i="19"/>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Y234" i="19"/>
  <c r="AG234" i="19"/>
  <c r="AO234" i="19"/>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Z234" i="19"/>
  <c r="AH234" i="19"/>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AH343" i="19"/>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AM343" i="19"/>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AD343" i="19"/>
  <c r="V343" i="19"/>
  <c r="AK343" i="19"/>
  <c r="AC343" i="19"/>
  <c r="U343" i="19"/>
  <c r="AQ343" i="19"/>
  <c r="AI343" i="19"/>
  <c r="AA343" i="19"/>
  <c r="S343" i="19"/>
  <c r="AB343" i="19"/>
  <c r="AO343" i="19"/>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AE343" i="19"/>
  <c r="AP343" i="19"/>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AF343" i="19"/>
  <c r="AR343" i="19"/>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AE448" i="19"/>
  <c r="W448" i="19"/>
  <c r="AL448" i="19"/>
  <c r="AD448" i="19"/>
  <c r="V448" i="19"/>
  <c r="AK448" i="19"/>
  <c r="AA448" i="19"/>
  <c r="Q448" i="19"/>
  <c r="AI448" i="19"/>
  <c r="Y448" i="19"/>
  <c r="AQ448" i="19"/>
  <c r="AG448" i="19"/>
  <c r="U448" i="19"/>
  <c r="AP448" i="19"/>
  <c r="AF448" i="19"/>
  <c r="T448" i="19"/>
  <c r="AH448" i="19"/>
  <c r="AC448" i="19"/>
  <c r="AB448" i="19"/>
  <c r="Z448" i="19"/>
  <c r="AO448" i="19"/>
  <c r="S448" i="19"/>
  <c r="AN448" i="19"/>
  <c r="R448" i="19"/>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Y450" i="19"/>
  <c r="J470" i="19" s="1"/>
  <c r="AN439" i="19"/>
  <c r="Y459" i="19" s="1"/>
  <c r="R442" i="19"/>
  <c r="C462" i="19" s="1"/>
  <c r="AL444" i="19"/>
  <c r="W464" i="19" s="1"/>
  <c r="AQ445" i="19"/>
  <c r="AB465" i="19" s="1"/>
  <c r="AJ448" i="19"/>
  <c r="AJ450" i="19"/>
  <c r="U470" i="19" s="1"/>
  <c r="AA442" i="19"/>
  <c r="L462" i="19" s="1"/>
  <c r="AR448" i="19"/>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G83" i="19" s="1"/>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X406" i="21" s="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X145" i="13"/>
  <c r="P143" i="13"/>
  <c r="P161" i="13" s="1"/>
  <c r="W52" i="13"/>
  <c r="G51" i="13"/>
  <c r="O51" i="13"/>
  <c r="W51" i="13"/>
  <c r="O52" i="13"/>
  <c r="F53" i="13"/>
  <c r="L358" i="13"/>
  <c r="T358" i="13"/>
  <c r="AB358" i="13"/>
  <c r="V52" i="13"/>
  <c r="V257" i="13"/>
  <c r="V362" i="13"/>
  <c r="V53" i="13"/>
  <c r="Z361" i="13"/>
  <c r="V366" i="13"/>
  <c r="N138" i="13"/>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V463" i="9"/>
  <c r="I475" i="9"/>
  <c r="AV25" i="9"/>
  <c r="J52" i="9"/>
  <c r="Z52" i="9"/>
  <c r="U361" i="9"/>
  <c r="R366" i="9"/>
  <c r="W461" i="9"/>
  <c r="G53" i="9"/>
  <c r="W53" i="9"/>
  <c r="U153" i="9"/>
  <c r="M252" i="9"/>
  <c r="AA257" i="9"/>
  <c r="AT19" i="9"/>
  <c r="AT29" i="9"/>
  <c r="AV26" i="9"/>
  <c r="H51" i="9"/>
  <c r="X51" i="9"/>
  <c r="E137" i="9"/>
  <c r="Z150" i="9"/>
  <c r="F153" i="9"/>
  <c r="X365" i="9"/>
  <c r="F472" i="9"/>
  <c r="Z153" i="9"/>
  <c r="G153" i="9"/>
  <c r="N472" i="9"/>
  <c r="G140" i="9"/>
  <c r="B150" i="9"/>
  <c r="O153" i="9"/>
  <c r="G52" i="9"/>
  <c r="W52" i="9"/>
  <c r="C150" i="9"/>
  <c r="K150" i="9"/>
  <c r="T150" i="9"/>
  <c r="P153" i="9"/>
  <c r="AC355" i="9"/>
  <c r="F463" i="9"/>
  <c r="J44" i="9"/>
  <c r="J260" i="9" s="1"/>
  <c r="L150" i="9"/>
  <c r="N463" i="9"/>
  <c r="K355"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J148" i="13"/>
  <c r="P149" i="13"/>
  <c r="P150" i="13"/>
  <c r="C138" i="13"/>
  <c r="Y138" i="13"/>
  <c r="Q139" i="13"/>
  <c r="T141" i="13"/>
  <c r="J142" i="13"/>
  <c r="C145"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S148" i="13"/>
  <c r="Y149" i="13"/>
  <c r="AA150" i="13"/>
  <c r="I138" i="13"/>
  <c r="V139" i="13"/>
  <c r="D141" i="13"/>
  <c r="Z141" i="13"/>
  <c r="O142" i="13"/>
  <c r="H143" i="13"/>
  <c r="G144" i="13"/>
  <c r="L145"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H248" i="13"/>
  <c r="T248" i="13"/>
  <c r="K249" i="13"/>
  <c r="W249" i="13"/>
  <c r="E252" i="13"/>
  <c r="R252" i="13"/>
  <c r="AC252" i="13"/>
  <c r="M253" i="13"/>
  <c r="Z253" i="13"/>
  <c r="I256" i="13"/>
  <c r="AB256" i="13"/>
  <c r="Q257" i="13"/>
  <c r="F261" i="13"/>
  <c r="X261" i="13"/>
  <c r="U260" i="13"/>
  <c r="J248" i="13"/>
  <c r="U248" i="13"/>
  <c r="B249" i="13"/>
  <c r="M249" i="13"/>
  <c r="G252" i="13"/>
  <c r="S252" i="13"/>
  <c r="O253"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Q261" i="13"/>
  <c r="H261" i="13"/>
  <c r="V261" i="13"/>
  <c r="M261" i="13"/>
  <c r="D261" i="13"/>
  <c r="AC261" i="13"/>
  <c r="T261" i="13"/>
  <c r="K261" i="13"/>
  <c r="L248" i="13"/>
  <c r="V248" i="13"/>
  <c r="C249" i="13"/>
  <c r="O249" i="13"/>
  <c r="Y249" i="13"/>
  <c r="H252" i="13"/>
  <c r="T252" i="13"/>
  <c r="C253" i="13"/>
  <c r="P253"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C256" i="13"/>
  <c r="S256" i="13"/>
  <c r="H257" i="13"/>
  <c r="Z257" i="13"/>
  <c r="O261" i="13"/>
  <c r="E248" i="13"/>
  <c r="O248" i="13"/>
  <c r="Z248" i="13"/>
  <c r="H249" i="13"/>
  <c r="R249" i="13"/>
  <c r="AC249" i="13"/>
  <c r="L252" i="13"/>
  <c r="Z252" i="13"/>
  <c r="H253" i="13"/>
  <c r="V253"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I354" i="13"/>
  <c r="Q354" i="13"/>
  <c r="Y354" i="13"/>
  <c r="E358" i="13"/>
  <c r="M358" i="13"/>
  <c r="U358" i="13"/>
  <c r="AC358" i="13"/>
  <c r="H359" i="13"/>
  <c r="P359" i="13"/>
  <c r="X359" i="13"/>
  <c r="F361" i="13"/>
  <c r="N361" i="13"/>
  <c r="W361" i="13"/>
  <c r="C362" i="13"/>
  <c r="L362" i="13"/>
  <c r="U362"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B256" i="9"/>
  <c r="J256" i="9"/>
  <c r="R256" i="9"/>
  <c r="Z256" i="9"/>
  <c r="E257" i="9"/>
  <c r="M257" i="9"/>
  <c r="U257" i="9"/>
  <c r="AC257" i="9"/>
  <c r="V356" i="9"/>
  <c r="K355" i="9"/>
  <c r="C256" i="9"/>
  <c r="K256" i="9"/>
  <c r="S256" i="9"/>
  <c r="AA256" i="9"/>
  <c r="F257" i="9"/>
  <c r="N257" i="9"/>
  <c r="V257" i="9"/>
  <c r="T355" i="9"/>
  <c r="D256" i="9"/>
  <c r="L256" i="9"/>
  <c r="T256" i="9"/>
  <c r="AB256" i="9"/>
  <c r="G257" i="9"/>
  <c r="O257" i="9"/>
  <c r="W257" i="9"/>
  <c r="Z355"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G256" i="9"/>
  <c r="O256" i="9"/>
  <c r="W256" i="9"/>
  <c r="B257" i="9"/>
  <c r="J257" i="9"/>
  <c r="R257" i="9"/>
  <c r="Z257" i="9"/>
  <c r="R356" i="9"/>
  <c r="N362" i="9"/>
  <c r="H256" i="9"/>
  <c r="P256" i="9"/>
  <c r="C257" i="9"/>
  <c r="K257" i="9"/>
  <c r="S257" i="9"/>
  <c r="AA357" i="9"/>
  <c r="V361" i="9"/>
  <c r="X362" i="9"/>
  <c r="C355" i="9"/>
  <c r="L355" i="9"/>
  <c r="U355" i="9"/>
  <c r="J356" i="9"/>
  <c r="T356" i="9"/>
  <c r="AC356" i="9"/>
  <c r="I357" i="9"/>
  <c r="R357" i="9"/>
  <c r="E359" i="9"/>
  <c r="N359" i="9"/>
  <c r="W359" i="9"/>
  <c r="L361"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L365" i="9"/>
  <c r="W365" i="9"/>
  <c r="H366" i="9"/>
  <c r="S366" i="9"/>
  <c r="E355" i="9"/>
  <c r="N355" i="9"/>
  <c r="W355" i="9"/>
  <c r="D356" i="9"/>
  <c r="M356" i="9"/>
  <c r="B357" i="9"/>
  <c r="K357" i="9"/>
  <c r="T357" i="9"/>
  <c r="AC357" i="9"/>
  <c r="G359" i="9"/>
  <c r="P359" i="9"/>
  <c r="Y359" i="9"/>
  <c r="D361" i="9"/>
  <c r="N361" i="9"/>
  <c r="X361"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D365" i="9"/>
  <c r="N365" i="9"/>
  <c r="Y365" i="9"/>
  <c r="J366" i="9"/>
  <c r="X366" i="9"/>
  <c r="G355" i="9"/>
  <c r="Q355" i="9"/>
  <c r="F356" i="9"/>
  <c r="O356" i="9"/>
  <c r="X356" i="9"/>
  <c r="D357" i="9"/>
  <c r="M357" i="9"/>
  <c r="W357" i="9"/>
  <c r="I359" i="9"/>
  <c r="R359" i="9"/>
  <c r="F361" i="9"/>
  <c r="P361" i="9"/>
  <c r="AB361" i="9"/>
  <c r="E365" i="9"/>
  <c r="O365" i="9"/>
  <c r="AC365" i="9"/>
  <c r="K366" i="9"/>
  <c r="AC460" i="9"/>
  <c r="U460" i="9"/>
  <c r="E460" i="9"/>
  <c r="M460" i="9"/>
  <c r="X355" i="9"/>
  <c r="P355" i="9"/>
  <c r="H355" i="9"/>
  <c r="AB359" i="9"/>
  <c r="T359" i="9"/>
  <c r="L359" i="9"/>
  <c r="D359" i="9"/>
  <c r="I355" i="9"/>
  <c r="R355" i="9"/>
  <c r="AA355" i="9"/>
  <c r="G356" i="9"/>
  <c r="P356" i="9"/>
  <c r="Y356" i="9"/>
  <c r="E357" i="9"/>
  <c r="O357" i="9"/>
  <c r="X357" i="9"/>
  <c r="J359" i="9"/>
  <c r="S359" i="9"/>
  <c r="AC359" i="9"/>
  <c r="G361" i="9"/>
  <c r="S361" i="9"/>
  <c r="AC361" i="9"/>
  <c r="F365" i="9"/>
  <c r="P365" i="9"/>
  <c r="L366" i="9"/>
  <c r="Z366" i="9"/>
  <c r="J355" i="9"/>
  <c r="S355" i="9"/>
  <c r="AB355" i="9"/>
  <c r="H356" i="9"/>
  <c r="Q356" i="9"/>
  <c r="Z356" i="9"/>
  <c r="G357" i="9"/>
  <c r="P357" i="9"/>
  <c r="Y357" i="9"/>
  <c r="B359" i="9"/>
  <c r="K359" i="9"/>
  <c r="U359" i="9"/>
  <c r="H361" i="9"/>
  <c r="T361" i="9"/>
  <c r="G365" i="9"/>
  <c r="Q365" i="9"/>
  <c r="B366" i="9"/>
  <c r="P366" i="9"/>
  <c r="AA366" i="9"/>
  <c r="Q464" i="9"/>
  <c r="I464" i="9"/>
  <c r="Y464" i="9"/>
  <c r="B459" i="9"/>
  <c r="R459" i="9"/>
  <c r="Y459" i="9"/>
  <c r="AB460" i="9"/>
  <c r="X464"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AM448" i="3"/>
  <c r="AL448" i="3"/>
  <c r="AK448" i="3"/>
  <c r="AJ448" i="3"/>
  <c r="AI448" i="3"/>
  <c r="AH448" i="3"/>
  <c r="AG448" i="3"/>
  <c r="AF448" i="3"/>
  <c r="AE448" i="3"/>
  <c r="AD448" i="3"/>
  <c r="AC448" i="3"/>
  <c r="AB448" i="3"/>
  <c r="AA448" i="3"/>
  <c r="Z448" i="3"/>
  <c r="Y448" i="3"/>
  <c r="X448" i="3"/>
  <c r="W448" i="3"/>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AC343" i="3"/>
  <c r="AB343" i="3"/>
  <c r="AA343" i="3"/>
  <c r="Z343" i="3"/>
  <c r="Y343" i="3"/>
  <c r="X343" i="3"/>
  <c r="W343" i="3"/>
  <c r="V343" i="3"/>
  <c r="U343" i="3"/>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S234" i="3"/>
  <c r="R234" i="3"/>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AA298" i="13" l="1"/>
  <c r="Z368" i="13"/>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B380" i="3" l="1"/>
  <c r="AA260" i="3"/>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AC80" i="1" l="1"/>
  <c r="M80" i="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Martin</author>
  </authors>
  <commentList>
    <comment ref="K1" authorId="0" shapeId="0" xr:uid="{00061AE0-A6BC-41BC-935D-0E0505D50ED7}">
      <text>
        <r>
          <rPr>
            <b/>
            <sz val="9"/>
            <color indexed="81"/>
            <rFont val="Tahoma"/>
            <family val="2"/>
          </rPr>
          <t>Jonas Martin:</t>
        </r>
        <r>
          <rPr>
            <sz val="9"/>
            <color indexed="81"/>
            <rFont val="Tahoma"/>
            <family val="2"/>
          </rPr>
          <t xml:space="preserve">
Note: We assume to load/unload the whole vehicle which is not always the case in reality.</t>
        </r>
      </text>
    </comment>
    <comment ref="B5" authorId="0" shapeId="0" xr:uid="{269705EA-6A6C-445E-AD03-B8260A97F597}">
      <text>
        <r>
          <rPr>
            <b/>
            <sz val="9"/>
            <color indexed="81"/>
            <rFont val="Tahoma"/>
            <family val="2"/>
          </rPr>
          <t>Jonas Martin:</t>
        </r>
        <r>
          <rPr>
            <sz val="9"/>
            <color indexed="81"/>
            <rFont val="Tahoma"/>
            <family val="2"/>
          </rPr>
          <t xml:space="preserve">
Do not have liquids in sea!</t>
        </r>
      </text>
    </comment>
    <comment ref="I23" authorId="0" shapeId="0" xr:uid="{599CDCA9-C431-466D-B2CC-1BFED319750B}">
      <text>
        <r>
          <rPr>
            <b/>
            <sz val="9"/>
            <color indexed="81"/>
            <rFont val="Tahoma"/>
            <family val="2"/>
          </rPr>
          <t>Jonas Martin:</t>
        </r>
        <r>
          <rPr>
            <sz val="9"/>
            <color indexed="81"/>
            <rFont val="Tahoma"/>
            <family val="2"/>
          </rPr>
          <t xml:space="preserve">
These values use the average loading in each from of transport to distribute the NOK/shipment to NOK/tonne.</t>
        </r>
      </text>
    </comment>
    <comment ref="F43" authorId="0" shapeId="0" xr:uid="{9B1D4954-1E36-4AA4-8103-4A5B41F2EFBB}">
      <text>
        <r>
          <rPr>
            <b/>
            <sz val="9"/>
            <color indexed="81"/>
            <rFont val="Tahoma"/>
            <family val="2"/>
          </rPr>
          <t>Jonas Martin:</t>
        </r>
        <r>
          <rPr>
            <sz val="9"/>
            <color indexed="81"/>
            <rFont val="Tahoma"/>
            <family val="2"/>
          </rPr>
          <t xml:space="preserve">
This value represents the filling and emptying of a container should not been considered for the pure container transfer between modes =&gt; substracted</t>
        </r>
      </text>
    </comment>
  </commentList>
</comments>
</file>

<file path=xl/sharedStrings.xml><?xml version="1.0" encoding="utf-8"?>
<sst xmlns="http://schemas.openxmlformats.org/spreadsheetml/2006/main" count="7381" uniqueCount="508">
  <si>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</si>
  <si>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</si>
  <si>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</si>
  <si>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</si>
  <si>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</si>
  <si>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</si>
  <si>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</si>
  <si>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</si>
  <si>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</si>
  <si>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</si>
  <si>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</si>
  <si>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</si>
  <si>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</si>
  <si>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</si>
  <si>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</si>
  <si>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</si>
  <si>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</si>
  <si>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</si>
  <si>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</si>
  <si>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</si>
  <si>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</si>
  <si>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</si>
  <si>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</si>
  <si>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</si>
  <si>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</si>
  <si>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</si>
  <si>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</si>
  <si>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</si>
  <si>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</si>
  <si>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</si>
  <si>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</si>
  <si>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</si>
  <si>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</si>
  <si>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</si>
  <si>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</si>
  <si>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</si>
  <si>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</si>
  <si>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</si>
  <si>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</si>
  <si>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</si>
  <si>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</si>
  <si>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</si>
  <si>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</si>
  <si>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</si>
  <si>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</si>
  <si>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</si>
  <si>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</si>
  <si>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</si>
  <si>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</si>
  <si>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</si>
  <si>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</si>
  <si>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</si>
  <si>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</si>
  <si>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</si>
  <si>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</si>
  <si>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</si>
  <si>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</si>
  <si>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</si>
  <si>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</si>
  <si>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</si>
  <si>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</si>
  <si>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</si>
  <si>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</si>
  <si>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</si>
  <si>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</si>
  <si>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</si>
  <si>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</si>
  <si>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</si>
  <si>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</si>
  <si>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</si>
  <si>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</si>
  <si>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</si>
  <si>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</si>
  <si>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</si>
  <si>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</si>
  <si>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</si>
  <si>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</si>
  <si>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</si>
  <si>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</si>
  <si>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</si>
  <si>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</si>
  <si>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</si>
  <si>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</si>
  <si>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</si>
  <si>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</si>
  <si>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</si>
  <si>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</si>
  <si>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</si>
  <si>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</si>
  <si>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</si>
  <si>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</si>
  <si>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</si>
  <si>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</si>
  <si>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</si>
  <si>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</si>
  <si>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</si>
  <si>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</si>
  <si>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</si>
  <si>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</si>
  <si>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</si>
  <si>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</si>
  <si>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</si>
  <si>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</si>
  <si>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</si>
  <si>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</si>
  <si>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</si>
  <si>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</si>
  <si>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</si>
  <si>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</si>
  <si>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</si>
  <si>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</si>
  <si>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</si>
  <si>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</si>
  <si>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</si>
  <si>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</si>
  <si>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</si>
  <si>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</si>
  <si>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</si>
  <si>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</si>
  <si>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</si>
  <si>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</si>
  <si>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</si>
  <si>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</si>
  <si>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</si>
  <si>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</si>
  <si>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</si>
  <si>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</si>
  <si>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</si>
  <si>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</si>
  <si>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</si>
  <si>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</si>
  <si>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</si>
  <si>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</si>
  <si>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</si>
  <si>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</si>
  <si>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</si>
  <si>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</si>
  <si>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</si>
  <si>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</si>
  <si>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</si>
  <si>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</si>
  <si>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</si>
  <si>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</si>
  <si>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</si>
  <si>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</si>
  <si>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</si>
  <si>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</si>
  <si>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</si>
  <si>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</si>
  <si>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</si>
  <si>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</si>
  <si>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</si>
  <si>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</si>
  <si>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</si>
  <si>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</si>
  <si>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</si>
  <si>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</si>
  <si>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</si>
  <si>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</si>
  <si>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</si>
  <si>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</si>
  <si>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</si>
  <si>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</si>
  <si>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</si>
  <si>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</si>
  <si>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</si>
  <si>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</si>
  <si>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</si>
  <si>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</si>
  <si>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</si>
  <si>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</si>
  <si>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</si>
  <si>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</si>
  <si>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</si>
  <si>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</si>
  <si>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</si>
  <si>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</si>
  <si>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</si>
  <si>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</si>
  <si>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</si>
  <si>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</si>
  <si>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</si>
  <si>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</si>
  <si>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</si>
  <si>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</si>
  <si>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</si>
  <si>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</si>
  <si>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</si>
  <si>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</si>
  <si>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</si>
  <si>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</si>
  <si>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</si>
  <si>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</si>
  <si>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</si>
  <si>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</si>
  <si>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</si>
  <si>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</si>
  <si>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</si>
  <si>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</si>
  <si>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</si>
  <si>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</si>
  <si>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</si>
  <si>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</si>
  <si>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</si>
  <si>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</si>
  <si>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</si>
  <si>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</si>
  <si>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</si>
  <si>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</si>
  <si>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</si>
  <si>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</si>
  <si>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</si>
  <si>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</si>
  <si>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</si>
  <si>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</si>
  <si>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</si>
  <si>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</si>
  <si>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</si>
  <si>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</si>
  <si>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</si>
  <si>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</si>
  <si>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</si>
  <si>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</si>
  <si>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</si>
  <si>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</si>
  <si>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</si>
  <si>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</si>
  <si>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</si>
  <si>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</si>
  <si>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</si>
  <si>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</si>
  <si>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</si>
  <si>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</si>
  <si>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</si>
  <si>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</si>
  <si>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</si>
  <si>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</si>
  <si>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</si>
  <si>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</si>
  <si>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</si>
  <si>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</si>
  <si>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</si>
  <si>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Transfer type</t>
  </si>
  <si>
    <t>sea-rail</t>
  </si>
  <si>
    <t>sea-road</t>
  </si>
  <si>
    <t>rail-road</t>
  </si>
  <si>
    <t>From</t>
  </si>
  <si>
    <t>To</t>
  </si>
  <si>
    <t>TO DO</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</si>
  <si>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</si>
  <si>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</si>
  <si>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</si>
  <si>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</si>
  <si>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</si>
  <si>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</si>
  <si>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</si>
  <si>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</si>
  <si>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</si>
  <si>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</si>
  <si>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</si>
  <si>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</si>
  <si>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</si>
  <si>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</si>
  <si>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</si>
  <si>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</si>
  <si>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</si>
  <si>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</si>
  <si>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</si>
  <si>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</si>
  <si>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</si>
  <si>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</si>
  <si>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</si>
  <si>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</si>
  <si>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</si>
  <si>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</si>
  <si>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</si>
  <si>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</si>
  <si>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</si>
  <si>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</si>
  <si>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</si>
  <si>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</si>
  <si>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</si>
  <si>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</si>
  <si>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</si>
  <si>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</si>
  <si>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</si>
  <si>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</si>
  <si>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</si>
  <si>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</si>
  <si>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</si>
  <si>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</si>
  <si>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</si>
  <si>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</si>
  <si>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</si>
  <si>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</si>
  <si>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</si>
  <si>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</si>
  <si>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</si>
  <si>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</si>
  <si>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</si>
  <si>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</si>
  <si>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</si>
  <si>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</si>
  <si>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</si>
  <si>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</si>
  <si>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</si>
  <si>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</si>
  <si>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</si>
  <si>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</si>
  <si>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</si>
  <si>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</si>
  <si>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</si>
  <si>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</si>
  <si>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</si>
  <si>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</si>
  <si>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</si>
  <si>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</si>
  <si>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</si>
  <si>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</si>
  <si>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</si>
  <si>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</si>
  <si>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</si>
  <si>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</si>
  <si>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</si>
  <si>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</si>
  <si>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</si>
  <si>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</si>
  <si>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</si>
  <si>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</si>
  <si>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</si>
  <si>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</si>
  <si>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</si>
  <si>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</si>
  <si>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</si>
  <si>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</si>
  <si>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</si>
  <si>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</si>
  <si>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</si>
  <si>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</si>
  <si>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</si>
  <si>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</si>
  <si>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</si>
  <si>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</si>
  <si>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</si>
  <si>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</si>
  <si>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</si>
  <si>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</si>
  <si>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</si>
  <si>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</si>
  <si>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</si>
  <si>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</si>
  <si>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</si>
  <si>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</si>
  <si>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</si>
  <si>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</si>
  <si>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</si>
  <si>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</si>
  <si>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</si>
  <si>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</si>
  <si>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</si>
  <si>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</si>
  <si>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</si>
  <si>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</si>
  <si>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</si>
  <si>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</si>
  <si>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</si>
  <si>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</si>
  <si>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</si>
  <si>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</si>
  <si>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</si>
  <si>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</si>
  <si>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</si>
  <si>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</si>
  <si>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</si>
  <si>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</si>
  <si>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</si>
  <si>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</si>
  <si>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</si>
  <si>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</si>
  <si>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</si>
  <si>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</si>
  <si>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</si>
  <si>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</si>
  <si>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</si>
  <si>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</si>
  <si>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</si>
  <si>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</si>
  <si>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</si>
  <si>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</si>
  <si>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</si>
  <si>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</si>
  <si>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</si>
  <si>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</si>
  <si>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</si>
  <si>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</si>
  <si>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</si>
  <si>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</si>
  <si>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</si>
  <si>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</si>
  <si>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</si>
  <si>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</si>
  <si>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</si>
  <si>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</si>
  <si>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</si>
  <si>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</si>
  <si>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</si>
  <si>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</si>
  <si>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</si>
  <si>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</si>
  <si>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</si>
  <si>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</si>
  <si>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</si>
  <si>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</si>
  <si>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</si>
  <si>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</si>
  <si>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</si>
  <si>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</si>
  <si>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</si>
  <si>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</si>
  <si>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</si>
  <si>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</si>
  <si>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</si>
  <si>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</si>
  <si>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</si>
  <si>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</si>
  <si>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Loading cost (NOK/Tonne)</t>
  </si>
  <si>
    <t>Terminal costs (NOK/Tonne)</t>
  </si>
  <si>
    <t>Total cost (NOK/Tonne)</t>
  </si>
  <si>
    <t>The whole calculation follows the desription of Gronland 2022</t>
  </si>
  <si>
    <t>Original data in Gronland 2022 - Cost models for transport</t>
  </si>
  <si>
    <t>NOK/tonne</t>
  </si>
  <si>
    <t>NOK/shipment</t>
  </si>
  <si>
    <t>=&gt;</t>
  </si>
  <si>
    <t>Container lo/lo 9000 dwt</t>
  </si>
  <si>
    <t>Terminal cost vessel p. 25</t>
  </si>
  <si>
    <t>Break bulk lo/lo 8500 dwt</t>
  </si>
  <si>
    <t>Dry bulk 6200 dwt</t>
  </si>
  <si>
    <t>Dry Bulk</t>
  </si>
  <si>
    <t>Ro/ro (cargo) 10070 dwt</t>
  </si>
  <si>
    <t>Kombitog, el</t>
  </si>
  <si>
    <t>Terminal costs rail p. 18</t>
  </si>
  <si>
    <t>Termotog (kombi), el</t>
  </si>
  <si>
    <t xml:space="preserve">Tørrbulktog, el </t>
  </si>
  <si>
    <t>Biltog, el</t>
  </si>
  <si>
    <t>Våtbulktog, el</t>
  </si>
  <si>
    <t>Semitrailere container</t>
  </si>
  <si>
    <t>Terminal costs truck p. 11</t>
  </si>
  <si>
    <t>Semitrailer (kasse)</t>
  </si>
  <si>
    <t>Tørrbulkbil (vektet med og uten henger)</t>
  </si>
  <si>
    <t>Tømmerbil med henger</t>
  </si>
  <si>
    <t>Tankbil</t>
  </si>
  <si>
    <t>KII</t>
  </si>
  <si>
    <t>Emtying and filling</t>
  </si>
  <si>
    <t>NOK</t>
  </si>
  <si>
    <t>A</t>
  </si>
  <si>
    <t>page 30</t>
  </si>
  <si>
    <t>Electric system trains (dry bulk)</t>
  </si>
  <si>
    <t>Tanker vessel 6500 dwt</t>
  </si>
  <si>
    <t>Electric combi trains</t>
  </si>
  <si>
    <t>Break bulk lolo, 8500 dwt</t>
  </si>
  <si>
    <t>Electric timber trains</t>
  </si>
  <si>
    <t>Dry bulk truck</t>
  </si>
  <si>
    <t>Electric system trains (wet bulk)</t>
  </si>
  <si>
    <t>Tank truck</t>
  </si>
  <si>
    <t>Heavy distribution, containers</t>
  </si>
  <si>
    <t>Heavy distribution closed unit</t>
  </si>
  <si>
    <t>Timber truck with hanger</t>
  </si>
  <si>
    <t>Berth waiting [min/vessel]</t>
  </si>
  <si>
    <t>p. 11</t>
  </si>
  <si>
    <t>From:" Port-2-Port Communication Enhancing Short Sea Shipping Performance: The Case Study of Cyprus and the Eastern Mediterranean", 2019</t>
  </si>
  <si>
    <t>Bulk Carrier</t>
  </si>
  <si>
    <t>General Cargo</t>
  </si>
  <si>
    <t>Tanker</t>
  </si>
  <si>
    <t>Loading / Unloading time per ... [min]</t>
  </si>
  <si>
    <t>From: "Review of Maritime Transport 2023"</t>
  </si>
  <si>
    <t>Container [min/t]</t>
  </si>
  <si>
    <t>p. 92 (5min/con)</t>
  </si>
  <si>
    <t>Break bulk [min/t]</t>
  </si>
  <si>
    <t>assumption</t>
  </si>
  <si>
    <t>Dry Bulk [min/t]</t>
  </si>
  <si>
    <t>Neo bulk [min/t]</t>
  </si>
  <si>
    <t>Cargo waiting time in hub [h]</t>
  </si>
  <si>
    <t>Assumptions</t>
  </si>
  <si>
    <t>Optimistic</t>
  </si>
  <si>
    <t>Base</t>
  </si>
  <si>
    <t>Pessimistic</t>
  </si>
  <si>
    <t>Fuel cost in the next section below are not linked: manuel input on the right from the scenarios below:</t>
  </si>
  <si>
    <t>Copy past the fuel cost uncertainties below into the grey box above to generate new results =&gt; "Output fuel scenarios" can be used to bring the scenario result in the right form for STrAM.</t>
  </si>
  <si>
    <t>Sea:</t>
  </si>
  <si>
    <t>All modes:</t>
  </si>
  <si>
    <t>Waiting time cargo in port [h]</t>
  </si>
  <si>
    <t>Unloading whole vehicle (from) [h]</t>
  </si>
  <si>
    <t>Transfer loading/unloading total [h]</t>
  </si>
  <si>
    <t>Loading whole vehicle (to) [h]</t>
  </si>
  <si>
    <t>Emission prices</t>
  </si>
  <si>
    <t>Carbon price trajectories for use in socio-economic analyzes - regjeringen.no, https://www.regjeringen.no/no/tema/okonomi-og-budsjett/statlig-okonomistyring/karbonprisbaner-for-bruk-i-samfunnsokonomiske-analyser/id2878113/</t>
  </si>
  <si>
    <t>€/t</t>
  </si>
  <si>
    <t>Low scenario</t>
  </si>
  <si>
    <t>High scenario</t>
  </si>
  <si>
    <t>World Energy Outlook 2023</t>
  </si>
  <si>
    <t>p. 297</t>
  </si>
  <si>
    <t>Stated Policy Scenario</t>
  </si>
  <si>
    <t>Announced Pledges</t>
  </si>
  <si>
    <t>Net Zero Emission by 2050 Scenario</t>
  </si>
  <si>
    <t>These values are not used here and just implemented to document what is used in the analysis. STrAM has its own emission price input.</t>
  </si>
  <si>
    <t>Liquid bulk [min/t]</t>
  </si>
  <si>
    <t>25 min pro trailer (25t)</t>
  </si>
  <si>
    <t>Ikke kvotepliktig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</si>
</sst>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6"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
      <b/>
      <sz val="9"/>
      <color indexed="81"/>
      <name val="Tahoma"/>
      <family val="2"/>
    </font>
    <font>
      <sz val="9"/>
      <color indexed="81"/>
      <name val="Tahoma"/>
      <family val="2"/>
    </font>
    <font>
      <sz val="11"/>
      <color theme="0" tint="-4.9989318521683403E-2"/>
      <name val="Calibri Light"/>
      <family val="2"/>
      <scheme val="major"/>
    </font>
    <font>
      <b/>
      <sz val="11"/>
      <color theme="0" tint="-4.9989318521683403E-2"/>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2">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0">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18" fillId="2" borderId="0" xfId="0" applyFont="1" applyFill="1"/>
    <xf numFmtId="0" fontId="19"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0" fillId="2" borderId="0" xfId="0" applyFont="1" applyFill="1"/>
    <xf numFmtId="0" fontId="21" fillId="2" borderId="0" xfId="0" applyFont="1" applyFill="1"/>
    <xf numFmtId="9" fontId="0" fillId="2" borderId="0" xfId="4" applyFont="1" applyFill="1"/>
    <xf numFmtId="9" fontId="0" fillId="2" borderId="0" xfId="0" applyNumberFormat="1" applyFill="1"/>
    <xf numFmtId="0" fontId="4" fillId="15" borderId="0" xfId="0" applyFont="1" applyFill="1"/>
    <xf numFmtId="174" fontId="0" fillId="0" borderId="0" xfId="0" applyNumberFormat="1"/>
    <xf numFmtId="0" fontId="19" fillId="0" borderId="49" xfId="0" applyFont="1" applyBorder="1"/>
    <xf numFmtId="0" fontId="19" fillId="0" borderId="50" xfId="0" applyFont="1" applyBorder="1"/>
    <xf numFmtId="0" fontId="19" fillId="0" borderId="52" xfId="0" applyFont="1" applyBorder="1"/>
    <xf numFmtId="0" fontId="19" fillId="0" borderId="0" xfId="0" applyFont="1"/>
    <xf numFmtId="0" fontId="20" fillId="0" borderId="0" xfId="0" applyFont="1"/>
    <xf numFmtId="0" fontId="0" fillId="0" borderId="0" xfId="0" quotePrefix="1"/>
    <xf numFmtId="9" fontId="0" fillId="0" borderId="0" xfId="0" applyNumberFormat="1"/>
    <xf numFmtId="177" fontId="6" fillId="2" borderId="0" xfId="1" applyNumberFormat="1" applyFont="1" applyFill="1" applyBorder="1" applyProtection="1"/>
    <xf numFmtId="0" fontId="24" fillId="2" borderId="49" xfId="0" applyFont="1" applyFill="1" applyBorder="1"/>
    <xf numFmtId="0" fontId="24" fillId="7" borderId="50" xfId="0" applyFont="1" applyFill="1" applyBorder="1"/>
    <xf numFmtId="0" fontId="24" fillId="7" borderId="51" xfId="0" applyFont="1" applyFill="1" applyBorder="1"/>
    <xf numFmtId="0" fontId="24" fillId="2" borderId="52" xfId="0" applyFont="1" applyFill="1" applyBorder="1"/>
    <xf numFmtId="0" fontId="24" fillId="7" borderId="0" xfId="0" applyFont="1" applyFill="1"/>
    <xf numFmtId="0" fontId="24" fillId="7" borderId="53" xfId="0" applyFont="1" applyFill="1" applyBorder="1"/>
    <xf numFmtId="0" fontId="24" fillId="2" borderId="54" xfId="0" applyFont="1" applyFill="1" applyBorder="1"/>
    <xf numFmtId="0" fontId="24" fillId="7" borderId="55" xfId="0" applyFont="1" applyFill="1" applyBorder="1"/>
    <xf numFmtId="0" fontId="24" fillId="7" borderId="56" xfId="0" applyFont="1" applyFill="1" applyBorder="1"/>
    <xf numFmtId="0" fontId="0" fillId="9" borderId="0" xfId="0" applyFill="1"/>
    <xf numFmtId="0" fontId="25" fillId="11" borderId="59" xfId="0" applyFont="1" applyFill="1" applyBorder="1"/>
    <xf numFmtId="0" fontId="25" fillId="11" borderId="60" xfId="0" applyFont="1" applyFill="1" applyBorder="1"/>
    <xf numFmtId="0" fontId="25" fillId="11" borderId="61" xfId="0" applyFont="1" applyFill="1" applyBorder="1"/>
    <xf numFmtId="0" fontId="24" fillId="2" borderId="44" xfId="0" applyFont="1" applyFill="1" applyBorder="1"/>
    <xf numFmtId="0" fontId="24" fillId="15" borderId="0" xfId="0" applyFont="1" applyFill="1"/>
    <xf numFmtId="0" fontId="24" fillId="15" borderId="45" xfId="0" applyFont="1" applyFill="1" applyBorder="1"/>
    <xf numFmtId="0" fontId="24" fillId="15" borderId="44" xfId="0" applyFont="1" applyFill="1" applyBorder="1"/>
    <xf numFmtId="0" fontId="4" fillId="2" borderId="41" xfId="0" applyFont="1" applyFill="1" applyBorder="1"/>
    <xf numFmtId="0" fontId="4" fillId="2" borderId="42" xfId="0" applyFont="1" applyFill="1" applyBorder="1"/>
    <xf numFmtId="0" fontId="4" fillId="2" borderId="43" xfId="0" applyFont="1" applyFill="1" applyBorder="1"/>
    <xf numFmtId="0" fontId="4" fillId="2" borderId="0" xfId="0" applyFont="1" applyFill="1" applyAlignment="1">
      <alignment horizontal="center"/>
    </xf>
    <xf numFmtId="2" fontId="4" fillId="2" borderId="0" xfId="0" applyNumberFormat="1"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0.16008550383733161</c:v>
                </c:pt>
                <c:pt idx="1">
                  <c:v>0.15927108242717111</c:v>
                </c:pt>
                <c:pt idx="2">
                  <c:v>0.15846347095000207</c:v>
                </c:pt>
                <c:pt idx="3">
                  <c:v>0.15766588881698124</c:v>
                </c:pt>
                <c:pt idx="4">
                  <c:v>0.15688288706980683</c:v>
                </c:pt>
                <c:pt idx="5">
                  <c:v>0.15612070653913285</c:v>
                </c:pt>
                <c:pt idx="6">
                  <c:v>0.15538752305214107</c:v>
                </c:pt>
                <c:pt idx="7">
                  <c:v>0.1546933151546464</c:v>
                </c:pt>
                <c:pt idx="8">
                  <c:v>0.15472683430967626</c:v>
                </c:pt>
                <c:pt idx="9">
                  <c:v>0.15480341556753688</c:v>
                </c:pt>
                <c:pt idx="10">
                  <c:v>0.15492277051636621</c:v>
                </c:pt>
                <c:pt idx="11">
                  <c:v>0.15507712829099893</c:v>
                </c:pt>
                <c:pt idx="12">
                  <c:v>0.15525072016905569</c:v>
                </c:pt>
                <c:pt idx="13">
                  <c:v>0.15542273860212891</c:v>
                </c:pt>
                <c:pt idx="14">
                  <c:v>0.15557300618592901</c:v>
                </c:pt>
                <c:pt idx="15">
                  <c:v>0.15568733639311333</c:v>
                </c:pt>
                <c:pt idx="16">
                  <c:v>0.15575980251134675</c:v>
                </c:pt>
                <c:pt idx="17">
                  <c:v>0.15579160428280986</c:v>
                </c:pt>
                <c:pt idx="18">
                  <c:v>0.1557882315999338</c:v>
                </c:pt>
                <c:pt idx="19">
                  <c:v>0.15575673153295702</c:v>
                </c:pt>
                <c:pt idx="20">
                  <c:v>0.15570392132084804</c:v>
                </c:pt>
                <c:pt idx="21">
                  <c:v>0.15563555380521404</c:v>
                </c:pt>
                <c:pt idx="22">
                  <c:v>0.15555611337024963</c:v>
                </c:pt>
                <c:pt idx="23">
                  <c:v>0.15546892677318974</c:v>
                </c:pt>
                <c:pt idx="24">
                  <c:v>0.15537638441206875</c:v>
                </c:pt>
                <c:pt idx="25">
                  <c:v>0.15528016827275887</c:v>
                </c:pt>
                <c:pt idx="26">
                  <c:v>0.15518144557317454</c:v>
                </c:pt>
                <c:pt idx="27">
                  <c:v>0.15508101886292719</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8.0027147488310843E-2</c:v>
                </c:pt>
                <c:pt idx="1">
                  <c:v>7.9304701671896294E-2</c:v>
                </c:pt>
                <c:pt idx="2">
                  <c:v>7.8584088580919059E-2</c:v>
                </c:pt>
                <c:pt idx="3">
                  <c:v>7.7866482921337937E-2</c:v>
                </c:pt>
                <c:pt idx="4">
                  <c:v>7.7153668052726138E-2</c:v>
                </c:pt>
                <c:pt idx="5">
                  <c:v>7.6448263244838277E-2</c:v>
                </c:pt>
                <c:pt idx="6">
                  <c:v>7.5753949961385805E-2</c:v>
                </c:pt>
                <c:pt idx="7">
                  <c:v>7.5075590434253298E-2</c:v>
                </c:pt>
                <c:pt idx="8">
                  <c:v>7.501220359750671E-2</c:v>
                </c:pt>
                <c:pt idx="9">
                  <c:v>7.4962451944516797E-2</c:v>
                </c:pt>
                <c:pt idx="10">
                  <c:v>7.492677857200454E-2</c:v>
                </c:pt>
                <c:pt idx="11">
                  <c:v>7.4903410112360652E-2</c:v>
                </c:pt>
                <c:pt idx="12">
                  <c:v>7.4888047507997629E-2</c:v>
                </c:pt>
                <c:pt idx="13">
                  <c:v>7.4874599414625348E-2</c:v>
                </c:pt>
                <c:pt idx="14">
                  <c:v>7.4856823543913917E-2</c:v>
                </c:pt>
                <c:pt idx="15">
                  <c:v>7.4830012724677847E-2</c:v>
                </c:pt>
                <c:pt idx="16">
                  <c:v>7.4791836645466875E-2</c:v>
                </c:pt>
                <c:pt idx="17">
                  <c:v>7.4742150146256847E-2</c:v>
                </c:pt>
                <c:pt idx="18">
                  <c:v>7.4682220740993205E-2</c:v>
                </c:pt>
                <c:pt idx="19">
                  <c:v>7.4613919516635402E-2</c:v>
                </c:pt>
                <c:pt idx="20">
                  <c:v>7.4539158792619048E-2</c:v>
                </c:pt>
                <c:pt idx="21">
                  <c:v>7.4459606175710291E-2</c:v>
                </c:pt>
                <c:pt idx="22">
                  <c:v>7.437659286071012E-2</c:v>
                </c:pt>
                <c:pt idx="23">
                  <c:v>7.4291125534346331E-2</c:v>
                </c:pt>
                <c:pt idx="24">
                  <c:v>7.4203939604705782E-2</c:v>
                </c:pt>
                <c:pt idx="25">
                  <c:v>7.4115560290400034E-2</c:v>
                </c:pt>
                <c:pt idx="26">
                  <c:v>7.4026357111548702E-2</c:v>
                </c:pt>
                <c:pt idx="27">
                  <c:v>7.393658744712471E-2</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8.4300018728238085E-2</c:v>
                </c:pt>
                <c:pt idx="1">
                  <c:v>8.3546650526390556E-2</c:v>
                </c:pt>
                <c:pt idx="2">
                  <c:v>8.2795399750635656E-2</c:v>
                </c:pt>
                <c:pt idx="3">
                  <c:v>8.204757378501995E-2</c:v>
                </c:pt>
                <c:pt idx="4">
                  <c:v>8.1305142783727385E-2</c:v>
                </c:pt>
                <c:pt idx="5">
                  <c:v>8.0570981088219445E-2</c:v>
                </c:pt>
                <c:pt idx="6">
                  <c:v>7.9849102766720442E-2</c:v>
                </c:pt>
                <c:pt idx="7">
                  <c:v>7.9144773700734944E-2</c:v>
                </c:pt>
                <c:pt idx="8">
                  <c:v>7.9083237925615418E-2</c:v>
                </c:pt>
                <c:pt idx="9">
                  <c:v>7.9037124909010659E-2</c:v>
                </c:pt>
                <c:pt idx="10">
                  <c:v>7.9006862455842028E-2</c:v>
                </c:pt>
                <c:pt idx="11">
                  <c:v>7.8990350349502914E-2</c:v>
                </c:pt>
                <c:pt idx="12">
                  <c:v>7.8982630638001761E-2</c:v>
                </c:pt>
                <c:pt idx="13">
                  <c:v>7.8976745135467291E-2</c:v>
                </c:pt>
                <c:pt idx="14">
                  <c:v>7.8965613047099398E-2</c:v>
                </c:pt>
                <c:pt idx="15">
                  <c:v>7.8943939633264126E-2</c:v>
                </c:pt>
                <c:pt idx="16">
                  <c:v>7.890915137335032E-2</c:v>
                </c:pt>
                <c:pt idx="17">
                  <c:v>7.8861156171652416E-2</c:v>
                </c:pt>
                <c:pt idx="18">
                  <c:v>7.8801452360333701E-2</c:v>
                </c:pt>
                <c:pt idx="19">
                  <c:v>7.8732205799053656E-2</c:v>
                </c:pt>
                <c:pt idx="20">
                  <c:v>7.8655613331181734E-2</c:v>
                </c:pt>
                <c:pt idx="21">
                  <c:v>7.8573582329226205E-2</c:v>
                </c:pt>
                <c:pt idx="22">
                  <c:v>7.8487630692923249E-2</c:v>
                </c:pt>
                <c:pt idx="23">
                  <c:v>7.839890349790693E-2</c:v>
                </c:pt>
                <c:pt idx="24">
                  <c:v>7.830823551486138E-2</c:v>
                </c:pt>
                <c:pt idx="25">
                  <c:v>7.8216221829991273E-2</c:v>
                </c:pt>
                <c:pt idx="26">
                  <c:v>7.8123280416865143E-2</c:v>
                </c:pt>
                <c:pt idx="27">
                  <c:v>7.8029701949290181E-2</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0.10828383175735644</c:v>
                </c:pt>
                <c:pt idx="1">
                  <c:v>0.10753418216485393</c:v>
                </c:pt>
                <c:pt idx="2">
                  <c:v>0.10678821128129962</c:v>
                </c:pt>
                <c:pt idx="3">
                  <c:v>0.10604784793594421</c:v>
                </c:pt>
                <c:pt idx="4">
                  <c:v>0.10531589431886025</c:v>
                </c:pt>
                <c:pt idx="5">
                  <c:v>0.10459629999081058</c:v>
                </c:pt>
                <c:pt idx="6">
                  <c:v>0.10389439298513055</c:v>
                </c:pt>
                <c:pt idx="7">
                  <c:v>0.10321690322756603</c:v>
                </c:pt>
                <c:pt idx="8">
                  <c:v>0.10319045161352582</c:v>
                </c:pt>
                <c:pt idx="9">
                  <c:v>0.10318852116780756</c:v>
                </c:pt>
                <c:pt idx="10">
                  <c:v>0.10321127653144178</c:v>
                </c:pt>
                <c:pt idx="11">
                  <c:v>0.10325471557553673</c:v>
                </c:pt>
                <c:pt idx="12">
                  <c:v>0.1033102860475754</c:v>
                </c:pt>
                <c:pt idx="13">
                  <c:v>0.10336644529614965</c:v>
                </c:pt>
                <c:pt idx="14">
                  <c:v>0.10341179382181756</c:v>
                </c:pt>
                <c:pt idx="15">
                  <c:v>0.1034381208869186</c:v>
                </c:pt>
                <c:pt idx="16">
                  <c:v>0.10344177241423405</c:v>
                </c:pt>
                <c:pt idx="17">
                  <c:v>0.10342310847627158</c:v>
                </c:pt>
                <c:pt idx="18">
                  <c:v>0.10338496549616917</c:v>
                </c:pt>
                <c:pt idx="19">
                  <c:v>0.10333113461729546</c:v>
                </c:pt>
                <c:pt idx="20">
                  <c:v>0.10326534626620777</c:v>
                </c:pt>
                <c:pt idx="21">
                  <c:v>0.10319078157302311</c:v>
                </c:pt>
                <c:pt idx="22">
                  <c:v>0.10310993950387246</c:v>
                </c:pt>
                <c:pt idx="23">
                  <c:v>0.10302468570145892</c:v>
                </c:pt>
                <c:pt idx="24">
                  <c:v>0.10293636812453781</c:v>
                </c:pt>
                <c:pt idx="25">
                  <c:v>0.10284594002609314</c:v>
                </c:pt>
                <c:pt idx="26">
                  <c:v>0.10275406602187209</c:v>
                </c:pt>
                <c:pt idx="27">
                  <c:v>0.1026612051195252</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9.1760643921659973E-2</c:v>
                </c:pt>
                <c:pt idx="1">
                  <c:v>9.1040381901361891E-2</c:v>
                </c:pt>
                <c:pt idx="2">
                  <c:v>9.0322869487818952E-2</c:v>
                </c:pt>
                <c:pt idx="3">
                  <c:v>9.0666397123993658E-2</c:v>
                </c:pt>
                <c:pt idx="4">
                  <c:v>8.9959735219789477E-2</c:v>
                </c:pt>
                <c:pt idx="5">
                  <c:v>8.9262885266023412E-2</c:v>
                </c:pt>
                <c:pt idx="6">
                  <c:v>8.8580300367534198E-2</c:v>
                </c:pt>
                <c:pt idx="7">
                  <c:v>8.7917702533029413E-2</c:v>
                </c:pt>
                <c:pt idx="8">
                  <c:v>8.7874919273482316E-2</c:v>
                </c:pt>
                <c:pt idx="9">
                  <c:v>8.785111434351861E-2</c:v>
                </c:pt>
                <c:pt idx="10">
                  <c:v>8.7846576293836992E-2</c:v>
                </c:pt>
                <c:pt idx="11">
                  <c:v>8.785841483695922E-2</c:v>
                </c:pt>
                <c:pt idx="12">
                  <c:v>8.7880220120965691E-2</c:v>
                </c:pt>
                <c:pt idx="13">
                  <c:v>8.7903208521440374E-2</c:v>
                </c:pt>
                <c:pt idx="14">
                  <c:v>8.7918601541070396E-2</c:v>
                </c:pt>
                <c:pt idx="15">
                  <c:v>8.7919979555283731E-2</c:v>
                </c:pt>
                <c:pt idx="16">
                  <c:v>8.7904377683331703E-2</c:v>
                </c:pt>
                <c:pt idx="17">
                  <c:v>8.7871916306175052E-2</c:v>
                </c:pt>
                <c:pt idx="18">
                  <c:v>8.7824648747077447E-2</c:v>
                </c:pt>
                <c:pt idx="19">
                  <c:v>8.7765400559553661E-2</c:v>
                </c:pt>
                <c:pt idx="20">
                  <c:v>8.7696984677408649E-2</c:v>
                </c:pt>
                <c:pt idx="21">
                  <c:v>8.7621816736217439E-2</c:v>
                </c:pt>
                <c:pt idx="22">
                  <c:v>8.7541804073307555E-2</c:v>
                </c:pt>
                <c:pt idx="23">
                  <c:v>8.7458376536707419E-2</c:v>
                </c:pt>
                <c:pt idx="24">
                  <c:v>8.7372570910102365E-2</c:v>
                </c:pt>
                <c:pt idx="25">
                  <c:v>8.7285122749665406E-2</c:v>
                </c:pt>
                <c:pt idx="26">
                  <c:v>8.7196546418972981E-2</c:v>
                </c:pt>
                <c:pt idx="27">
                  <c:v>8.7107198152983983E-2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0.21637192652690349</c:v>
                </c:pt>
                <c:pt idx="1">
                  <c:v>0.21951104207722003</c:v>
                </c:pt>
                <c:pt idx="2">
                  <c:v>0.21774038691418135</c:v>
                </c:pt>
                <c:pt idx="3">
                  <c:v>0.21535650325440328</c:v>
                </c:pt>
                <c:pt idx="4">
                  <c:v>0.21223165111129222</c:v>
                </c:pt>
                <c:pt idx="5">
                  <c:v>0.20827970186713166</c:v>
                </c:pt>
                <c:pt idx="6">
                  <c:v>0.20350672500663491</c:v>
                </c:pt>
                <c:pt idx="7">
                  <c:v>0.19805651534550769</c:v>
                </c:pt>
                <c:pt idx="8">
                  <c:v>0.19221812747364972</c:v>
                </c:pt>
                <c:pt idx="9">
                  <c:v>0.18637168156255102</c:v>
                </c:pt>
                <c:pt idx="10">
                  <c:v>0.18088911847517575</c:v>
                </c:pt>
                <c:pt idx="11">
                  <c:v>0.17604400717380625</c:v>
                </c:pt>
                <c:pt idx="12">
                  <c:v>0.17197490026309797</c:v>
                </c:pt>
                <c:pt idx="13">
                  <c:v>0.1687014572165727</c:v>
                </c:pt>
                <c:pt idx="14">
                  <c:v>0.16616327353760002</c:v>
                </c:pt>
                <c:pt idx="15">
                  <c:v>0.16425693316860029</c:v>
                </c:pt>
                <c:pt idx="16">
                  <c:v>0.16286365669373826</c:v>
                </c:pt>
                <c:pt idx="17">
                  <c:v>0.16186804706049535</c:v>
                </c:pt>
                <c:pt idx="18">
                  <c:v>0.16116917124098462</c:v>
                </c:pt>
                <c:pt idx="19">
                  <c:v>0.16068518041493196</c:v>
                </c:pt>
                <c:pt idx="20">
                  <c:v>0.16035330999297903</c:v>
                </c:pt>
                <c:pt idx="21">
                  <c:v>0.16012735276709789</c:v>
                </c:pt>
                <c:pt idx="22">
                  <c:v>0.15997426809106063</c:v>
                </c:pt>
                <c:pt idx="23">
                  <c:v>0.15987090849638358</c:v>
                </c:pt>
                <c:pt idx="24">
                  <c:v>0.15980128544457209</c:v>
                </c:pt>
                <c:pt idx="25">
                  <c:v>0.15975446190069742</c:v>
                </c:pt>
                <c:pt idx="26">
                  <c:v>0.15972300557646724</c:v>
                </c:pt>
                <c:pt idx="27">
                  <c:v>0.15970188837788224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0.10531087632523629</c:v>
                </c:pt>
                <c:pt idx="1">
                  <c:v>0.10473550749037042</c:v>
                </c:pt>
                <c:pt idx="2">
                  <c:v>0.10394602256673009</c:v>
                </c:pt>
                <c:pt idx="3">
                  <c:v>0.10288364693717506</c:v>
                </c:pt>
                <c:pt idx="4">
                  <c:v>0.10149212680225049</c:v>
                </c:pt>
                <c:pt idx="5">
                  <c:v>9.9734359914276746E-2</c:v>
                </c:pt>
                <c:pt idx="6">
                  <c:v>9.7615210533501584E-2</c:v>
                </c:pt>
                <c:pt idx="7">
                  <c:v>9.5201916568160655E-2</c:v>
                </c:pt>
                <c:pt idx="8">
                  <c:v>9.2788149275787823E-2</c:v>
                </c:pt>
                <c:pt idx="9">
                  <c:v>9.0376503661637492E-2</c:v>
                </c:pt>
                <c:pt idx="10">
                  <c:v>8.8135330503506748E-2</c:v>
                </c:pt>
                <c:pt idx="11">
                  <c:v>8.6186731956471668E-2</c:v>
                </c:pt>
                <c:pt idx="12">
                  <c:v>8.4589344089089913E-2</c:v>
                </c:pt>
                <c:pt idx="13">
                  <c:v>8.3125683351075508E-2</c:v>
                </c:pt>
                <c:pt idx="14">
                  <c:v>8.1989256124135684E-2</c:v>
                </c:pt>
                <c:pt idx="15">
                  <c:v>8.1127336728427979E-2</c:v>
                </c:pt>
                <c:pt idx="16">
                  <c:v>8.0483529458206887E-2</c:v>
                </c:pt>
                <c:pt idx="17">
                  <c:v>8.0005740978412787E-2</c:v>
                </c:pt>
                <c:pt idx="18">
                  <c:v>7.9650080607777923E-2</c:v>
                </c:pt>
                <c:pt idx="19">
                  <c:v>7.9381912832722501E-2</c:v>
                </c:pt>
                <c:pt idx="20">
                  <c:v>7.9175189423155379E-2</c:v>
                </c:pt>
                <c:pt idx="21">
                  <c:v>7.9010995375950868E-2</c:v>
                </c:pt>
                <c:pt idx="22">
                  <c:v>7.8875935933557129E-2</c:v>
                </c:pt>
                <c:pt idx="23">
                  <c:v>7.8760691477223227E-2</c:v>
                </c:pt>
                <c:pt idx="24">
                  <c:v>7.8658856604441774E-2</c:v>
                </c:pt>
                <c:pt idx="25">
                  <c:v>7.8566065680302416E-2</c:v>
                </c:pt>
                <c:pt idx="26">
                  <c:v>7.8479360256866859E-2</c:v>
                </c:pt>
                <c:pt idx="27">
                  <c:v>7.8396743248474315E-2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0.11143385784995678</c:v>
                </c:pt>
                <c:pt idx="1">
                  <c:v>0.11081095282621557</c:v>
                </c:pt>
                <c:pt idx="2">
                  <c:v>0.10995630396229884</c:v>
                </c:pt>
                <c:pt idx="3">
                  <c:v>0.10880636662538078</c:v>
                </c:pt>
                <c:pt idx="4">
                  <c:v>0.10730040704478783</c:v>
                </c:pt>
                <c:pt idx="5">
                  <c:v>0.10539855825130365</c:v>
                </c:pt>
                <c:pt idx="6">
                  <c:v>0.10310657226399533</c:v>
                </c:pt>
                <c:pt idx="7">
                  <c:v>0.10049792810826105</c:v>
                </c:pt>
                <c:pt idx="8">
                  <c:v>9.7884643466625093E-2</c:v>
                </c:pt>
                <c:pt idx="9">
                  <c:v>9.527735972632409E-2</c:v>
                </c:pt>
                <c:pt idx="10">
                  <c:v>9.2858559747352021E-2</c:v>
                </c:pt>
                <c:pt idx="11">
                  <c:v>9.075990136878348E-2</c:v>
                </c:pt>
                <c:pt idx="12">
                  <c:v>8.9043567823607478E-2</c:v>
                </c:pt>
                <c:pt idx="13">
                  <c:v>8.748143616237751E-2</c:v>
                </c:pt>
                <c:pt idx="14">
                  <c:v>8.6271980782402891E-2</c:v>
                </c:pt>
                <c:pt idx="15">
                  <c:v>8.5357082205755164E-2</c:v>
                </c:pt>
                <c:pt idx="16">
                  <c:v>8.4675288663069601E-2</c:v>
                </c:pt>
                <c:pt idx="17">
                  <c:v>8.4170330767590215E-2</c:v>
                </c:pt>
                <c:pt idx="18">
                  <c:v>8.3795117230171745E-2</c:v>
                </c:pt>
                <c:pt idx="19">
                  <c:v>8.3512671697669696E-2</c:v>
                </c:pt>
                <c:pt idx="20">
                  <c:v>8.329528456981633E-2</c:v>
                </c:pt>
                <c:pt idx="21">
                  <c:v>8.3122884522398771E-2</c:v>
                </c:pt>
                <c:pt idx="22">
                  <c:v>8.2981282236199341E-2</c:v>
                </c:pt>
                <c:pt idx="23">
                  <c:v>8.286061670692918E-2</c:v>
                </c:pt>
                <c:pt idx="24">
                  <c:v>8.2754115711758003E-2</c:v>
                </c:pt>
                <c:pt idx="25">
                  <c:v>8.2657165997467724E-2</c:v>
                </c:pt>
                <c:pt idx="26">
                  <c:v>8.2566642378348293E-2</c:v>
                </c:pt>
                <c:pt idx="27">
                  <c:v>8.2480435679140041E-2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0.14511916971521754</c:v>
                </c:pt>
                <c:pt idx="1">
                  <c:v>0.14430014442718125</c:v>
                </c:pt>
                <c:pt idx="2">
                  <c:v>0.14317642122701657</c:v>
                </c:pt>
                <c:pt idx="3">
                  <c:v>0.14166446214625897</c:v>
                </c:pt>
                <c:pt idx="4">
                  <c:v>0.13968443775973252</c:v>
                </c:pt>
                <c:pt idx="5">
                  <c:v>0.13718397574133306</c:v>
                </c:pt>
                <c:pt idx="6">
                  <c:v>0.13417071394529606</c:v>
                </c:pt>
                <c:pt idx="7">
                  <c:v>0.13074137088167351</c:v>
                </c:pt>
                <c:pt idx="8">
                  <c:v>0.12725355111517206</c:v>
                </c:pt>
                <c:pt idx="9">
                  <c:v>0.12377714971472829</c:v>
                </c:pt>
                <c:pt idx="10">
                  <c:v>0.12055181456586964</c:v>
                </c:pt>
                <c:pt idx="11">
                  <c:v>0.11774997366588581</c:v>
                </c:pt>
                <c:pt idx="12">
                  <c:v>0.11545250167603095</c:v>
                </c:pt>
                <c:pt idx="13">
                  <c:v>0.11343091783136794</c:v>
                </c:pt>
                <c:pt idx="14">
                  <c:v>0.11187122203646577</c:v>
                </c:pt>
                <c:pt idx="15">
                  <c:v>0.11069724807240844</c:v>
                </c:pt>
                <c:pt idx="16">
                  <c:v>0.10982848304796937</c:v>
                </c:pt>
                <c:pt idx="17">
                  <c:v>0.10919123007674041</c:v>
                </c:pt>
                <c:pt idx="18">
                  <c:v>0.10872383164959933</c:v>
                </c:pt>
                <c:pt idx="19">
                  <c:v>0.10837788356049714</c:v>
                </c:pt>
                <c:pt idx="20">
                  <c:v>0.10811711568691768</c:v>
                </c:pt>
                <c:pt idx="21">
                  <c:v>0.10791525603325183</c:v>
                </c:pt>
                <c:pt idx="22">
                  <c:v>0.10775373056591699</c:v>
                </c:pt>
                <c:pt idx="23">
                  <c:v>0.1076196296270502</c:v>
                </c:pt>
                <c:pt idx="24">
                  <c:v>0.10750408597060701</c:v>
                </c:pt>
                <c:pt idx="25">
                  <c:v>0.10740105817449599</c:v>
                </c:pt>
                <c:pt idx="26">
                  <c:v>0.10730645279080381</c:v>
                </c:pt>
                <c:pt idx="27">
                  <c:v>0.10721750661777942</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0.12257559398774524</c:v>
                </c:pt>
                <c:pt idx="1">
                  <c:v>0.12188527051856508</c:v>
                </c:pt>
                <c:pt idx="2">
                  <c:v>0.12093809750947351</c:v>
                </c:pt>
                <c:pt idx="3">
                  <c:v>0.11966361938964454</c:v>
                </c:pt>
                <c:pt idx="4">
                  <c:v>0.11799446290725628</c:v>
                </c:pt>
                <c:pt idx="5">
                  <c:v>0.11588632588093746</c:v>
                </c:pt>
                <c:pt idx="6">
                  <c:v>0.11334538564086004</c:v>
                </c:pt>
                <c:pt idx="7">
                  <c:v>0.11045279156137923</c:v>
                </c:pt>
                <c:pt idx="8">
                  <c:v>0.10752927013752651</c:v>
                </c:pt>
                <c:pt idx="9">
                  <c:v>0.10461243177478609</c:v>
                </c:pt>
                <c:pt idx="10">
                  <c:v>0.10190423158797018</c:v>
                </c:pt>
                <c:pt idx="11">
                  <c:v>9.9550466319943506E-2</c:v>
                </c:pt>
                <c:pt idx="12">
                  <c:v>9.7620215868248636E-2</c:v>
                </c:pt>
                <c:pt idx="13">
                  <c:v>9.5895094669613379E-2</c:v>
                </c:pt>
                <c:pt idx="14">
                  <c:v>9.456063625383973E-2</c:v>
                </c:pt>
                <c:pt idx="15">
                  <c:v>9.3553084839918421E-2</c:v>
                </c:pt>
                <c:pt idx="16">
                  <c:v>9.2804690153400746E-2</c:v>
                </c:pt>
                <c:pt idx="17">
                  <c:v>9.225318374920706E-2</c:v>
                </c:pt>
                <c:pt idx="18">
                  <c:v>9.184630429930829E-2</c:v>
                </c:pt>
                <c:pt idx="19">
                  <c:v>9.1542927709465538E-2</c:v>
                </c:pt>
                <c:pt idx="20">
                  <c:v>9.1312187667579786E-2</c:v>
                </c:pt>
                <c:pt idx="21">
                  <c:v>9.1131700906401603E-2</c:v>
                </c:pt>
                <c:pt idx="22">
                  <c:v>9.0985630714093435E-2</c:v>
                </c:pt>
                <c:pt idx="23">
                  <c:v>9.0862964633204688E-2</c:v>
                </c:pt>
                <c:pt idx="24">
                  <c:v>9.0756136297087897E-2</c:v>
                </c:pt>
                <c:pt idx="25">
                  <c:v>9.0659989728664903E-2</c:v>
                </c:pt>
                <c:pt idx="26">
                  <c:v>9.0571031142839237E-2</c:v>
                </c:pt>
                <c:pt idx="27">
                  <c:v>9.0486902077712511E-2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0.24891004870420008</c:v>
                </c:pt>
                <c:pt idx="1">
                  <c:v>0.24686948965581962</c:v>
                </c:pt>
                <c:pt idx="2">
                  <c:v>0.24441003081780699</c:v>
                </c:pt>
                <c:pt idx="3">
                  <c:v>0.24167883382739944</c:v>
                </c:pt>
                <c:pt idx="4">
                  <c:v>0.23824376249588991</c:v>
                </c:pt>
                <c:pt idx="5">
                  <c:v>0.23396617162270528</c:v>
                </c:pt>
                <c:pt idx="6">
                  <c:v>0.22876151197232558</c:v>
                </c:pt>
                <c:pt idx="7">
                  <c:v>0.22265915905493006</c:v>
                </c:pt>
                <c:pt idx="8">
                  <c:v>0.21640668673553104</c:v>
                </c:pt>
                <c:pt idx="9">
                  <c:v>0.20978098994427952</c:v>
                </c:pt>
                <c:pt idx="10">
                  <c:v>0.20324865822433011</c:v>
                </c:pt>
                <c:pt idx="11">
                  <c:v>0.19725556359642915</c:v>
                </c:pt>
                <c:pt idx="12">
                  <c:v>0.19211175280138088</c:v>
                </c:pt>
                <c:pt idx="13">
                  <c:v>0.18745385698996528</c:v>
                </c:pt>
                <c:pt idx="14">
                  <c:v>0.18376212454975488</c:v>
                </c:pt>
                <c:pt idx="15">
                  <c:v>0.18090469799572684</c:v>
                </c:pt>
                <c:pt idx="16">
                  <c:v>0.17871521279562419</c:v>
                </c:pt>
                <c:pt idx="17">
                  <c:v>0.17703247540625017</c:v>
                </c:pt>
                <c:pt idx="18">
                  <c:v>0.17575436316080051</c:v>
                </c:pt>
                <c:pt idx="19">
                  <c:v>0.17473885551398066</c:v>
                </c:pt>
                <c:pt idx="20">
                  <c:v>0.17390641684161318</c:v>
                </c:pt>
                <c:pt idx="21">
                  <c:v>0.17319990683756836</c:v>
                </c:pt>
                <c:pt idx="22">
                  <c:v>0.17257922567859729</c:v>
                </c:pt>
                <c:pt idx="23">
                  <c:v>0.17209349498333115</c:v>
                </c:pt>
                <c:pt idx="24">
                  <c:v>0.17164688796190419</c:v>
                </c:pt>
                <c:pt idx="25">
                  <c:v>0.17122660175811061</c:v>
                </c:pt>
                <c:pt idx="26">
                  <c:v>0.17082398839061927</c:v>
                </c:pt>
                <c:pt idx="27">
                  <c:v>0.17043322555935234</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0.1301849178703009</c:v>
                </c:pt>
                <c:pt idx="1">
                  <c:v>0.12879834045908395</c:v>
                </c:pt>
                <c:pt idx="2">
                  <c:v>0.12720241092968354</c:v>
                </c:pt>
                <c:pt idx="3">
                  <c:v>0.12557750088189429</c:v>
                </c:pt>
                <c:pt idx="4">
                  <c:v>0.12360103478153095</c:v>
                </c:pt>
                <c:pt idx="5">
                  <c:v>0.12120519100478705</c:v>
                </c:pt>
                <c:pt idx="6">
                  <c:v>0.11834985053087776</c:v>
                </c:pt>
                <c:pt idx="7">
                  <c:v>0.11505230804518336</c:v>
                </c:pt>
                <c:pt idx="8">
                  <c:v>0.11189766374969658</c:v>
                </c:pt>
                <c:pt idx="9">
                  <c:v>0.10855308080160889</c:v>
                </c:pt>
                <c:pt idx="10">
                  <c:v>0.10525235821296482</c:v>
                </c:pt>
                <c:pt idx="11">
                  <c:v>0.10221949414527944</c:v>
                </c:pt>
                <c:pt idx="12">
                  <c:v>9.9611083648628335E-2</c:v>
                </c:pt>
                <c:pt idx="13">
                  <c:v>9.7062053349601468E-2</c:v>
                </c:pt>
                <c:pt idx="14">
                  <c:v>9.5006421683778361E-2</c:v>
                </c:pt>
                <c:pt idx="15">
                  <c:v>9.3376459396151718E-2</c:v>
                </c:pt>
                <c:pt idx="16">
                  <c:v>9.2087164722839704E-2</c:v>
                </c:pt>
                <c:pt idx="17">
                  <c:v>9.1056244713108817E-2</c:v>
                </c:pt>
                <c:pt idx="18">
                  <c:v>9.0244234548353897E-2</c:v>
                </c:pt>
                <c:pt idx="19">
                  <c:v>8.9565833713513232E-2</c:v>
                </c:pt>
                <c:pt idx="20">
                  <c:v>8.8980478708406044E-2</c:v>
                </c:pt>
                <c:pt idx="21">
                  <c:v>8.8459042007557886E-2</c:v>
                </c:pt>
                <c:pt idx="22">
                  <c:v>8.798110134314481E-2</c:v>
                </c:pt>
                <c:pt idx="23">
                  <c:v>8.7599895946824213E-2</c:v>
                </c:pt>
                <c:pt idx="24">
                  <c:v>8.7238414974134398E-2</c:v>
                </c:pt>
                <c:pt idx="25">
                  <c:v>8.6890182362002549E-2</c:v>
                </c:pt>
                <c:pt idx="26">
                  <c:v>8.6550830228324771E-2</c:v>
                </c:pt>
                <c:pt idx="27">
                  <c:v>8.6217422559525025E-2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0.13776629264773832</c:v>
                </c:pt>
                <c:pt idx="1">
                  <c:v>0.13630207043029938</c:v>
                </c:pt>
                <c:pt idx="2">
                  <c:v>0.1346121540729979</c:v>
                </c:pt>
                <c:pt idx="3">
                  <c:v>0.13288209983528232</c:v>
                </c:pt>
                <c:pt idx="4">
                  <c:v>0.13077309136067969</c:v>
                </c:pt>
                <c:pt idx="5">
                  <c:v>0.12821197599246581</c:v>
                </c:pt>
                <c:pt idx="6">
                  <c:v>0.12515548073309263</c:v>
                </c:pt>
                <c:pt idx="7">
                  <c:v>0.12162228161438476</c:v>
                </c:pt>
                <c:pt idx="8">
                  <c:v>0.11822590456848113</c:v>
                </c:pt>
                <c:pt idx="9">
                  <c:v>0.1146263380955117</c:v>
                </c:pt>
                <c:pt idx="10">
                  <c:v>0.11107582386819879</c:v>
                </c:pt>
                <c:pt idx="11">
                  <c:v>0.10781569950851688</c:v>
                </c:pt>
                <c:pt idx="12">
                  <c:v>0.10501422727718901</c:v>
                </c:pt>
                <c:pt idx="13">
                  <c:v>0.10229225794444202</c:v>
                </c:pt>
                <c:pt idx="14">
                  <c:v>0.10010090757764012</c:v>
                </c:pt>
                <c:pt idx="15">
                  <c:v>9.8366768196476412E-2</c:v>
                </c:pt>
                <c:pt idx="16">
                  <c:v>9.6998101415976465E-2</c:v>
                </c:pt>
                <c:pt idx="17">
                  <c:v>9.5906332915231179E-2</c:v>
                </c:pt>
                <c:pt idx="18">
                  <c:v>9.5048124455288707E-2</c:v>
                </c:pt>
                <c:pt idx="19">
                  <c:v>9.4332904730400541E-2</c:v>
                </c:pt>
                <c:pt idx="20">
                  <c:v>9.3717220104064969E-2</c:v>
                </c:pt>
                <c:pt idx="21">
                  <c:v>9.31698933665219E-2</c:v>
                </c:pt>
                <c:pt idx="22">
                  <c:v>9.2669077060665364E-2</c:v>
                </c:pt>
                <c:pt idx="23">
                  <c:v>9.2269921260751175E-2</c:v>
                </c:pt>
                <c:pt idx="24">
                  <c:v>9.1891858154688949E-2</c:v>
                </c:pt>
                <c:pt idx="25">
                  <c:v>9.1527962854660749E-2</c:v>
                </c:pt>
                <c:pt idx="26">
                  <c:v>9.117356492248134E-2</c:v>
                </c:pt>
                <c:pt idx="27">
                  <c:v>9.0825524918120487E-2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0.17252924484292287</c:v>
                </c:pt>
                <c:pt idx="1">
                  <c:v>0.17091032336708489</c:v>
                </c:pt>
                <c:pt idx="2">
                  <c:v>0.16900526195180893</c:v>
                </c:pt>
                <c:pt idx="3">
                  <c:v>0.16698013112799293</c:v>
                </c:pt>
                <c:pt idx="4">
                  <c:v>0.16447432149925922</c:v>
                </c:pt>
                <c:pt idx="5">
                  <c:v>0.16139401049450558</c:v>
                </c:pt>
                <c:pt idx="6">
                  <c:v>0.1576827197400098</c:v>
                </c:pt>
                <c:pt idx="7">
                  <c:v>0.15336205956783835</c:v>
                </c:pt>
                <c:pt idx="8">
                  <c:v>0.14907235491728138</c:v>
                </c:pt>
                <c:pt idx="9">
                  <c:v>0.14452530077083922</c:v>
                </c:pt>
                <c:pt idx="10">
                  <c:v>0.14003991993108283</c:v>
                </c:pt>
                <c:pt idx="11">
                  <c:v>0.13592149433202599</c:v>
                </c:pt>
                <c:pt idx="12">
                  <c:v>0.13238291593755463</c:v>
                </c:pt>
                <c:pt idx="13">
                  <c:v>0.12906361601375047</c:v>
                </c:pt>
                <c:pt idx="14">
                  <c:v>0.12641083871291386</c:v>
                </c:pt>
                <c:pt idx="15">
                  <c:v>0.12433353405757167</c:v>
                </c:pt>
                <c:pt idx="16">
                  <c:v>0.12271699168525739</c:v>
                </c:pt>
                <c:pt idx="17">
                  <c:v>0.12145004416266796</c:v>
                </c:pt>
                <c:pt idx="18">
                  <c:v>0.12046999301948033</c:v>
                </c:pt>
                <c:pt idx="19">
                  <c:v>0.11967099055836475</c:v>
                </c:pt>
                <c:pt idx="20">
                  <c:v>0.11899815571272986</c:v>
                </c:pt>
                <c:pt idx="21">
                  <c:v>0.11841206237321535</c:v>
                </c:pt>
                <c:pt idx="22">
                  <c:v>0.11788505020207485</c:v>
                </c:pt>
                <c:pt idx="23">
                  <c:v>0.11746823919993211</c:v>
                </c:pt>
                <c:pt idx="24">
                  <c:v>0.11707829810589941</c:v>
                </c:pt>
                <c:pt idx="25">
                  <c:v>0.11670642115047182</c:v>
                </c:pt>
                <c:pt idx="26">
                  <c:v>0.11634666410964255</c:v>
                </c:pt>
                <c:pt idx="27">
                  <c:v>0.11599502780168205</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0.14817175095677115</c:v>
                </c:pt>
                <c:pt idx="1">
                  <c:v>0.1466944819922564</c:v>
                </c:pt>
                <c:pt idx="2">
                  <c:v>0.14497243428625065</c:v>
                </c:pt>
                <c:pt idx="3">
                  <c:v>0.14317456918899765</c:v>
                </c:pt>
                <c:pt idx="4">
                  <c:v>0.14096556145076633</c:v>
                </c:pt>
                <c:pt idx="5">
                  <c:v>0.13826552094813155</c:v>
                </c:pt>
                <c:pt idx="6">
                  <c:v>0.1350266711424577</c:v>
                </c:pt>
                <c:pt idx="7">
                  <c:v>0.13126815529680835</c:v>
                </c:pt>
                <c:pt idx="8">
                  <c:v>0.12759095150867014</c:v>
                </c:pt>
                <c:pt idx="9">
                  <c:v>0.12369270568523892</c:v>
                </c:pt>
                <c:pt idx="10">
                  <c:v>0.11984647026895449</c:v>
                </c:pt>
                <c:pt idx="11">
                  <c:v>0.11631368968632125</c:v>
                </c:pt>
                <c:pt idx="12">
                  <c:v>0.1132769054634926</c:v>
                </c:pt>
                <c:pt idx="13">
                  <c:v>0.1103815926600997</c:v>
                </c:pt>
                <c:pt idx="14">
                  <c:v>0.1080591412889777</c:v>
                </c:pt>
                <c:pt idx="15">
                  <c:v>0.10623121465901968</c:v>
                </c:pt>
                <c:pt idx="16">
                  <c:v>0.10479921973459989</c:v>
                </c:pt>
                <c:pt idx="17">
                  <c:v>0.10366761807530456</c:v>
                </c:pt>
                <c:pt idx="18">
                  <c:v>0.10278566999173805</c:v>
                </c:pt>
                <c:pt idx="19">
                  <c:v>0.10205922302919926</c:v>
                </c:pt>
                <c:pt idx="20">
                  <c:v>0.10144111673048425</c:v>
                </c:pt>
                <c:pt idx="21">
                  <c:v>0.10089747442995581</c:v>
                </c:pt>
                <c:pt idx="22">
                  <c:v>0.10040453362885955</c:v>
                </c:pt>
                <c:pt idx="23">
                  <c:v>0.10001322087235465</c:v>
                </c:pt>
                <c:pt idx="24">
                  <c:v>9.9644940952193353E-2</c:v>
                </c:pt>
                <c:pt idx="25">
                  <c:v>9.9292140120731467E-2</c:v>
                </c:pt>
                <c:pt idx="26">
                  <c:v>9.8949720969302449E-2</c:v>
                </c:pt>
                <c:pt idx="27">
                  <c:v>9.8614255232537446E-2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1.4673217391859582E-2</c:v>
                </c:pt>
                <c:pt idx="1">
                  <c:v>1.4459848262810002E-2</c:v>
                </c:pt>
                <c:pt idx="2">
                  <c:v>1.4246762144737796E-2</c:v>
                </c:pt>
                <c:pt idx="3">
                  <c:v>1.4034071685914194E-2</c:v>
                </c:pt>
                <c:pt idx="4">
                  <c:v>1.3821927708010757E-2</c:v>
                </c:pt>
                <c:pt idx="5">
                  <c:v>1.3610525114125438E-2</c:v>
                </c:pt>
                <c:pt idx="6">
                  <c:v>1.3400102084386198E-2</c:v>
                </c:pt>
                <c:pt idx="7">
                  <c:v>1.3190924003499058E-2</c:v>
                </c:pt>
                <c:pt idx="8">
                  <c:v>1.3164794948017814E-2</c:v>
                </c:pt>
                <c:pt idx="9">
                  <c:v>1.3140315145164195E-2</c:v>
                </c:pt>
                <c:pt idx="10">
                  <c:v>1.3117436891685916E-2</c:v>
                </c:pt>
                <c:pt idx="11">
                  <c:v>1.3095815431312328E-2</c:v>
                </c:pt>
                <c:pt idx="12">
                  <c:v>1.3074799231554624E-2</c:v>
                </c:pt>
                <c:pt idx="13">
                  <c:v>1.3053557274466459E-2</c:v>
                </c:pt>
                <c:pt idx="14">
                  <c:v>1.3031306716108132E-2</c:v>
                </c:pt>
                <c:pt idx="15">
                  <c:v>1.3007518978683156E-2</c:v>
                </c:pt>
                <c:pt idx="16">
                  <c:v>1.2981998191609516E-2</c:v>
                </c:pt>
                <c:pt idx="17">
                  <c:v>1.2954826318618195E-2</c:v>
                </c:pt>
                <c:pt idx="18">
                  <c:v>1.29262459130897E-2</c:v>
                </c:pt>
                <c:pt idx="19">
                  <c:v>1.2896551587322757E-2</c:v>
                </c:pt>
                <c:pt idx="20">
                  <c:v>1.2866021331225035E-2</c:v>
                </c:pt>
                <c:pt idx="21">
                  <c:v>1.2834886036581755E-2</c:v>
                </c:pt>
                <c:pt idx="22">
                  <c:v>1.2803323539560334E-2</c:v>
                </c:pt>
                <c:pt idx="23">
                  <c:v>1.2771464456076846E-2</c:v>
                </c:pt>
                <c:pt idx="24">
                  <c:v>1.2739401810823845E-2</c:v>
                </c:pt>
                <c:pt idx="25">
                  <c:v>1.2707200528058904E-2</c:v>
                </c:pt>
                <c:pt idx="26">
                  <c:v>1.2674905316172814E-2</c:v>
                </c:pt>
                <c:pt idx="27">
                  <c:v>1.2642546688743159E-2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2.2179603065261261E-2</c:v>
                </c:pt>
                <c:pt idx="1">
                  <c:v>2.1859549371686889E-2</c:v>
                </c:pt>
                <c:pt idx="2">
                  <c:v>2.1539920194578573E-2</c:v>
                </c:pt>
                <c:pt idx="3">
                  <c:v>2.1220884506343171E-2</c:v>
                </c:pt>
                <c:pt idx="4">
                  <c:v>2.0902668539488016E-2</c:v>
                </c:pt>
                <c:pt idx="5">
                  <c:v>2.0585564648660043E-2</c:v>
                </c:pt>
                <c:pt idx="6">
                  <c:v>2.0269930104051179E-2</c:v>
                </c:pt>
                <c:pt idx="7">
                  <c:v>1.9956162982720467E-2</c:v>
                </c:pt>
                <c:pt idx="8">
                  <c:v>1.9916969399498604E-2</c:v>
                </c:pt>
                <c:pt idx="9">
                  <c:v>1.9880249695218174E-2</c:v>
                </c:pt>
                <c:pt idx="10">
                  <c:v>1.9845932315000751E-2</c:v>
                </c:pt>
                <c:pt idx="11">
                  <c:v>1.9813500124440376E-2</c:v>
                </c:pt>
                <c:pt idx="12">
                  <c:v>1.9781975824803823E-2</c:v>
                </c:pt>
                <c:pt idx="13">
                  <c:v>1.975011288917157E-2</c:v>
                </c:pt>
                <c:pt idx="14">
                  <c:v>1.971673705163408E-2</c:v>
                </c:pt>
                <c:pt idx="15">
                  <c:v>1.9681055445496618E-2</c:v>
                </c:pt>
                <c:pt idx="16">
                  <c:v>1.964277426488616E-2</c:v>
                </c:pt>
                <c:pt idx="17">
                  <c:v>1.9602016455399177E-2</c:v>
                </c:pt>
                <c:pt idx="18">
                  <c:v>1.9559145847106434E-2</c:v>
                </c:pt>
                <c:pt idx="19">
                  <c:v>1.951460435845602E-2</c:v>
                </c:pt>
                <c:pt idx="20">
                  <c:v>1.9468808974309436E-2</c:v>
                </c:pt>
                <c:pt idx="21">
                  <c:v>1.9422106032344521E-2</c:v>
                </c:pt>
                <c:pt idx="22">
                  <c:v>1.937476228681238E-2</c:v>
                </c:pt>
                <c:pt idx="23">
                  <c:v>1.9326973661587157E-2</c:v>
                </c:pt>
                <c:pt idx="24">
                  <c:v>1.9278879693707653E-2</c:v>
                </c:pt>
                <c:pt idx="25">
                  <c:v>1.9230577769560237E-2</c:v>
                </c:pt>
                <c:pt idx="26">
                  <c:v>1.9182134951731104E-2</c:v>
                </c:pt>
                <c:pt idx="27">
                  <c:v>1.9133597010586624E-2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2.0919868645195999E-2</c:v>
                </c:pt>
                <c:pt idx="1">
                  <c:v>2.0599814951621626E-2</c:v>
                </c:pt>
                <c:pt idx="2">
                  <c:v>2.0280185774513314E-2</c:v>
                </c:pt>
                <c:pt idx="3">
                  <c:v>1.9961150086277912E-2</c:v>
                </c:pt>
                <c:pt idx="4">
                  <c:v>1.9642934119422761E-2</c:v>
                </c:pt>
                <c:pt idx="5">
                  <c:v>1.9325830228594781E-2</c:v>
                </c:pt>
                <c:pt idx="6">
                  <c:v>1.9010195683985921E-2</c:v>
                </c:pt>
                <c:pt idx="7">
                  <c:v>1.8696428562655212E-2</c:v>
                </c:pt>
                <c:pt idx="8">
                  <c:v>1.8657234979433345E-2</c:v>
                </c:pt>
                <c:pt idx="9">
                  <c:v>1.8620515275152915E-2</c:v>
                </c:pt>
                <c:pt idx="10">
                  <c:v>1.8586197894935493E-2</c:v>
                </c:pt>
                <c:pt idx="11">
                  <c:v>1.8553765704375114E-2</c:v>
                </c:pt>
                <c:pt idx="12">
                  <c:v>1.852224140473856E-2</c:v>
                </c:pt>
                <c:pt idx="13">
                  <c:v>1.8490378469106311E-2</c:v>
                </c:pt>
                <c:pt idx="14">
                  <c:v>1.8457002631568822E-2</c:v>
                </c:pt>
                <c:pt idx="15">
                  <c:v>1.8421321025431356E-2</c:v>
                </c:pt>
                <c:pt idx="16">
                  <c:v>1.8383039844820898E-2</c:v>
                </c:pt>
                <c:pt idx="17">
                  <c:v>1.8342282035333918E-2</c:v>
                </c:pt>
                <c:pt idx="18">
                  <c:v>1.8299411427041175E-2</c:v>
                </c:pt>
                <c:pt idx="19">
                  <c:v>1.8254869938390757E-2</c:v>
                </c:pt>
                <c:pt idx="20">
                  <c:v>1.8209074554244177E-2</c:v>
                </c:pt>
                <c:pt idx="21">
                  <c:v>1.8162371612279259E-2</c:v>
                </c:pt>
                <c:pt idx="22">
                  <c:v>1.8115027866747121E-2</c:v>
                </c:pt>
                <c:pt idx="23">
                  <c:v>1.8067239241521899E-2</c:v>
                </c:pt>
                <c:pt idx="24">
                  <c:v>1.8019145273642387E-2</c:v>
                </c:pt>
                <c:pt idx="25">
                  <c:v>1.7970843349494978E-2</c:v>
                </c:pt>
                <c:pt idx="26">
                  <c:v>1.7922400531665845E-2</c:v>
                </c:pt>
                <c:pt idx="27">
                  <c:v>1.7873862590521362E-2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1.8939520639606751E-2</c:v>
                </c:pt>
                <c:pt idx="1">
                  <c:v>1.8749859191562676E-2</c:v>
                </c:pt>
                <c:pt idx="2">
                  <c:v>1.8560449308831824E-2</c:v>
                </c:pt>
                <c:pt idx="3">
                  <c:v>1.8371391123210845E-2</c:v>
                </c:pt>
                <c:pt idx="4">
                  <c:v>1.8182818698407793E-2</c:v>
                </c:pt>
                <c:pt idx="5">
                  <c:v>1.7994905281620843E-2</c:v>
                </c:pt>
                <c:pt idx="6">
                  <c:v>1.7807862588519296E-2</c:v>
                </c:pt>
                <c:pt idx="7">
                  <c:v>1.7621926516619611E-2</c:v>
                </c:pt>
                <c:pt idx="8">
                  <c:v>1.7598700689525175E-2</c:v>
                </c:pt>
                <c:pt idx="9">
                  <c:v>1.7576940864766404E-2</c:v>
                </c:pt>
                <c:pt idx="10">
                  <c:v>1.7556604639452376E-2</c:v>
                </c:pt>
                <c:pt idx="11">
                  <c:v>1.7537385563564746E-2</c:v>
                </c:pt>
                <c:pt idx="12">
                  <c:v>1.7518704497113451E-2</c:v>
                </c:pt>
                <c:pt idx="13">
                  <c:v>1.7499822757479529E-2</c:v>
                </c:pt>
                <c:pt idx="14">
                  <c:v>1.748004448338324E-2</c:v>
                </c:pt>
                <c:pt idx="15">
                  <c:v>1.7458899827894371E-2</c:v>
                </c:pt>
                <c:pt idx="16">
                  <c:v>1.7436214683828909E-2</c:v>
                </c:pt>
                <c:pt idx="17">
                  <c:v>1.7412061907836625E-2</c:v>
                </c:pt>
                <c:pt idx="18">
                  <c:v>1.7386657102922413E-2</c:v>
                </c:pt>
                <c:pt idx="19">
                  <c:v>1.7360262146685124E-2</c:v>
                </c:pt>
                <c:pt idx="20">
                  <c:v>1.7333124141264929E-2</c:v>
                </c:pt>
                <c:pt idx="21">
                  <c:v>1.7305448323804238E-2</c:v>
                </c:pt>
                <c:pt idx="22">
                  <c:v>1.7277392770896301E-2</c:v>
                </c:pt>
                <c:pt idx="23">
                  <c:v>1.7249073585577653E-2</c:v>
                </c:pt>
                <c:pt idx="24">
                  <c:v>1.722057345646387E-2</c:v>
                </c:pt>
                <c:pt idx="25">
                  <c:v>1.7191950094006148E-2</c:v>
                </c:pt>
                <c:pt idx="26">
                  <c:v>1.7163243238996286E-2</c:v>
                </c:pt>
                <c:pt idx="27">
                  <c:v>1.7134480014614373E-2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2.1760421369870931E-2</c:v>
                </c:pt>
                <c:pt idx="1">
                  <c:v>2.1440367676296562E-2</c:v>
                </c:pt>
                <c:pt idx="2">
                  <c:v>2.1120738499188246E-2</c:v>
                </c:pt>
                <c:pt idx="3">
                  <c:v>2.0801702810952848E-2</c:v>
                </c:pt>
                <c:pt idx="4">
                  <c:v>2.0483486844097697E-2</c:v>
                </c:pt>
                <c:pt idx="5">
                  <c:v>2.0166382953269717E-2</c:v>
                </c:pt>
                <c:pt idx="6">
                  <c:v>1.9850748408660857E-2</c:v>
                </c:pt>
                <c:pt idx="7">
                  <c:v>1.9536981287330144E-2</c:v>
                </c:pt>
                <c:pt idx="8">
                  <c:v>1.9497787704108281E-2</c:v>
                </c:pt>
                <c:pt idx="9">
                  <c:v>1.9461067999827851E-2</c:v>
                </c:pt>
                <c:pt idx="10">
                  <c:v>1.9426750619610432E-2</c:v>
                </c:pt>
                <c:pt idx="11">
                  <c:v>1.939431842905005E-2</c:v>
                </c:pt>
                <c:pt idx="12">
                  <c:v>1.9362794129413496E-2</c:v>
                </c:pt>
                <c:pt idx="13">
                  <c:v>1.9330931193781251E-2</c:v>
                </c:pt>
                <c:pt idx="14">
                  <c:v>1.9297555356243758E-2</c:v>
                </c:pt>
                <c:pt idx="15">
                  <c:v>1.9261873750106295E-2</c:v>
                </c:pt>
                <c:pt idx="16">
                  <c:v>1.9223592569495834E-2</c:v>
                </c:pt>
                <c:pt idx="17">
                  <c:v>1.9182834760008854E-2</c:v>
                </c:pt>
                <c:pt idx="18">
                  <c:v>1.9139964151716114E-2</c:v>
                </c:pt>
                <c:pt idx="19">
                  <c:v>1.9095422663065693E-2</c:v>
                </c:pt>
                <c:pt idx="20">
                  <c:v>1.9049627278919113E-2</c:v>
                </c:pt>
                <c:pt idx="21">
                  <c:v>1.9002924336954191E-2</c:v>
                </c:pt>
                <c:pt idx="22">
                  <c:v>1.895558059142206E-2</c:v>
                </c:pt>
                <c:pt idx="23">
                  <c:v>1.8907791966196831E-2</c:v>
                </c:pt>
                <c:pt idx="24">
                  <c:v>1.8859697998317326E-2</c:v>
                </c:pt>
                <c:pt idx="25">
                  <c:v>1.8811396074169914E-2</c:v>
                </c:pt>
                <c:pt idx="26">
                  <c:v>1.8762953256340781E-2</c:v>
                </c:pt>
                <c:pt idx="27">
                  <c:v>1.8714415315196298E-2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1.2515885154245758E-2</c:v>
                </c:pt>
                <c:pt idx="1">
                  <c:v>1.2515885154245758E-2</c:v>
                </c:pt>
                <c:pt idx="2">
                  <c:v>1.2515885154245758E-2</c:v>
                </c:pt>
                <c:pt idx="3">
                  <c:v>1.2515885154245758E-2</c:v>
                </c:pt>
                <c:pt idx="4">
                  <c:v>1.2515885154245758E-2</c:v>
                </c:pt>
                <c:pt idx="5">
                  <c:v>1.2515885154245758E-2</c:v>
                </c:pt>
                <c:pt idx="6">
                  <c:v>1.2515885154245758E-2</c:v>
                </c:pt>
                <c:pt idx="7">
                  <c:v>1.2515885154245758E-2</c:v>
                </c:pt>
                <c:pt idx="8">
                  <c:v>1.2556314531330272E-2</c:v>
                </c:pt>
                <c:pt idx="9">
                  <c:v>1.2596743908414785E-2</c:v>
                </c:pt>
                <c:pt idx="10">
                  <c:v>1.2637173285499299E-2</c:v>
                </c:pt>
                <c:pt idx="11">
                  <c:v>1.2677602662583812E-2</c:v>
                </c:pt>
                <c:pt idx="12">
                  <c:v>1.2718032039668323E-2</c:v>
                </c:pt>
                <c:pt idx="13">
                  <c:v>1.2695979652167681E-2</c:v>
                </c:pt>
                <c:pt idx="14">
                  <c:v>1.2673927264667038E-2</c:v>
                </c:pt>
                <c:pt idx="15">
                  <c:v>1.2651874877166392E-2</c:v>
                </c:pt>
                <c:pt idx="16">
                  <c:v>1.262982248966575E-2</c:v>
                </c:pt>
                <c:pt idx="17">
                  <c:v>1.2607770102165107E-2</c:v>
                </c:pt>
                <c:pt idx="18">
                  <c:v>1.2585717714664463E-2</c:v>
                </c:pt>
                <c:pt idx="19">
                  <c:v>1.2563665327163819E-2</c:v>
                </c:pt>
                <c:pt idx="20">
                  <c:v>1.2541612939663176E-2</c:v>
                </c:pt>
                <c:pt idx="21">
                  <c:v>1.2519560552162532E-2</c:v>
                </c:pt>
                <c:pt idx="22">
                  <c:v>1.2497508164661891E-2</c:v>
                </c:pt>
                <c:pt idx="23">
                  <c:v>1.2475455777161245E-2</c:v>
                </c:pt>
                <c:pt idx="24">
                  <c:v>1.2453403389660602E-2</c:v>
                </c:pt>
                <c:pt idx="25">
                  <c:v>1.243135100215996E-2</c:v>
                </c:pt>
                <c:pt idx="26">
                  <c:v>1.2409298614659314E-2</c:v>
                </c:pt>
                <c:pt idx="27">
                  <c:v>1.2387246227158675E-2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1.8943604708840517E-2</c:v>
                </c:pt>
                <c:pt idx="1">
                  <c:v>1.8943604708840517E-2</c:v>
                </c:pt>
                <c:pt idx="2">
                  <c:v>1.8943604708840517E-2</c:v>
                </c:pt>
                <c:pt idx="3">
                  <c:v>1.8943604708840517E-2</c:v>
                </c:pt>
                <c:pt idx="4">
                  <c:v>1.8943604708840517E-2</c:v>
                </c:pt>
                <c:pt idx="5">
                  <c:v>1.8943604708840517E-2</c:v>
                </c:pt>
                <c:pt idx="6">
                  <c:v>1.8943604708840517E-2</c:v>
                </c:pt>
                <c:pt idx="7">
                  <c:v>1.8943604708840517E-2</c:v>
                </c:pt>
                <c:pt idx="8">
                  <c:v>1.900424877446729E-2</c:v>
                </c:pt>
                <c:pt idx="9">
                  <c:v>1.9064892840094057E-2</c:v>
                </c:pt>
                <c:pt idx="10">
                  <c:v>1.912553690572083E-2</c:v>
                </c:pt>
                <c:pt idx="11">
                  <c:v>1.9186180971347597E-2</c:v>
                </c:pt>
                <c:pt idx="12">
                  <c:v>1.924682503697437E-2</c:v>
                </c:pt>
                <c:pt idx="13">
                  <c:v>1.92137464557234E-2</c:v>
                </c:pt>
                <c:pt idx="14">
                  <c:v>1.9180667874472437E-2</c:v>
                </c:pt>
                <c:pt idx="15">
                  <c:v>1.9147589293221468E-2</c:v>
                </c:pt>
                <c:pt idx="16">
                  <c:v>1.9114510711970505E-2</c:v>
                </c:pt>
                <c:pt idx="17">
                  <c:v>1.9081432130719542E-2</c:v>
                </c:pt>
                <c:pt idx="18">
                  <c:v>1.9048353549468579E-2</c:v>
                </c:pt>
                <c:pt idx="19">
                  <c:v>1.9015274968217609E-2</c:v>
                </c:pt>
                <c:pt idx="20">
                  <c:v>1.8982196386966646E-2</c:v>
                </c:pt>
                <c:pt idx="21">
                  <c:v>1.894911780571568E-2</c:v>
                </c:pt>
                <c:pt idx="22">
                  <c:v>1.891603922446472E-2</c:v>
                </c:pt>
                <c:pt idx="23">
                  <c:v>1.888296064321375E-2</c:v>
                </c:pt>
                <c:pt idx="24">
                  <c:v>1.8849882061962787E-2</c:v>
                </c:pt>
                <c:pt idx="25">
                  <c:v>1.8816803480711821E-2</c:v>
                </c:pt>
                <c:pt idx="26">
                  <c:v>1.8783724899460855E-2</c:v>
                </c:pt>
                <c:pt idx="27">
                  <c:v>1.8750646318209892E-2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1.7683870288775261E-2</c:v>
                </c:pt>
                <c:pt idx="1">
                  <c:v>1.7683870288775261E-2</c:v>
                </c:pt>
                <c:pt idx="2">
                  <c:v>1.7683870288775261E-2</c:v>
                </c:pt>
                <c:pt idx="3">
                  <c:v>1.7683870288775261E-2</c:v>
                </c:pt>
                <c:pt idx="4">
                  <c:v>1.7683870288775261E-2</c:v>
                </c:pt>
                <c:pt idx="5">
                  <c:v>1.7683870288775261E-2</c:v>
                </c:pt>
                <c:pt idx="6">
                  <c:v>1.7683870288775261E-2</c:v>
                </c:pt>
                <c:pt idx="7">
                  <c:v>1.7683870288775261E-2</c:v>
                </c:pt>
                <c:pt idx="8">
                  <c:v>1.7744514354402031E-2</c:v>
                </c:pt>
                <c:pt idx="9">
                  <c:v>1.7805158420028801E-2</c:v>
                </c:pt>
                <c:pt idx="10">
                  <c:v>1.7865802485655564E-2</c:v>
                </c:pt>
                <c:pt idx="11">
                  <c:v>1.7926446551282338E-2</c:v>
                </c:pt>
                <c:pt idx="12">
                  <c:v>1.7987090616909104E-2</c:v>
                </c:pt>
                <c:pt idx="13">
                  <c:v>1.7954012035658141E-2</c:v>
                </c:pt>
                <c:pt idx="14">
                  <c:v>1.7920933454407175E-2</c:v>
                </c:pt>
                <c:pt idx="15">
                  <c:v>1.7887854873156212E-2</c:v>
                </c:pt>
                <c:pt idx="16">
                  <c:v>1.7854776291905246E-2</c:v>
                </c:pt>
                <c:pt idx="17">
                  <c:v>1.7821697710654279E-2</c:v>
                </c:pt>
                <c:pt idx="18">
                  <c:v>1.7788619129403316E-2</c:v>
                </c:pt>
                <c:pt idx="19">
                  <c:v>1.7755540548152354E-2</c:v>
                </c:pt>
                <c:pt idx="20">
                  <c:v>1.7722461966901384E-2</c:v>
                </c:pt>
                <c:pt idx="21">
                  <c:v>1.7689383385650421E-2</c:v>
                </c:pt>
                <c:pt idx="22">
                  <c:v>1.7656304804399454E-2</c:v>
                </c:pt>
                <c:pt idx="23">
                  <c:v>1.7623226223148492E-2</c:v>
                </c:pt>
                <c:pt idx="24">
                  <c:v>1.7590147641897525E-2</c:v>
                </c:pt>
                <c:pt idx="25">
                  <c:v>1.7557069060646559E-2</c:v>
                </c:pt>
                <c:pt idx="26">
                  <c:v>1.7523990479395596E-2</c:v>
                </c:pt>
                <c:pt idx="27">
                  <c:v>1.7490911898144633E-2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1.7021891983950016E-2</c:v>
                </c:pt>
                <c:pt idx="1">
                  <c:v>1.7021891983950016E-2</c:v>
                </c:pt>
                <c:pt idx="2">
                  <c:v>1.7021891983950016E-2</c:v>
                </c:pt>
                <c:pt idx="3">
                  <c:v>1.7021891983950016E-2</c:v>
                </c:pt>
                <c:pt idx="4">
                  <c:v>1.7021891983950016E-2</c:v>
                </c:pt>
                <c:pt idx="5">
                  <c:v>1.7021891983950016E-2</c:v>
                </c:pt>
                <c:pt idx="6">
                  <c:v>1.7021891983950016E-2</c:v>
                </c:pt>
                <c:pt idx="7">
                  <c:v>1.7021891983950016E-2</c:v>
                </c:pt>
                <c:pt idx="8">
                  <c:v>1.7057829208025139E-2</c:v>
                </c:pt>
                <c:pt idx="9">
                  <c:v>1.7093766432100262E-2</c:v>
                </c:pt>
                <c:pt idx="10">
                  <c:v>1.7129703656175388E-2</c:v>
                </c:pt>
                <c:pt idx="11">
                  <c:v>1.7165640880250507E-2</c:v>
                </c:pt>
                <c:pt idx="12">
                  <c:v>1.7201578104325634E-2</c:v>
                </c:pt>
                <c:pt idx="13">
                  <c:v>1.7181975982102832E-2</c:v>
                </c:pt>
                <c:pt idx="14">
                  <c:v>1.7162373859880044E-2</c:v>
                </c:pt>
                <c:pt idx="15">
                  <c:v>1.7142771737657249E-2</c:v>
                </c:pt>
                <c:pt idx="16">
                  <c:v>1.7123169615434454E-2</c:v>
                </c:pt>
                <c:pt idx="17">
                  <c:v>1.7103567493211659E-2</c:v>
                </c:pt>
                <c:pt idx="18">
                  <c:v>1.7083965370988864E-2</c:v>
                </c:pt>
                <c:pt idx="19">
                  <c:v>1.7064363248766069E-2</c:v>
                </c:pt>
                <c:pt idx="20">
                  <c:v>1.7044761126543274E-2</c:v>
                </c:pt>
                <c:pt idx="21">
                  <c:v>1.7025159004320483E-2</c:v>
                </c:pt>
                <c:pt idx="22">
                  <c:v>1.7005556882097685E-2</c:v>
                </c:pt>
                <c:pt idx="23">
                  <c:v>1.6985954759874897E-2</c:v>
                </c:pt>
                <c:pt idx="24">
                  <c:v>1.6966352637652102E-2</c:v>
                </c:pt>
                <c:pt idx="25">
                  <c:v>1.6946750515429307E-2</c:v>
                </c:pt>
                <c:pt idx="26">
                  <c:v>1.6927148393206512E-2</c:v>
                </c:pt>
                <c:pt idx="27">
                  <c:v>1.6907546270983717E-2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1.8524423013450197E-2</c:v>
                </c:pt>
                <c:pt idx="1">
                  <c:v>1.8524423013450197E-2</c:v>
                </c:pt>
                <c:pt idx="2">
                  <c:v>1.8524423013450197E-2</c:v>
                </c:pt>
                <c:pt idx="3">
                  <c:v>1.8524423013450197E-2</c:v>
                </c:pt>
                <c:pt idx="4">
                  <c:v>1.8524423013450197E-2</c:v>
                </c:pt>
                <c:pt idx="5">
                  <c:v>1.8524423013450197E-2</c:v>
                </c:pt>
                <c:pt idx="6">
                  <c:v>1.8524423013450197E-2</c:v>
                </c:pt>
                <c:pt idx="7">
                  <c:v>1.8524423013450197E-2</c:v>
                </c:pt>
                <c:pt idx="8">
                  <c:v>1.8585067079076967E-2</c:v>
                </c:pt>
                <c:pt idx="9">
                  <c:v>1.8645711144703737E-2</c:v>
                </c:pt>
                <c:pt idx="10">
                  <c:v>1.8706355210330504E-2</c:v>
                </c:pt>
                <c:pt idx="11">
                  <c:v>1.8766999275957274E-2</c:v>
                </c:pt>
                <c:pt idx="12">
                  <c:v>1.8827643341584044E-2</c:v>
                </c:pt>
                <c:pt idx="13">
                  <c:v>1.8794564760333081E-2</c:v>
                </c:pt>
                <c:pt idx="14">
                  <c:v>1.8761486179082111E-2</c:v>
                </c:pt>
                <c:pt idx="15">
                  <c:v>1.8728407597831148E-2</c:v>
                </c:pt>
                <c:pt idx="16">
                  <c:v>1.8695329016580185E-2</c:v>
                </c:pt>
                <c:pt idx="17">
                  <c:v>1.8662250435329219E-2</c:v>
                </c:pt>
                <c:pt idx="18">
                  <c:v>1.8629171854078252E-2</c:v>
                </c:pt>
                <c:pt idx="19">
                  <c:v>1.859609327282729E-2</c:v>
                </c:pt>
                <c:pt idx="20">
                  <c:v>1.8563014691576323E-2</c:v>
                </c:pt>
                <c:pt idx="21">
                  <c:v>1.852993611032536E-2</c:v>
                </c:pt>
                <c:pt idx="22">
                  <c:v>1.8496857529074394E-2</c:v>
                </c:pt>
                <c:pt idx="23">
                  <c:v>1.8463778947823431E-2</c:v>
                </c:pt>
                <c:pt idx="24">
                  <c:v>1.8430700366572468E-2</c:v>
                </c:pt>
                <c:pt idx="25">
                  <c:v>1.8397621785321498E-2</c:v>
                </c:pt>
                <c:pt idx="26">
                  <c:v>1.8364543204070535E-2</c:v>
                </c:pt>
                <c:pt idx="27">
                  <c:v>1.8331464622819565E-2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1.733080925299478E-2</c:v>
                </c:pt>
                <c:pt idx="1">
                  <c:v>1.7310352749506382E-2</c:v>
                </c:pt>
                <c:pt idx="2">
                  <c:v>1.7281312363546224E-2</c:v>
                </c:pt>
                <c:pt idx="3">
                  <c:v>1.7240276404346045E-2</c:v>
                </c:pt>
                <c:pt idx="4">
                  <c:v>1.7182682087087495E-2</c:v>
                </c:pt>
                <c:pt idx="5">
                  <c:v>1.7102642755878597E-2</c:v>
                </c:pt>
                <c:pt idx="6">
                  <c:v>1.6992982971883966E-2</c:v>
                </c:pt>
                <c:pt idx="7">
                  <c:v>1.6845741332136243E-2</c:v>
                </c:pt>
                <c:pt idx="8">
                  <c:v>1.6697360059426493E-2</c:v>
                </c:pt>
                <c:pt idx="9">
                  <c:v>1.6499410775137627E-2</c:v>
                </c:pt>
                <c:pt idx="10">
                  <c:v>1.6253553678021081E-2</c:v>
                </c:pt>
                <c:pt idx="11">
                  <c:v>1.5970411683245658E-2</c:v>
                </c:pt>
                <c:pt idx="12">
                  <c:v>1.5669752747350177E-2</c:v>
                </c:pt>
                <c:pt idx="13">
                  <c:v>1.5309103140169622E-2</c:v>
                </c:pt>
                <c:pt idx="14">
                  <c:v>1.4979380264861031E-2</c:v>
                </c:pt>
                <c:pt idx="15">
                  <c:v>1.46961328982962E-2</c:v>
                </c:pt>
                <c:pt idx="16">
                  <c:v>1.4464932157283242E-2</c:v>
                </c:pt>
                <c:pt idx="17">
                  <c:v>1.4283110630502752E-2</c:v>
                </c:pt>
                <c:pt idx="18">
                  <c:v>1.4143296362620975E-2</c:v>
                </c:pt>
                <c:pt idx="19">
                  <c:v>1.4036638637300956E-2</c:v>
                </c:pt>
                <c:pt idx="20">
                  <c:v>1.3954829232215828E-2</c:v>
                </c:pt>
                <c:pt idx="21">
                  <c:v>1.3890987721672203E-2</c:v>
                </c:pt>
                <c:pt idx="22">
                  <c:v>1.3839824365067713E-2</c:v>
                </c:pt>
                <c:pt idx="23">
                  <c:v>1.3797458623386652E-2</c:v>
                </c:pt>
                <c:pt idx="24">
                  <c:v>1.3761129000392745E-2</c:v>
                </c:pt>
                <c:pt idx="25">
                  <c:v>1.3728909253217401E-2</c:v>
                </c:pt>
                <c:pt idx="26">
                  <c:v>1.3699473450737468E-2</c:v>
                </c:pt>
                <c:pt idx="27">
                  <c:v>1.3671916904513842E-2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2.5968273679995914E-2</c:v>
                </c:pt>
                <c:pt idx="1">
                  <c:v>2.593839312458121E-2</c:v>
                </c:pt>
                <c:pt idx="2">
                  <c:v>2.5895971938453964E-2</c:v>
                </c:pt>
                <c:pt idx="3">
                  <c:v>2.5836023509259044E-2</c:v>
                </c:pt>
                <c:pt idx="4">
                  <c:v>2.5751876435665517E-2</c:v>
                </c:pt>
                <c:pt idx="5">
                  <c:v>2.5634919154230967E-2</c:v>
                </c:pt>
                <c:pt idx="6">
                  <c:v>2.5474646279400454E-2</c:v>
                </c:pt>
                <c:pt idx="7">
                  <c:v>2.5259386137815573E-2</c:v>
                </c:pt>
                <c:pt idx="8">
                  <c:v>2.5043569768212433E-2</c:v>
                </c:pt>
                <c:pt idx="9">
                  <c:v>2.4755127629695312E-2</c:v>
                </c:pt>
                <c:pt idx="10">
                  <c:v>2.4396386979861233E-2</c:v>
                </c:pt>
                <c:pt idx="11">
                  <c:v>2.3982790832993116E-2</c:v>
                </c:pt>
                <c:pt idx="12">
                  <c:v>2.3543216160743952E-2</c:v>
                </c:pt>
                <c:pt idx="13">
                  <c:v>2.301361404635642E-2</c:v>
                </c:pt>
                <c:pt idx="14">
                  <c:v>2.2529039958164972E-2</c:v>
                </c:pt>
                <c:pt idx="15">
                  <c:v>2.2112432409508692E-2</c:v>
                </c:pt>
                <c:pt idx="16">
                  <c:v>2.1772100772396816E-2</c:v>
                </c:pt>
                <c:pt idx="17">
                  <c:v>2.1504231619367167E-2</c:v>
                </c:pt>
                <c:pt idx="18">
                  <c:v>2.1298061879597003E-2</c:v>
                </c:pt>
                <c:pt idx="19">
                  <c:v>2.1140621942879335E-2</c:v>
                </c:pt>
                <c:pt idx="20">
                  <c:v>2.1019717107869148E-2</c:v>
                </c:pt>
                <c:pt idx="21">
                  <c:v>2.0925238942223551E-2</c:v>
                </c:pt>
                <c:pt idx="22">
                  <c:v>2.084941145304834E-2</c:v>
                </c:pt>
                <c:pt idx="23">
                  <c:v>2.0786528017647802E-2</c:v>
                </c:pt>
                <c:pt idx="24">
                  <c:v>2.0732526603508328E-2</c:v>
                </c:pt>
                <c:pt idx="25">
                  <c:v>2.0684573291471178E-2</c:v>
                </c:pt>
                <c:pt idx="26">
                  <c:v>2.0640717103109853E-2</c:v>
                </c:pt>
                <c:pt idx="27">
                  <c:v>2.0599626753889825E-2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2.4687970144163886E-2</c:v>
                </c:pt>
                <c:pt idx="1">
                  <c:v>2.4658150257554357E-2</c:v>
                </c:pt>
                <c:pt idx="2">
                  <c:v>2.4615815190623752E-2</c:v>
                </c:pt>
                <c:pt idx="3">
                  <c:v>2.4555988439006207E-2</c:v>
                </c:pt>
                <c:pt idx="4">
                  <c:v>2.4472012112348274E-2</c:v>
                </c:pt>
                <c:pt idx="5">
                  <c:v>2.4355292064000778E-2</c:v>
                </c:pt>
                <c:pt idx="6">
                  <c:v>2.419534411125826E-2</c:v>
                </c:pt>
                <c:pt idx="7">
                  <c:v>2.3980520056302738E-2</c:v>
                </c:pt>
                <c:pt idx="8">
                  <c:v>2.3765272746153199E-2</c:v>
                </c:pt>
                <c:pt idx="9">
                  <c:v>2.3477545650632203E-2</c:v>
                </c:pt>
                <c:pt idx="10">
                  <c:v>2.3119660699143972E-2</c:v>
                </c:pt>
                <c:pt idx="11">
                  <c:v>2.2707029101169868E-2</c:v>
                </c:pt>
                <c:pt idx="12">
                  <c:v>2.2268469201250148E-2</c:v>
                </c:pt>
                <c:pt idx="13">
                  <c:v>2.1739858420950289E-2</c:v>
                </c:pt>
                <c:pt idx="14">
                  <c:v>2.1256183792978365E-2</c:v>
                </c:pt>
                <c:pt idx="15">
                  <c:v>2.0840338441510967E-2</c:v>
                </c:pt>
                <c:pt idx="16">
                  <c:v>2.0500615725524966E-2</c:v>
                </c:pt>
                <c:pt idx="17">
                  <c:v>2.0233210334321263E-2</c:v>
                </c:pt>
                <c:pt idx="18">
                  <c:v>2.0027381016520622E-2</c:v>
                </c:pt>
                <c:pt idx="19">
                  <c:v>1.9870184227604844E-2</c:v>
                </c:pt>
                <c:pt idx="20">
                  <c:v>1.974944967972302E-2</c:v>
                </c:pt>
                <c:pt idx="21">
                  <c:v>1.9655089133499476E-2</c:v>
                </c:pt>
                <c:pt idx="22">
                  <c:v>1.9579342109169975E-2</c:v>
                </c:pt>
                <c:pt idx="23">
                  <c:v>1.9516513359357897E-2</c:v>
                </c:pt>
                <c:pt idx="24">
                  <c:v>1.9462548944390402E-2</c:v>
                </c:pt>
                <c:pt idx="25">
                  <c:v>1.9414620589317796E-2</c:v>
                </c:pt>
                <c:pt idx="26">
                  <c:v>1.9370781200629024E-2</c:v>
                </c:pt>
                <c:pt idx="27">
                  <c:v>1.9329702144425247E-2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2.1502702114462001E-2</c:v>
                </c:pt>
                <c:pt idx="1">
                  <c:v>2.1483876947371597E-2</c:v>
                </c:pt>
                <c:pt idx="2">
                  <c:v>2.1457152991067086E-2</c:v>
                </c:pt>
                <c:pt idx="3">
                  <c:v>2.1419391414333189E-2</c:v>
                </c:pt>
                <c:pt idx="4">
                  <c:v>2.1366394926292366E-2</c:v>
                </c:pt>
                <c:pt idx="5">
                  <c:v>2.1292749517544649E-2</c:v>
                </c:pt>
                <c:pt idx="6">
                  <c:v>2.1191857961637306E-2</c:v>
                </c:pt>
                <c:pt idx="7">
                  <c:v>2.1056404243935477E-2</c:v>
                </c:pt>
                <c:pt idx="8">
                  <c:v>2.0918666677397765E-2</c:v>
                </c:pt>
                <c:pt idx="9">
                  <c:v>2.07353712044493E-2</c:v>
                </c:pt>
                <c:pt idx="10">
                  <c:v>2.0508070442159868E-2</c:v>
                </c:pt>
                <c:pt idx="11">
                  <c:v>2.0246558840251564E-2</c:v>
                </c:pt>
                <c:pt idx="12">
                  <c:v>1.9969027449121338E-2</c:v>
                </c:pt>
                <c:pt idx="13">
                  <c:v>1.9638359056286941E-2</c:v>
                </c:pt>
                <c:pt idx="14">
                  <c:v>1.9336184763466699E-2</c:v>
                </c:pt>
                <c:pt idx="15">
                  <c:v>1.9076757498978143E-2</c:v>
                </c:pt>
                <c:pt idx="16">
                  <c:v>1.8865162056427177E-2</c:v>
                </c:pt>
                <c:pt idx="17">
                  <c:v>1.8698923764597957E-2</c:v>
                </c:pt>
                <c:pt idx="18">
                  <c:v>1.8571257769043809E-2</c:v>
                </c:pt>
                <c:pt idx="19">
                  <c:v>1.8474029784385844E-2</c:v>
                </c:pt>
                <c:pt idx="20">
                  <c:v>1.839960897760276E-2</c:v>
                </c:pt>
                <c:pt idx="21">
                  <c:v>1.8341678187342864E-2</c:v>
                </c:pt>
                <c:pt idx="22">
                  <c:v>1.8295381809768661E-2</c:v>
                </c:pt>
                <c:pt idx="23">
                  <c:v>1.8257158309606739E-2</c:v>
                </c:pt>
                <c:pt idx="24">
                  <c:v>1.822447345105712E-2</c:v>
                </c:pt>
                <c:pt idx="25">
                  <c:v>1.8195559632301295E-2</c:v>
                </c:pt>
                <c:pt idx="26">
                  <c:v>1.8169200180071933E-2</c:v>
                </c:pt>
                <c:pt idx="27">
                  <c:v>1.8144564980957366E-2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2.5397503776248789E-2</c:v>
                </c:pt>
                <c:pt idx="1">
                  <c:v>2.5368236930157044E-2</c:v>
                </c:pt>
                <c:pt idx="2">
                  <c:v>2.5326685247445795E-2</c:v>
                </c:pt>
                <c:pt idx="3">
                  <c:v>2.5267962025626426E-2</c:v>
                </c:pt>
                <c:pt idx="4">
                  <c:v>2.5185527710871205E-2</c:v>
                </c:pt>
                <c:pt idx="5">
                  <c:v>2.5070937420385783E-2</c:v>
                </c:pt>
                <c:pt idx="6">
                  <c:v>2.4913882486899699E-2</c:v>
                </c:pt>
                <c:pt idx="7">
                  <c:v>2.4702897640694305E-2</c:v>
                </c:pt>
                <c:pt idx="8">
                  <c:v>2.4492252575286769E-2</c:v>
                </c:pt>
                <c:pt idx="9">
                  <c:v>2.4210298522401783E-2</c:v>
                </c:pt>
                <c:pt idx="10">
                  <c:v>2.3859238467470331E-2</c:v>
                </c:pt>
                <c:pt idx="11">
                  <c:v>2.3454140879343735E-2</c:v>
                </c:pt>
                <c:pt idx="12">
                  <c:v>2.3023291909204453E-2</c:v>
                </c:pt>
                <c:pt idx="13">
                  <c:v>2.2502365264200665E-2</c:v>
                </c:pt>
                <c:pt idx="14">
                  <c:v>2.202543012936484E-2</c:v>
                </c:pt>
                <c:pt idx="15">
                  <c:v>2.1615130425203431E-2</c:v>
                </c:pt>
                <c:pt idx="16">
                  <c:v>2.1279738113232204E-2</c:v>
                </c:pt>
                <c:pt idx="17">
                  <c:v>2.1015581941587189E-2</c:v>
                </c:pt>
                <c:pt idx="18">
                  <c:v>2.0812123275565544E-2</c:v>
                </c:pt>
                <c:pt idx="19">
                  <c:v>2.0656626212764755E-2</c:v>
                </c:pt>
                <c:pt idx="20">
                  <c:v>2.0537100380756703E-2</c:v>
                </c:pt>
                <c:pt idx="21">
                  <c:v>2.0443599487487085E-2</c:v>
                </c:pt>
                <c:pt idx="22">
                  <c:v>2.0368468803134681E-2</c:v>
                </c:pt>
                <c:pt idx="23">
                  <c:v>2.0306089035269769E-2</c:v>
                </c:pt>
                <c:pt idx="24">
                  <c:v>2.0252459516457724E-2</c:v>
                </c:pt>
                <c:pt idx="25">
                  <c:v>2.0204788754750347E-2</c:v>
                </c:pt>
                <c:pt idx="26">
                  <c:v>2.0161154792252896E-2</c:v>
                </c:pt>
                <c:pt idx="27">
                  <c:v>2.0120246053379153E-2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2.2041384862265825E-2</c:v>
                </c:pt>
                <c:pt idx="1">
                  <c:v>2.1828994846337033E-2</c:v>
                </c:pt>
                <c:pt idx="2">
                  <c:v>2.1601689630994451E-2</c:v>
                </c:pt>
                <c:pt idx="3">
                  <c:v>2.1406759800299571E-2</c:v>
                </c:pt>
                <c:pt idx="4">
                  <c:v>2.1183039436081109E-2</c:v>
                </c:pt>
                <c:pt idx="5">
                  <c:v>2.0920398211960293E-2</c:v>
                </c:pt>
                <c:pt idx="6">
                  <c:v>2.0606529179695937E-2</c:v>
                </c:pt>
                <c:pt idx="7">
                  <c:v>2.0227834802383431E-2</c:v>
                </c:pt>
                <c:pt idx="8">
                  <c:v>1.9885940453952304E-2</c:v>
                </c:pt>
                <c:pt idx="9">
                  <c:v>1.9456751621860023E-2</c:v>
                </c:pt>
                <c:pt idx="10">
                  <c:v>1.8942827443098775E-2</c:v>
                </c:pt>
                <c:pt idx="11">
                  <c:v>1.8362459770413571E-2</c:v>
                </c:pt>
                <c:pt idx="12">
                  <c:v>1.7750178468871752E-2</c:v>
                </c:pt>
                <c:pt idx="13">
                  <c:v>1.7039529428979155E-2</c:v>
                </c:pt>
                <c:pt idx="14">
                  <c:v>1.638566098777924E-2</c:v>
                </c:pt>
                <c:pt idx="15">
                  <c:v>1.5815809013511345E-2</c:v>
                </c:pt>
                <c:pt idx="16">
                  <c:v>1.5339460345856787E-2</c:v>
                </c:pt>
                <c:pt idx="17">
                  <c:v>1.495148715701535E-2</c:v>
                </c:pt>
                <c:pt idx="18">
                  <c:v>1.4646304566640287E-2</c:v>
                </c:pt>
                <c:pt idx="19">
                  <c:v>1.4400052835032979E-2</c:v>
                </c:pt>
                <c:pt idx="20">
                  <c:v>1.4197855394316264E-2</c:v>
                </c:pt>
                <c:pt idx="21">
                  <c:v>1.4027432190797355E-2</c:v>
                </c:pt>
                <c:pt idx="22">
                  <c:v>1.3879369836166113E-2</c:v>
                </c:pt>
                <c:pt idx="23">
                  <c:v>1.3764119638679836E-2</c:v>
                </c:pt>
                <c:pt idx="24">
                  <c:v>1.3659435132682085E-2</c:v>
                </c:pt>
                <c:pt idx="25">
                  <c:v>1.3561928298669436E-2</c:v>
                </c:pt>
                <c:pt idx="26">
                  <c:v>1.3469272288699539E-2</c:v>
                </c:pt>
                <c:pt idx="27">
                  <c:v>1.3379883134876433E-2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3.3105868080487003E-2</c:v>
                </c:pt>
                <c:pt idx="1">
                  <c:v>3.2788504566390667E-2</c:v>
                </c:pt>
                <c:pt idx="2">
                  <c:v>3.2448854034334909E-2</c:v>
                </c:pt>
                <c:pt idx="3">
                  <c:v>3.2157580380057914E-2</c:v>
                </c:pt>
                <c:pt idx="4">
                  <c:v>3.1823286507284325E-2</c:v>
                </c:pt>
                <c:pt idx="5">
                  <c:v>3.1430835188567478E-2</c:v>
                </c:pt>
                <c:pt idx="6">
                  <c:v>3.0961836781981243E-2</c:v>
                </c:pt>
                <c:pt idx="7">
                  <c:v>3.0395973185112765E-2</c:v>
                </c:pt>
                <c:pt idx="8">
                  <c:v>2.9885097985102631E-2</c:v>
                </c:pt>
                <c:pt idx="9">
                  <c:v>2.9243783112705937E-2</c:v>
                </c:pt>
                <c:pt idx="10">
                  <c:v>2.8475852555153638E-2</c:v>
                </c:pt>
                <c:pt idx="11">
                  <c:v>2.7608638890397191E-2</c:v>
                </c:pt>
                <c:pt idx="12">
                  <c:v>2.6693738325871907E-2</c:v>
                </c:pt>
                <c:pt idx="13">
                  <c:v>2.5631851892071227E-2</c:v>
                </c:pt>
                <c:pt idx="14">
                  <c:v>2.4654809796432101E-2</c:v>
                </c:pt>
                <c:pt idx="15">
                  <c:v>2.3803309200806054E-2</c:v>
                </c:pt>
                <c:pt idx="16">
                  <c:v>2.3091525803451633E-2</c:v>
                </c:pt>
                <c:pt idx="17">
                  <c:v>2.2511797354129615E-2</c:v>
                </c:pt>
                <c:pt idx="18">
                  <c:v>2.205577865240814E-2</c:v>
                </c:pt>
                <c:pt idx="19">
                  <c:v>2.1687817312260202E-2</c:v>
                </c:pt>
                <c:pt idx="20">
                  <c:v>2.1385684040851369E-2</c:v>
                </c:pt>
                <c:pt idx="21">
                  <c:v>2.1131029383400571E-2</c:v>
                </c:pt>
                <c:pt idx="22">
                  <c:v>2.0909787396268267E-2</c:v>
                </c:pt>
                <c:pt idx="23">
                  <c:v>2.0737574933669262E-2</c:v>
                </c:pt>
                <c:pt idx="24">
                  <c:v>2.0581150242284404E-2</c:v>
                </c:pt>
                <c:pt idx="25">
                  <c:v>2.0435450778233152E-2</c:v>
                </c:pt>
                <c:pt idx="26">
                  <c:v>2.0296999651905019E-2</c:v>
                </c:pt>
                <c:pt idx="27">
                  <c:v>2.0163430021264243E-2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3.1835966511754063E-2</c:v>
                </c:pt>
                <c:pt idx="1">
                  <c:v>3.151860299765772E-2</c:v>
                </c:pt>
                <c:pt idx="2">
                  <c:v>3.117895246560197E-2</c:v>
                </c:pt>
                <c:pt idx="3">
                  <c:v>3.0887678811324967E-2</c:v>
                </c:pt>
                <c:pt idx="4">
                  <c:v>3.0553384938551378E-2</c:v>
                </c:pt>
                <c:pt idx="5">
                  <c:v>3.0160933619834535E-2</c:v>
                </c:pt>
                <c:pt idx="6">
                  <c:v>2.9691935213248297E-2</c:v>
                </c:pt>
                <c:pt idx="7">
                  <c:v>2.9126071616379826E-2</c:v>
                </c:pt>
                <c:pt idx="8">
                  <c:v>2.8615196416369698E-2</c:v>
                </c:pt>
                <c:pt idx="9">
                  <c:v>2.7973881543972998E-2</c:v>
                </c:pt>
                <c:pt idx="10">
                  <c:v>2.7205950986420695E-2</c:v>
                </c:pt>
                <c:pt idx="11">
                  <c:v>2.6338737321664259E-2</c:v>
                </c:pt>
                <c:pt idx="12">
                  <c:v>2.5423836757138968E-2</c:v>
                </c:pt>
                <c:pt idx="13">
                  <c:v>2.4361950323338287E-2</c:v>
                </c:pt>
                <c:pt idx="14">
                  <c:v>2.3384908227699158E-2</c:v>
                </c:pt>
                <c:pt idx="15">
                  <c:v>2.2533407632073111E-2</c:v>
                </c:pt>
                <c:pt idx="16">
                  <c:v>2.1821624234718694E-2</c:v>
                </c:pt>
                <c:pt idx="17">
                  <c:v>2.1241895785396675E-2</c:v>
                </c:pt>
                <c:pt idx="18">
                  <c:v>2.0785877083675203E-2</c:v>
                </c:pt>
                <c:pt idx="19">
                  <c:v>2.0417915743527262E-2</c:v>
                </c:pt>
                <c:pt idx="20">
                  <c:v>2.0115782472118423E-2</c:v>
                </c:pt>
                <c:pt idx="21">
                  <c:v>1.9861127814667631E-2</c:v>
                </c:pt>
                <c:pt idx="22">
                  <c:v>1.9639885827535328E-2</c:v>
                </c:pt>
                <c:pt idx="23">
                  <c:v>1.9467673364936312E-2</c:v>
                </c:pt>
                <c:pt idx="24">
                  <c:v>1.9311248673551468E-2</c:v>
                </c:pt>
                <c:pt idx="25">
                  <c:v>1.9165549209500213E-2</c:v>
                </c:pt>
                <c:pt idx="26">
                  <c:v>1.902709808317208E-2</c:v>
                </c:pt>
                <c:pt idx="27">
                  <c:v>1.8893528452531304E-2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2.5594574169206932E-2</c:v>
                </c:pt>
                <c:pt idx="1">
                  <c:v>2.5405511597315363E-2</c:v>
                </c:pt>
                <c:pt idx="2">
                  <c:v>2.5203172007909048E-2</c:v>
                </c:pt>
                <c:pt idx="3">
                  <c:v>2.5029651915787963E-2</c:v>
                </c:pt>
                <c:pt idx="4">
                  <c:v>2.4830503442359542E-2</c:v>
                </c:pt>
                <c:pt idx="5">
                  <c:v>2.4596708905926721E-2</c:v>
                </c:pt>
                <c:pt idx="6">
                  <c:v>2.4317313067956123E-2</c:v>
                </c:pt>
                <c:pt idx="7">
                  <c:v>2.3980211850544941E-2</c:v>
                </c:pt>
                <c:pt idx="8">
                  <c:v>2.3675868802464712E-2</c:v>
                </c:pt>
                <c:pt idx="9">
                  <c:v>2.3293819090440076E-2</c:v>
                </c:pt>
                <c:pt idx="10">
                  <c:v>2.2836340773632401E-2</c:v>
                </c:pt>
                <c:pt idx="11">
                  <c:v>2.2319716654740793E-2</c:v>
                </c:pt>
                <c:pt idx="12">
                  <c:v>2.1774684078306409E-2</c:v>
                </c:pt>
                <c:pt idx="13">
                  <c:v>2.1142087792615616E-2</c:v>
                </c:pt>
                <c:pt idx="14">
                  <c:v>2.0560035719068861E-2</c:v>
                </c:pt>
                <c:pt idx="15">
                  <c:v>2.0052772327324993E-2</c:v>
                </c:pt>
                <c:pt idx="16">
                  <c:v>1.9628742488492633E-2</c:v>
                </c:pt>
                <c:pt idx="17">
                  <c:v>1.9283381579757987E-2</c:v>
                </c:pt>
                <c:pt idx="18">
                  <c:v>1.9011718125237685E-2</c:v>
                </c:pt>
                <c:pt idx="19">
                  <c:v>1.8792512973306072E-2</c:v>
                </c:pt>
                <c:pt idx="20">
                  <c:v>1.861252349496538E-2</c:v>
                </c:pt>
                <c:pt idx="21">
                  <c:v>1.8460818392320222E-2</c:v>
                </c:pt>
                <c:pt idx="22">
                  <c:v>1.8329018178244776E-2</c:v>
                </c:pt>
                <c:pt idx="23">
                  <c:v>1.8226426261894663E-2</c:v>
                </c:pt>
                <c:pt idx="24">
                  <c:v>1.8133239574871819E-2</c:v>
                </c:pt>
                <c:pt idx="25">
                  <c:v>1.8046442214201087E-2</c:v>
                </c:pt>
                <c:pt idx="26">
                  <c:v>1.7963962896755239E-2</c:v>
                </c:pt>
                <c:pt idx="27">
                  <c:v>1.7884391626669393E-2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3.259174240264022E-2</c:v>
                </c:pt>
                <c:pt idx="1">
                  <c:v>3.22752640405706E-2</c:v>
                </c:pt>
                <c:pt idx="2">
                  <c:v>3.1936560820803331E-2</c:v>
                </c:pt>
                <c:pt idx="3">
                  <c:v>3.1646099551863517E-2</c:v>
                </c:pt>
                <c:pt idx="4">
                  <c:v>3.1312738051230582E-2</c:v>
                </c:pt>
                <c:pt idx="5">
                  <c:v>3.0921381310386485E-2</c:v>
                </c:pt>
                <c:pt idx="6">
                  <c:v>3.0453690977575811E-2</c:v>
                </c:pt>
                <c:pt idx="7">
                  <c:v>2.9889405619185808E-2</c:v>
                </c:pt>
                <c:pt idx="8">
                  <c:v>2.9379955290651447E-2</c:v>
                </c:pt>
                <c:pt idx="9">
                  <c:v>2.8740429096328457E-2</c:v>
                </c:pt>
                <c:pt idx="10">
                  <c:v>2.7974640358043965E-2</c:v>
                </c:pt>
                <c:pt idx="11">
                  <c:v>2.7109845421020403E-2</c:v>
                </c:pt>
                <c:pt idx="12">
                  <c:v>2.6197496586775868E-2</c:v>
                </c:pt>
                <c:pt idx="13">
                  <c:v>2.5138571838510121E-2</c:v>
                </c:pt>
                <c:pt idx="14">
                  <c:v>2.4164254790813564E-2</c:v>
                </c:pt>
                <c:pt idx="15">
                  <c:v>2.3315129097923604E-2</c:v>
                </c:pt>
                <c:pt idx="16">
                  <c:v>2.2605330920951378E-2</c:v>
                </c:pt>
                <c:pt idx="17">
                  <c:v>2.2027219380281626E-2</c:v>
                </c:pt>
                <c:pt idx="18">
                  <c:v>2.1572472550908797E-2</c:v>
                </c:pt>
                <c:pt idx="19">
                  <c:v>2.1205537484139853E-2</c:v>
                </c:pt>
                <c:pt idx="20">
                  <c:v>2.0904246886402203E-2</c:v>
                </c:pt>
                <c:pt idx="21">
                  <c:v>2.0650302481000374E-2</c:v>
                </c:pt>
                <c:pt idx="22">
                  <c:v>2.0429677555327892E-2</c:v>
                </c:pt>
                <c:pt idx="23">
                  <c:v>2.025794540695381E-2</c:v>
                </c:pt>
                <c:pt idx="24">
                  <c:v>2.0101956996447061E-2</c:v>
                </c:pt>
                <c:pt idx="25">
                  <c:v>1.9956663899763721E-2</c:v>
                </c:pt>
                <c:pt idx="26">
                  <c:v>1.9818598924614371E-2</c:v>
                </c:pt>
                <c:pt idx="27">
                  <c:v>1.9685401830273497E-2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9.6329818300335598E-3</c:v>
                </c:pt>
                <c:pt idx="1">
                  <c:v>9.2303429293741478E-3</c:v>
                </c:pt>
                <c:pt idx="2">
                  <c:v>8.8276409691577726E-3</c:v>
                </c:pt>
                <c:pt idx="3">
                  <c:v>8.4248662164749522E-3</c:v>
                </c:pt>
                <c:pt idx="4">
                  <c:v>8.0220124249604091E-3</c:v>
                </c:pt>
                <c:pt idx="5">
                  <c:v>7.6190816848594762E-3</c:v>
                </c:pt>
                <c:pt idx="6">
                  <c:v>7.2160927201254874E-3</c:v>
                </c:pt>
                <c:pt idx="7">
                  <c:v>6.8130944825055282E-3</c:v>
                </c:pt>
                <c:pt idx="8">
                  <c:v>6.7505615046608717E-3</c:v>
                </c:pt>
                <c:pt idx="9">
                  <c:v>6.687513817148113E-3</c:v>
                </c:pt>
                <c:pt idx="10">
                  <c:v>6.6238001984855579E-3</c:v>
                </c:pt>
                <c:pt idx="11">
                  <c:v>6.5592529229094422E-3</c:v>
                </c:pt>
                <c:pt idx="12">
                  <c:v>6.4937121163509172E-3</c:v>
                </c:pt>
                <c:pt idx="13">
                  <c:v>6.4270728469293468E-3</c:v>
                </c:pt>
                <c:pt idx="14">
                  <c:v>6.3593564982319557E-3</c:v>
                </c:pt>
                <c:pt idx="15">
                  <c:v>6.2907902360815155E-3</c:v>
                </c:pt>
                <c:pt idx="16">
                  <c:v>6.2218512589350197E-3</c:v>
                </c:pt>
                <c:pt idx="17">
                  <c:v>6.1532195882066229E-3</c:v>
                </c:pt>
                <c:pt idx="18">
                  <c:v>6.0856202831816404E-3</c:v>
                </c:pt>
                <c:pt idx="19">
                  <c:v>6.0196183970710158E-3</c:v>
                </c:pt>
                <c:pt idx="20">
                  <c:v>5.9554802171725083E-3</c:v>
                </c:pt>
                <c:pt idx="21">
                  <c:v>5.8931672629732625E-3</c:v>
                </c:pt>
                <c:pt idx="22">
                  <c:v>5.832433431939581E-3</c:v>
                </c:pt>
                <c:pt idx="23">
                  <c:v>5.7729476393109692E-3</c:v>
                </c:pt>
                <c:pt idx="24">
                  <c:v>5.7143853339199843E-3</c:v>
                </c:pt>
                <c:pt idx="25">
                  <c:v>5.6564746349533519E-3</c:v>
                </c:pt>
                <c:pt idx="26">
                  <c:v>5.5990082800811023E-3</c:v>
                </c:pt>
                <c:pt idx="27">
                  <c:v>5.5418375817325935E-3</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1.2057520951081122E-2</c:v>
                </c:pt>
                <c:pt idx="1">
                  <c:v>1.1579972487508333E-2</c:v>
                </c:pt>
                <c:pt idx="2">
                  <c:v>1.110234923236798E-2</c:v>
                </c:pt>
                <c:pt idx="3">
                  <c:v>1.0624639641976727E-2</c:v>
                </c:pt>
                <c:pt idx="4">
                  <c:v>1.0146836307854828E-2</c:v>
                </c:pt>
                <c:pt idx="5">
                  <c:v>9.6689417091304648E-3</c:v>
                </c:pt>
                <c:pt idx="6">
                  <c:v>9.1909780532831772E-3</c:v>
                </c:pt>
                <c:pt idx="7">
                  <c:v>8.7130033993618287E-3</c:v>
                </c:pt>
                <c:pt idx="8">
                  <c:v>8.6388363791274694E-3</c:v>
                </c:pt>
                <c:pt idx="9">
                  <c:v>8.5640588892867565E-3</c:v>
                </c:pt>
                <c:pt idx="10">
                  <c:v>8.4884915741288425E-3</c:v>
                </c:pt>
                <c:pt idx="11">
                  <c:v>8.4119355030967055E-3</c:v>
                </c:pt>
                <c:pt idx="12">
                  <c:v>8.3342010581086857E-3</c:v>
                </c:pt>
                <c:pt idx="13">
                  <c:v>8.2551637850738005E-3</c:v>
                </c:pt>
                <c:pt idx="14">
                  <c:v>8.1748490459210808E-3</c:v>
                </c:pt>
                <c:pt idx="15">
                  <c:v>8.093526269882188E-3</c:v>
                </c:pt>
                <c:pt idx="16">
                  <c:v>8.0117614365223903E-3</c:v>
                </c:pt>
                <c:pt idx="17">
                  <c:v>7.9303610828677807E-3</c:v>
                </c:pt>
                <c:pt idx="18">
                  <c:v>7.8501851629544286E-3</c:v>
                </c:pt>
                <c:pt idx="19">
                  <c:v>7.7719038561720605E-3</c:v>
                </c:pt>
                <c:pt idx="20">
                  <c:v>7.6958329916412722E-3</c:v>
                </c:pt>
                <c:pt idx="21">
                  <c:v>7.6219269296840279E-3</c:v>
                </c:pt>
                <c:pt idx="22">
                  <c:v>7.5498937812487309E-3</c:v>
                </c:pt>
                <c:pt idx="23">
                  <c:v>7.4793408644101434E-3</c:v>
                </c:pt>
                <c:pt idx="24">
                  <c:v>7.4098832463882769E-3</c:v>
                </c:pt>
                <c:pt idx="25">
                  <c:v>7.3411984638929693E-3</c:v>
                </c:pt>
                <c:pt idx="26">
                  <c:v>7.2730406941607668E-3</c:v>
                </c:pt>
                <c:pt idx="27">
                  <c:v>7.205233586817187E-3</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1.2594506619149039E-2</c:v>
                </c:pt>
                <c:pt idx="1">
                  <c:v>1.206797882597904E-2</c:v>
                </c:pt>
                <c:pt idx="2">
                  <c:v>1.1541368570311471E-2</c:v>
                </c:pt>
                <c:pt idx="3">
                  <c:v>1.1014663124495476E-2</c:v>
                </c:pt>
                <c:pt idx="4">
                  <c:v>1.0487854320207227E-2</c:v>
                </c:pt>
                <c:pt idx="5">
                  <c:v>9.9609448908444705E-3</c:v>
                </c:pt>
                <c:pt idx="6">
                  <c:v>9.4339593215769443E-3</c:v>
                </c:pt>
                <c:pt idx="7">
                  <c:v>8.9069616262277655E-3</c:v>
                </c:pt>
                <c:pt idx="8">
                  <c:v>8.8251877321232179E-3</c:v>
                </c:pt>
                <c:pt idx="9">
                  <c:v>8.7427407561449927E-3</c:v>
                </c:pt>
                <c:pt idx="10">
                  <c:v>8.6594229471247293E-3</c:v>
                </c:pt>
                <c:pt idx="11">
                  <c:v>8.5750149713713468E-3</c:v>
                </c:pt>
                <c:pt idx="12">
                  <c:v>8.4893077627948149E-3</c:v>
                </c:pt>
                <c:pt idx="13">
                  <c:v>8.4021641027819914E-3</c:v>
                </c:pt>
                <c:pt idx="14">
                  <c:v>8.3136119544854042E-3</c:v>
                </c:pt>
                <c:pt idx="15">
                  <c:v>8.2239483809040601E-3</c:v>
                </c:pt>
                <c:pt idx="16">
                  <c:v>8.1337974107894093E-3</c:v>
                </c:pt>
                <c:pt idx="17">
                  <c:v>8.0440483029138136E-3</c:v>
                </c:pt>
                <c:pt idx="18">
                  <c:v>7.9556492117272993E-3</c:v>
                </c:pt>
                <c:pt idx="19">
                  <c:v>7.8693390529672516E-3</c:v>
                </c:pt>
                <c:pt idx="20">
                  <c:v>7.7854660484845883E-3</c:v>
                </c:pt>
                <c:pt idx="21">
                  <c:v>7.7039798776086521E-3</c:v>
                </c:pt>
                <c:pt idx="22">
                  <c:v>7.6245587139492218E-3</c:v>
                </c:pt>
                <c:pt idx="23">
                  <c:v>7.5467696005118053E-3</c:v>
                </c:pt>
                <c:pt idx="24">
                  <c:v>7.4701881242312867E-3</c:v>
                </c:pt>
                <c:pt idx="25">
                  <c:v>7.3944587486595367E-3</c:v>
                </c:pt>
                <c:pt idx="26">
                  <c:v>7.3193104384419805E-3</c:v>
                </c:pt>
                <c:pt idx="27">
                  <c:v>7.2445487559862371E-3</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9.6278470383299765E-3</c:v>
                </c:pt>
                <c:pt idx="1">
                  <c:v>9.2252081376705663E-3</c:v>
                </c:pt>
                <c:pt idx="2">
                  <c:v>8.8225061774541876E-3</c:v>
                </c:pt>
                <c:pt idx="3">
                  <c:v>8.4197314247713689E-3</c:v>
                </c:pt>
                <c:pt idx="4">
                  <c:v>8.0168776332568241E-3</c:v>
                </c:pt>
                <c:pt idx="5">
                  <c:v>7.6139468931558946E-3</c:v>
                </c:pt>
                <c:pt idx="6">
                  <c:v>7.2109579284219049E-3</c:v>
                </c:pt>
                <c:pt idx="7">
                  <c:v>6.8079596908019449E-3</c:v>
                </c:pt>
                <c:pt idx="8">
                  <c:v>6.7454267129572901E-3</c:v>
                </c:pt>
                <c:pt idx="9">
                  <c:v>6.6823790254445297E-3</c:v>
                </c:pt>
                <c:pt idx="10">
                  <c:v>6.6186654067819746E-3</c:v>
                </c:pt>
                <c:pt idx="11">
                  <c:v>6.5541181312058598E-3</c:v>
                </c:pt>
                <c:pt idx="12">
                  <c:v>6.4885773246473348E-3</c:v>
                </c:pt>
                <c:pt idx="13">
                  <c:v>6.4219380552257644E-3</c:v>
                </c:pt>
                <c:pt idx="14">
                  <c:v>6.3542217065283733E-3</c:v>
                </c:pt>
                <c:pt idx="15">
                  <c:v>6.2856554443779331E-3</c:v>
                </c:pt>
                <c:pt idx="16">
                  <c:v>6.2167164672314373E-3</c:v>
                </c:pt>
                <c:pt idx="17">
                  <c:v>6.1480847965030404E-3</c:v>
                </c:pt>
                <c:pt idx="18">
                  <c:v>6.080485491478058E-3</c:v>
                </c:pt>
                <c:pt idx="19">
                  <c:v>6.0144836053674334E-3</c:v>
                </c:pt>
                <c:pt idx="20">
                  <c:v>5.9503454254689267E-3</c:v>
                </c:pt>
                <c:pt idx="21">
                  <c:v>5.8880324712696818E-3</c:v>
                </c:pt>
                <c:pt idx="22">
                  <c:v>5.8272986402359986E-3</c:v>
                </c:pt>
                <c:pt idx="23">
                  <c:v>5.7678128476073868E-3</c:v>
                </c:pt>
                <c:pt idx="24">
                  <c:v>5.7092505422164019E-3</c:v>
                </c:pt>
                <c:pt idx="25">
                  <c:v>5.6513398432497686E-3</c:v>
                </c:pt>
                <c:pt idx="26">
                  <c:v>5.5938734883775199E-3</c:v>
                </c:pt>
                <c:pt idx="27">
                  <c:v>5.5367027900290119E-3</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2.4923789525740158E-2</c:v>
                </c:pt>
                <c:pt idx="1">
                  <c:v>2.4416083715852424E-2</c:v>
                </c:pt>
                <c:pt idx="2">
                  <c:v>2.3906967115697828E-2</c:v>
                </c:pt>
                <c:pt idx="3">
                  <c:v>2.3548562090972724E-2</c:v>
                </c:pt>
                <c:pt idx="4">
                  <c:v>2.3187284113625063E-2</c:v>
                </c:pt>
                <c:pt idx="5">
                  <c:v>2.2821977349752443E-2</c:v>
                </c:pt>
                <c:pt idx="6">
                  <c:v>2.2451044304131057E-2</c:v>
                </c:pt>
                <c:pt idx="7">
                  <c:v>2.2072301620546561E-2</c:v>
                </c:pt>
                <c:pt idx="8">
                  <c:v>2.2018091090346213E-2</c:v>
                </c:pt>
                <c:pt idx="9">
                  <c:v>2.1947852501608051E-2</c:v>
                </c:pt>
                <c:pt idx="10">
                  <c:v>2.1855907554102088E-2</c:v>
                </c:pt>
                <c:pt idx="11">
                  <c:v>2.1735347784127789E-2</c:v>
                </c:pt>
                <c:pt idx="12">
                  <c:v>2.1578529990514954E-2</c:v>
                </c:pt>
                <c:pt idx="13">
                  <c:v>2.1037981815482987E-2</c:v>
                </c:pt>
                <c:pt idx="14">
                  <c:v>2.0456140000173005E-2</c:v>
                </c:pt>
                <c:pt idx="15">
                  <c:v>1.9836633727021439E-2</c:v>
                </c:pt>
                <c:pt idx="16">
                  <c:v>1.9191178924685852E-2</c:v>
                </c:pt>
                <c:pt idx="17">
                  <c:v>1.8539099314420805E-2</c:v>
                </c:pt>
                <c:pt idx="18">
                  <c:v>1.7927125563217079E-2</c:v>
                </c:pt>
                <c:pt idx="19">
                  <c:v>1.7350683006029509E-2</c:v>
                </c:pt>
                <c:pt idx="20">
                  <c:v>1.6821913666525579E-2</c:v>
                </c:pt>
                <c:pt idx="21">
                  <c:v>1.6343730764072611E-2</c:v>
                </c:pt>
                <c:pt idx="22">
                  <c:v>1.5911914678636535E-2</c:v>
                </c:pt>
                <c:pt idx="23">
                  <c:v>1.5569844571100338E-2</c:v>
                </c:pt>
                <c:pt idx="24">
                  <c:v>1.5257113301882359E-2</c:v>
                </c:pt>
                <c:pt idx="25">
                  <c:v>1.4966023619376432E-2</c:v>
                </c:pt>
                <c:pt idx="26">
                  <c:v>1.4690356690689721E-2</c:v>
                </c:pt>
                <c:pt idx="27">
                  <c:v>1.4425422774934169E-2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2.9910973319097162E-2</c:v>
                </c:pt>
                <c:pt idx="1">
                  <c:v>2.9315496469921227E-2</c:v>
                </c:pt>
                <c:pt idx="2">
                  <c:v>2.8718384679899428E-2</c:v>
                </c:pt>
                <c:pt idx="3">
                  <c:v>2.829808434851017E-2</c:v>
                </c:pt>
                <c:pt idx="4">
                  <c:v>2.7874454497744623E-2</c:v>
                </c:pt>
                <c:pt idx="5">
                  <c:v>2.7446155146313565E-2</c:v>
                </c:pt>
                <c:pt idx="6">
                  <c:v>2.7011334002958715E-2</c:v>
                </c:pt>
                <c:pt idx="7">
                  <c:v>2.6567458991246292E-2</c:v>
                </c:pt>
                <c:pt idx="8">
                  <c:v>2.6504432101979364E-2</c:v>
                </c:pt>
                <c:pt idx="9">
                  <c:v>2.6422826408124191E-2</c:v>
                </c:pt>
                <c:pt idx="10">
                  <c:v>2.6316056131214387E-2</c:v>
                </c:pt>
                <c:pt idx="11">
                  <c:v>2.6176105056044334E-2</c:v>
                </c:pt>
                <c:pt idx="12">
                  <c:v>2.5994097666884354E-2</c:v>
                </c:pt>
                <c:pt idx="13">
                  <c:v>2.5362343583974711E-2</c:v>
                </c:pt>
                <c:pt idx="14">
                  <c:v>2.4682597805428017E-2</c:v>
                </c:pt>
                <c:pt idx="15">
                  <c:v>2.3959015191690601E-2</c:v>
                </c:pt>
                <c:pt idx="16">
                  <c:v>2.3205138511366304E-2</c:v>
                </c:pt>
                <c:pt idx="17">
                  <c:v>2.2443368044398605E-2</c:v>
                </c:pt>
                <c:pt idx="18">
                  <c:v>2.1728297258878836E-2</c:v>
                </c:pt>
                <c:pt idx="19">
                  <c:v>2.1054348455654653E-2</c:v>
                </c:pt>
                <c:pt idx="20">
                  <c:v>2.0435696460498705E-2</c:v>
                </c:pt>
                <c:pt idx="21">
                  <c:v>1.9875792067660186E-2</c:v>
                </c:pt>
                <c:pt idx="22">
                  <c:v>1.9369778474017628E-2</c:v>
                </c:pt>
                <c:pt idx="23">
                  <c:v>1.8968776330358102E-2</c:v>
                </c:pt>
                <c:pt idx="24">
                  <c:v>1.8601909865228992E-2</c:v>
                </c:pt>
                <c:pt idx="25">
                  <c:v>1.8260230928546645E-2</c:v>
                </c:pt>
                <c:pt idx="26">
                  <c:v>1.7936505848952837E-2</c:v>
                </c:pt>
                <c:pt idx="27">
                  <c:v>1.7625277468725924E-2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3.2051015374837219E-2</c:v>
                </c:pt>
                <c:pt idx="1">
                  <c:v>3.1398165086876831E-2</c:v>
                </c:pt>
                <c:pt idx="2">
                  <c:v>3.0743539906185859E-2</c:v>
                </c:pt>
                <c:pt idx="3">
                  <c:v>3.0282800930662816E-2</c:v>
                </c:pt>
                <c:pt idx="4">
                  <c:v>2.9818447368746896E-2</c:v>
                </c:pt>
                <c:pt idx="5">
                  <c:v>2.9349024516550075E-2</c:v>
                </c:pt>
                <c:pt idx="6">
                  <c:v>2.8872521461947485E-2</c:v>
                </c:pt>
                <c:pt idx="7">
                  <c:v>2.8386189203195997E-2</c:v>
                </c:pt>
                <c:pt idx="8">
                  <c:v>2.8317580410948624E-2</c:v>
                </c:pt>
                <c:pt idx="9">
                  <c:v>2.8228798646464177E-2</c:v>
                </c:pt>
                <c:pt idx="10">
                  <c:v>2.8112690888630089E-2</c:v>
                </c:pt>
                <c:pt idx="11">
                  <c:v>2.7960548382774002E-2</c:v>
                </c:pt>
                <c:pt idx="12">
                  <c:v>2.7762724988122794E-2</c:v>
                </c:pt>
                <c:pt idx="13">
                  <c:v>2.7072189546714948E-2</c:v>
                </c:pt>
                <c:pt idx="14">
                  <c:v>2.6329501331925895E-2</c:v>
                </c:pt>
                <c:pt idx="15">
                  <c:v>2.553915061458694E-2</c:v>
                </c:pt>
                <c:pt idx="16">
                  <c:v>2.47158266671311E-2</c:v>
                </c:pt>
                <c:pt idx="17">
                  <c:v>2.3883853367289494E-2</c:v>
                </c:pt>
                <c:pt idx="18">
                  <c:v>2.3102855006681904E-2</c:v>
                </c:pt>
                <c:pt idx="19">
                  <c:v>2.2366495919640256E-2</c:v>
                </c:pt>
                <c:pt idx="20">
                  <c:v>2.1690212573240886E-2</c:v>
                </c:pt>
                <c:pt idx="21">
                  <c:v>2.1077783682357104E-2</c:v>
                </c:pt>
                <c:pt idx="22">
                  <c:v>2.0523948219300835E-2</c:v>
                </c:pt>
                <c:pt idx="23">
                  <c:v>2.0084921325401302E-2</c:v>
                </c:pt>
                <c:pt idx="24">
                  <c:v>1.9683021349668296E-2</c:v>
                </c:pt>
                <c:pt idx="25">
                  <c:v>1.9308518717720647E-2</c:v>
                </c:pt>
                <c:pt idx="26">
                  <c:v>1.8953546351367111E-2</c:v>
                </c:pt>
                <c:pt idx="27">
                  <c:v>1.8612168464710442E-2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2.4918266961334933E-2</c:v>
                </c:pt>
                <c:pt idx="1">
                  <c:v>2.4410561233353702E-2</c:v>
                </c:pt>
                <c:pt idx="2">
                  <c:v>2.3901444750440416E-2</c:v>
                </c:pt>
                <c:pt idx="3">
                  <c:v>2.3543039893424933E-2</c:v>
                </c:pt>
                <c:pt idx="4">
                  <c:v>2.3181762155746164E-2</c:v>
                </c:pt>
                <c:pt idx="5">
                  <c:v>2.2816455733881552E-2</c:v>
                </c:pt>
                <c:pt idx="6">
                  <c:v>2.2445523175259358E-2</c:v>
                </c:pt>
                <c:pt idx="7">
                  <c:v>2.2066781182933846E-2</c:v>
                </c:pt>
                <c:pt idx="8">
                  <c:v>2.2012571629341442E-2</c:v>
                </c:pt>
                <c:pt idx="9">
                  <c:v>2.1942334410913266E-2</c:v>
                </c:pt>
                <c:pt idx="10">
                  <c:v>2.1850391367026472E-2</c:v>
                </c:pt>
                <c:pt idx="11">
                  <c:v>2.1729834203805101E-2</c:v>
                </c:pt>
                <c:pt idx="12">
                  <c:v>2.1573019907867384E-2</c:v>
                </c:pt>
                <c:pt idx="13">
                  <c:v>2.1032476295450922E-2</c:v>
                </c:pt>
                <c:pt idx="14">
                  <c:v>2.045064021068952E-2</c:v>
                </c:pt>
                <c:pt idx="15">
                  <c:v>1.98311407916264E-2</c:v>
                </c:pt>
                <c:pt idx="16">
                  <c:v>1.9185693710422762E-2</c:v>
                </c:pt>
                <c:pt idx="17">
                  <c:v>1.8533622217789682E-2</c:v>
                </c:pt>
                <c:pt idx="18">
                  <c:v>1.7921656391250589E-2</c:v>
                </c:pt>
                <c:pt idx="19">
                  <c:v>1.7345221019616965E-2</c:v>
                </c:pt>
                <c:pt idx="20">
                  <c:v>1.6816457765628845E-2</c:v>
                </c:pt>
                <c:pt idx="21">
                  <c:v>1.6338279722616832E-2</c:v>
                </c:pt>
                <c:pt idx="22">
                  <c:v>1.5906467336826047E-2</c:v>
                </c:pt>
                <c:pt idx="23">
                  <c:v>1.5564399944244673E-2</c:v>
                </c:pt>
                <c:pt idx="24">
                  <c:v>1.5251670613805475E-2</c:v>
                </c:pt>
                <c:pt idx="25">
                  <c:v>1.4960582288918904E-2</c:v>
                </c:pt>
                <c:pt idx="26">
                  <c:v>1.4684916297863858E-2</c:v>
                </c:pt>
                <c:pt idx="27">
                  <c:v>1.4419983023509615E-2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2.2998315569490169E-2</c:v>
                </c:pt>
                <c:pt idx="1">
                  <c:v>2.2634393024589864E-2</c:v>
                </c:pt>
                <c:pt idx="2">
                  <c:v>2.2269124946536122E-2</c:v>
                </c:pt>
                <c:pt idx="3">
                  <c:v>2.2027073534644448E-2</c:v>
                </c:pt>
                <c:pt idx="4">
                  <c:v>2.1782270453848895E-2</c:v>
                </c:pt>
                <c:pt idx="5">
                  <c:v>2.1533589484089601E-2</c:v>
                </c:pt>
                <c:pt idx="6">
                  <c:v>2.1279464879605935E-2</c:v>
                </c:pt>
                <c:pt idx="7">
                  <c:v>2.1017742929588933E-2</c:v>
                </c:pt>
                <c:pt idx="8">
                  <c:v>2.1105606201828202E-2</c:v>
                </c:pt>
                <c:pt idx="9">
                  <c:v>2.1177650656048017E-2</c:v>
                </c:pt>
                <c:pt idx="10">
                  <c:v>2.1228129308547696E-2</c:v>
                </c:pt>
                <c:pt idx="11">
                  <c:v>2.1249968711118561E-2</c:v>
                </c:pt>
                <c:pt idx="12">
                  <c:v>2.1235210753194091E-2</c:v>
                </c:pt>
                <c:pt idx="13">
                  <c:v>2.0757534740871265E-2</c:v>
                </c:pt>
                <c:pt idx="14">
                  <c:v>2.0237962247108485E-2</c:v>
                </c:pt>
                <c:pt idx="15">
                  <c:v>1.9679530491505962E-2</c:v>
                </c:pt>
                <c:pt idx="16">
                  <c:v>1.9093323968095103E-2</c:v>
                </c:pt>
                <c:pt idx="17">
                  <c:v>1.8498195424155255E-2</c:v>
                </c:pt>
                <c:pt idx="18">
                  <c:v>1.7938787287965219E-2</c:v>
                </c:pt>
                <c:pt idx="19">
                  <c:v>1.7412862322402797E-2</c:v>
                </c:pt>
                <c:pt idx="20">
                  <c:v>1.6933109923544031E-2</c:v>
                </c:pt>
                <c:pt idx="21">
                  <c:v>1.6503049519115902E-2</c:v>
                </c:pt>
                <c:pt idx="22">
                  <c:v>1.6118962823123577E-2</c:v>
                </c:pt>
                <c:pt idx="23">
                  <c:v>1.5785437393005246E-2</c:v>
                </c:pt>
                <c:pt idx="24">
                  <c:v>1.5481650037731495E-2</c:v>
                </c:pt>
                <c:pt idx="25">
                  <c:v>1.5199853200703779E-2</c:v>
                </c:pt>
                <c:pt idx="26">
                  <c:v>1.4933761037037892E-2</c:v>
                </c:pt>
                <c:pt idx="27">
                  <c:v>1.467861872983527E-2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2.7704612122780282E-2</c:v>
                </c:pt>
                <c:pt idx="1">
                  <c:v>2.7276786260452542E-2</c:v>
                </c:pt>
                <c:pt idx="2">
                  <c:v>2.6847387850271541E-2</c:v>
                </c:pt>
                <c:pt idx="3">
                  <c:v>2.6562864426850061E-2</c:v>
                </c:pt>
                <c:pt idx="4">
                  <c:v>2.6275125070392171E-2</c:v>
                </c:pt>
                <c:pt idx="5">
                  <c:v>2.5982853355860439E-2</c:v>
                </c:pt>
                <c:pt idx="6">
                  <c:v>2.5684218982168789E-2</c:v>
                </c:pt>
                <c:pt idx="7">
                  <c:v>2.5376704130295514E-2</c:v>
                </c:pt>
                <c:pt idx="8">
                  <c:v>2.5480271151020872E-2</c:v>
                </c:pt>
                <c:pt idx="9">
                  <c:v>2.5565350346154932E-2</c:v>
                </c:pt>
                <c:pt idx="10">
                  <c:v>2.5625223608772438E-2</c:v>
                </c:pt>
                <c:pt idx="11">
                  <c:v>2.5651620602087057E-2</c:v>
                </c:pt>
                <c:pt idx="12">
                  <c:v>2.5635233595032419E-2</c:v>
                </c:pt>
                <c:pt idx="13">
                  <c:v>2.5074783237540383E-2</c:v>
                </c:pt>
                <c:pt idx="14">
                  <c:v>2.446530343935386E-2</c:v>
                </c:pt>
                <c:pt idx="15">
                  <c:v>2.3810317647076126E-2</c:v>
                </c:pt>
                <c:pt idx="16">
                  <c:v>2.3122761313410338E-2</c:v>
                </c:pt>
                <c:pt idx="17">
                  <c:v>2.2424668389097346E-2</c:v>
                </c:pt>
                <c:pt idx="18">
                  <c:v>2.1768411470960286E-2</c:v>
                </c:pt>
                <c:pt idx="19">
                  <c:v>2.1151254240298498E-2</c:v>
                </c:pt>
                <c:pt idx="20">
                  <c:v>2.0588078496111439E-2</c:v>
                </c:pt>
                <c:pt idx="21">
                  <c:v>2.0083035604313407E-2</c:v>
                </c:pt>
                <c:pt idx="22">
                  <c:v>1.9631797839841821E-2</c:v>
                </c:pt>
                <c:pt idx="23">
                  <c:v>1.9239826931317892E-2</c:v>
                </c:pt>
                <c:pt idx="24">
                  <c:v>1.888267749383328E-2</c:v>
                </c:pt>
                <c:pt idx="25">
                  <c:v>1.8551281573668005E-2</c:v>
                </c:pt>
                <c:pt idx="26">
                  <c:v>1.8238279842685313E-2</c:v>
                </c:pt>
                <c:pt idx="27">
                  <c:v>1.7938104362861515E-2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2.9676751363664457E-2</c:v>
                </c:pt>
                <c:pt idx="1">
                  <c:v>2.920714989292654E-2</c:v>
                </c:pt>
                <c:pt idx="2">
                  <c:v>2.873583060407546E-2</c:v>
                </c:pt>
                <c:pt idx="3">
                  <c:v>2.8423552028754601E-2</c:v>
                </c:pt>
                <c:pt idx="4">
                  <c:v>2.8107760404359153E-2</c:v>
                </c:pt>
                <c:pt idx="5">
                  <c:v>2.7787017661645853E-2</c:v>
                </c:pt>
                <c:pt idx="6">
                  <c:v>2.7459324341886956E-2</c:v>
                </c:pt>
                <c:pt idx="7">
                  <c:v>2.712192986719128E-2</c:v>
                </c:pt>
                <c:pt idx="8">
                  <c:v>2.7235852180523733E-2</c:v>
                </c:pt>
                <c:pt idx="9">
                  <c:v>2.7329576842627164E-2</c:v>
                </c:pt>
                <c:pt idx="10">
                  <c:v>2.7395763333870924E-2</c:v>
                </c:pt>
                <c:pt idx="11">
                  <c:v>2.7425374041799809E-2</c:v>
                </c:pt>
                <c:pt idx="12">
                  <c:v>2.7408235781535735E-2</c:v>
                </c:pt>
                <c:pt idx="13">
                  <c:v>2.6794073638392771E-2</c:v>
                </c:pt>
                <c:pt idx="14">
                  <c:v>2.6126323822633489E-2</c:v>
                </c:pt>
                <c:pt idx="15">
                  <c:v>2.5408824173406577E-2</c:v>
                </c:pt>
                <c:pt idx="16">
                  <c:v>2.4655697756796185E-2</c:v>
                </c:pt>
                <c:pt idx="17">
                  <c:v>2.3891016404811866E-2</c:v>
                </c:pt>
                <c:pt idx="18">
                  <c:v>2.317215378628816E-2</c:v>
                </c:pt>
                <c:pt idx="19">
                  <c:v>2.2495997487190042E-2</c:v>
                </c:pt>
                <c:pt idx="20">
                  <c:v>2.1878829544572508E-2</c:v>
                </c:pt>
                <c:pt idx="21">
                  <c:v>2.1325202536807752E-2</c:v>
                </c:pt>
                <c:pt idx="22">
                  <c:v>2.0830395878233515E-2</c:v>
                </c:pt>
                <c:pt idx="23">
                  <c:v>2.0400458555636852E-2</c:v>
                </c:pt>
                <c:pt idx="24">
                  <c:v>2.0008595690240959E-2</c:v>
                </c:pt>
                <c:pt idx="25">
                  <c:v>1.9644893713110449E-2</c:v>
                </c:pt>
                <c:pt idx="26">
                  <c:v>1.9301306085896919E-2</c:v>
                </c:pt>
                <c:pt idx="27">
                  <c:v>1.897174450614468E-2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2.2992877245920678E-2</c:v>
                </c:pt>
                <c:pt idx="1">
                  <c:v>2.2628954740214785E-2</c:v>
                </c:pt>
                <c:pt idx="2">
                  <c:v>2.2263686718265549E-2</c:v>
                </c:pt>
                <c:pt idx="3">
                  <c:v>2.2021635386632432E-2</c:v>
                </c:pt>
                <c:pt idx="4">
                  <c:v>2.1776832420538191E-2</c:v>
                </c:pt>
                <c:pt idx="5">
                  <c:v>2.1528151614470435E-2</c:v>
                </c:pt>
                <c:pt idx="6">
                  <c:v>2.1274027243099305E-2</c:v>
                </c:pt>
                <c:pt idx="7">
                  <c:v>2.1012305624019484E-2</c:v>
                </c:pt>
                <c:pt idx="8">
                  <c:v>2.1100169363908218E-2</c:v>
                </c:pt>
                <c:pt idx="9">
                  <c:v>2.1172214474504937E-2</c:v>
                </c:pt>
                <c:pt idx="10">
                  <c:v>2.1222694039229439E-2</c:v>
                </c:pt>
                <c:pt idx="11">
                  <c:v>2.1244534691713526E-2</c:v>
                </c:pt>
                <c:pt idx="12">
                  <c:v>2.1229778412241357E-2</c:v>
                </c:pt>
                <c:pt idx="13">
                  <c:v>2.0752104591739928E-2</c:v>
                </c:pt>
                <c:pt idx="14">
                  <c:v>2.023253485460106E-2</c:v>
                </c:pt>
                <c:pt idx="15">
                  <c:v>1.967410640157554E-2</c:v>
                </c:pt>
                <c:pt idx="16">
                  <c:v>1.9087903605694137E-2</c:v>
                </c:pt>
                <c:pt idx="17">
                  <c:v>1.8492778988924992E-2</c:v>
                </c:pt>
                <c:pt idx="18">
                  <c:v>1.7933374694707696E-2</c:v>
                </c:pt>
                <c:pt idx="19">
                  <c:v>1.7407453219775632E-2</c:v>
                </c:pt>
                <c:pt idx="20">
                  <c:v>1.6927703782377852E-2</c:v>
                </c:pt>
                <c:pt idx="21">
                  <c:v>1.6497645746193251E-2</c:v>
                </c:pt>
                <c:pt idx="22">
                  <c:v>1.6113560855271731E-2</c:v>
                </c:pt>
                <c:pt idx="23">
                  <c:v>1.5780036750920552E-2</c:v>
                </c:pt>
                <c:pt idx="24">
                  <c:v>1.5476250342977905E-2</c:v>
                </c:pt>
                <c:pt idx="25">
                  <c:v>1.5194454169604736E-2</c:v>
                </c:pt>
                <c:pt idx="26">
                  <c:v>1.4928362464427932E-2</c:v>
                </c:pt>
                <c:pt idx="27">
                  <c:v>1.4673220470927728E-2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4.2129683891405201E-2</c:v>
                </c:pt>
                <c:pt idx="1">
                  <c:v>4.0611689626645735E-2</c:v>
                </c:pt>
                <c:pt idx="2">
                  <c:v>3.9092656946201787E-2</c:v>
                </c:pt>
                <c:pt idx="3">
                  <c:v>3.7722627064995927E-2</c:v>
                </c:pt>
                <c:pt idx="4">
                  <c:v>3.6350607101092142E-2</c:v>
                </c:pt>
                <c:pt idx="5">
                  <c:v>3.4975876510663917E-2</c:v>
                </c:pt>
                <c:pt idx="6">
                  <c:v>3.3597476576523962E-2</c:v>
                </c:pt>
                <c:pt idx="7">
                  <c:v>3.2214151545508815E-2</c:v>
                </c:pt>
                <c:pt idx="8">
                  <c:v>3.1536854593077659E-2</c:v>
                </c:pt>
                <c:pt idx="9">
                  <c:v>3.0849387802531499E-2</c:v>
                </c:pt>
                <c:pt idx="10">
                  <c:v>3.0148468469748758E-2</c:v>
                </c:pt>
                <c:pt idx="11">
                  <c:v>2.9430266740142881E-2</c:v>
                </c:pt>
                <c:pt idx="12">
                  <c:v>2.8690802840276364E-2</c:v>
                </c:pt>
                <c:pt idx="13">
                  <c:v>2.7780428420692425E-2</c:v>
                </c:pt>
                <c:pt idx="14">
                  <c:v>2.6845881787997156E-2</c:v>
                </c:pt>
                <c:pt idx="15">
                  <c:v>2.5890425466203595E-2</c:v>
                </c:pt>
                <c:pt idx="16">
                  <c:v>2.4922408539528273E-2</c:v>
                </c:pt>
                <c:pt idx="17">
                  <c:v>2.3954708730572722E-2</c:v>
                </c:pt>
                <c:pt idx="18">
                  <c:v>2.3236140868807494E-2</c:v>
                </c:pt>
                <c:pt idx="19">
                  <c:v>2.2541569638306926E-2</c:v>
                </c:pt>
                <c:pt idx="20">
                  <c:v>2.1878399800555479E-2</c:v>
                </c:pt>
                <c:pt idx="21">
                  <c:v>2.1248132866068851E-2</c:v>
                </c:pt>
                <c:pt idx="22">
                  <c:v>2.0647765371884147E-2</c:v>
                </c:pt>
                <c:pt idx="23">
                  <c:v>2.0222097306986396E-2</c:v>
                </c:pt>
                <c:pt idx="24">
                  <c:v>1.9814768152020018E-2</c:v>
                </c:pt>
                <c:pt idx="25">
                  <c:v>1.9420935195158577E-2</c:v>
                </c:pt>
                <c:pt idx="26">
                  <c:v>1.90366953960317E-2</c:v>
                </c:pt>
                <c:pt idx="27">
                  <c:v>1.86591129127694E-2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5.0400453579734043E-2</c:v>
                </c:pt>
                <c:pt idx="1">
                  <c:v>4.8607823135756102E-2</c:v>
                </c:pt>
                <c:pt idx="2">
                  <c:v>4.6813966405478705E-2</c:v>
                </c:pt>
                <c:pt idx="3">
                  <c:v>4.5196070125351297E-2</c:v>
                </c:pt>
                <c:pt idx="4">
                  <c:v>4.3575823715903114E-2</c:v>
                </c:pt>
                <c:pt idx="5">
                  <c:v>4.1952376272206798E-2</c:v>
                </c:pt>
                <c:pt idx="6">
                  <c:v>4.0324595625546716E-2</c:v>
                </c:pt>
                <c:pt idx="7">
                  <c:v>3.8690998831353671E-2</c:v>
                </c:pt>
                <c:pt idx="8">
                  <c:v>3.7891165021221355E-2</c:v>
                </c:pt>
                <c:pt idx="9">
                  <c:v>3.7079321441461754E-2</c:v>
                </c:pt>
                <c:pt idx="10">
                  <c:v>3.6251591479703207E-2</c:v>
                </c:pt>
                <c:pt idx="11">
                  <c:v>3.5403452382410175E-2</c:v>
                </c:pt>
                <c:pt idx="12">
                  <c:v>3.4530204353812752E-2</c:v>
                </c:pt>
                <c:pt idx="13">
                  <c:v>3.3455124600317437E-2</c:v>
                </c:pt>
                <c:pt idx="14">
                  <c:v>3.2351499386455332E-2</c:v>
                </c:pt>
                <c:pt idx="15">
                  <c:v>3.1223181493495625E-2</c:v>
                </c:pt>
                <c:pt idx="16">
                  <c:v>3.0080030525583952E-2</c:v>
                </c:pt>
                <c:pt idx="17">
                  <c:v>2.8937254048467132E-2</c:v>
                </c:pt>
                <c:pt idx="18">
                  <c:v>2.8088682578226044E-2</c:v>
                </c:pt>
                <c:pt idx="19">
                  <c:v>2.7268449220161386E-2</c:v>
                </c:pt>
                <c:pt idx="20">
                  <c:v>2.6485298408409449E-2</c:v>
                </c:pt>
                <c:pt idx="21">
                  <c:v>2.5741003307418134E-2</c:v>
                </c:pt>
                <c:pt idx="22">
                  <c:v>2.5032017066405704E-2</c:v>
                </c:pt>
                <c:pt idx="23">
                  <c:v>2.4529336951019498E-2</c:v>
                </c:pt>
                <c:pt idx="24">
                  <c:v>2.404831362908472E-2</c:v>
                </c:pt>
                <c:pt idx="25">
                  <c:v>2.3583228243255851E-2</c:v>
                </c:pt>
                <c:pt idx="26">
                  <c:v>2.3129471613409849E-2</c:v>
                </c:pt>
                <c:pt idx="27">
                  <c:v>2.2683576743895276E-2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5.47327667247514E-2</c:v>
                </c:pt>
                <c:pt idx="1">
                  <c:v>5.2760566471284451E-2</c:v>
                </c:pt>
                <c:pt idx="2">
                  <c:v>5.0787017093039039E-2</c:v>
                </c:pt>
                <c:pt idx="3">
                  <c:v>4.9007054321309071E-2</c:v>
                </c:pt>
                <c:pt idx="4">
                  <c:v>4.7224506005158789E-2</c:v>
                </c:pt>
                <c:pt idx="5">
                  <c:v>4.5438436003556418E-2</c:v>
                </c:pt>
                <c:pt idx="6">
                  <c:v>4.3647598737171625E-2</c:v>
                </c:pt>
                <c:pt idx="7">
                  <c:v>4.1850362713208411E-2</c:v>
                </c:pt>
                <c:pt idx="8">
                  <c:v>4.0970408649963805E-2</c:v>
                </c:pt>
                <c:pt idx="9">
                  <c:v>4.0077241784949272E-2</c:v>
                </c:pt>
                <c:pt idx="10">
                  <c:v>3.9166597181168078E-2</c:v>
                </c:pt>
                <c:pt idx="11">
                  <c:v>3.823349903577189E-2</c:v>
                </c:pt>
                <c:pt idx="12">
                  <c:v>3.7272776769158127E-2</c:v>
                </c:pt>
                <c:pt idx="13">
                  <c:v>3.6090005066566892E-2</c:v>
                </c:pt>
                <c:pt idx="14">
                  <c:v>3.4875828472711097E-2</c:v>
                </c:pt>
                <c:pt idx="15">
                  <c:v>3.3634485706296596E-2</c:v>
                </c:pt>
                <c:pt idx="16">
                  <c:v>3.2376824019115014E-2</c:v>
                </c:pt>
                <c:pt idx="17">
                  <c:v>3.1119574335892745E-2</c:v>
                </c:pt>
                <c:pt idx="18">
                  <c:v>3.0186000506263591E-2</c:v>
                </c:pt>
                <c:pt idx="19">
                  <c:v>2.9283603449407031E-2</c:v>
                </c:pt>
                <c:pt idx="20">
                  <c:v>2.8422003539270161E-2</c:v>
                </c:pt>
                <c:pt idx="21">
                  <c:v>2.7603151560179624E-2</c:v>
                </c:pt>
                <c:pt idx="22">
                  <c:v>2.6823145369318298E-2</c:v>
                </c:pt>
                <c:pt idx="23">
                  <c:v>2.6270111220920409E-2</c:v>
                </c:pt>
                <c:pt idx="24">
                  <c:v>2.5740903251352445E-2</c:v>
                </c:pt>
                <c:pt idx="25">
                  <c:v>2.5229229738891024E-2</c:v>
                </c:pt>
                <c:pt idx="26">
                  <c:v>2.4730019796651754E-2</c:v>
                </c:pt>
                <c:pt idx="27">
                  <c:v>2.4239459136126077E-2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4.2124403613936684E-2</c:v>
                </c:pt>
                <c:pt idx="1">
                  <c:v>4.0606409349177218E-2</c:v>
                </c:pt>
                <c:pt idx="2">
                  <c:v>3.9087376668733256E-2</c:v>
                </c:pt>
                <c:pt idx="3">
                  <c:v>3.7717346787527417E-2</c:v>
                </c:pt>
                <c:pt idx="4">
                  <c:v>3.6345326823623625E-2</c:v>
                </c:pt>
                <c:pt idx="5">
                  <c:v>3.49705962331954E-2</c:v>
                </c:pt>
                <c:pt idx="6">
                  <c:v>3.3592196299055445E-2</c:v>
                </c:pt>
                <c:pt idx="7">
                  <c:v>3.2208871268040291E-2</c:v>
                </c:pt>
                <c:pt idx="8">
                  <c:v>3.1531574315609143E-2</c:v>
                </c:pt>
                <c:pt idx="9">
                  <c:v>3.0844107525062982E-2</c:v>
                </c:pt>
                <c:pt idx="10">
                  <c:v>3.0143188192280242E-2</c:v>
                </c:pt>
                <c:pt idx="11">
                  <c:v>2.9424986462674364E-2</c:v>
                </c:pt>
                <c:pt idx="12">
                  <c:v>2.8685522562807847E-2</c:v>
                </c:pt>
                <c:pt idx="13">
                  <c:v>2.7775148143223904E-2</c:v>
                </c:pt>
                <c:pt idx="14">
                  <c:v>2.6840601510528639E-2</c:v>
                </c:pt>
                <c:pt idx="15">
                  <c:v>2.5885145188735078E-2</c:v>
                </c:pt>
                <c:pt idx="16">
                  <c:v>2.4917128262059756E-2</c:v>
                </c:pt>
                <c:pt idx="17">
                  <c:v>2.3949428453104209E-2</c:v>
                </c:pt>
                <c:pt idx="18">
                  <c:v>2.323086059133898E-2</c:v>
                </c:pt>
                <c:pt idx="19">
                  <c:v>2.2536289360838409E-2</c:v>
                </c:pt>
                <c:pt idx="20">
                  <c:v>2.1873119523086963E-2</c:v>
                </c:pt>
                <c:pt idx="21">
                  <c:v>2.1242852588600328E-2</c:v>
                </c:pt>
                <c:pt idx="22">
                  <c:v>2.064248509441563E-2</c:v>
                </c:pt>
                <c:pt idx="23">
                  <c:v>2.0216817029517883E-2</c:v>
                </c:pt>
                <c:pt idx="24">
                  <c:v>1.9809487874551505E-2</c:v>
                </c:pt>
                <c:pt idx="25">
                  <c:v>1.941565491769006E-2</c:v>
                </c:pt>
                <c:pt idx="26">
                  <c:v>1.9031415118563186E-2</c:v>
                </c:pt>
                <c:pt idx="27">
                  <c:v>1.8653832635300887E-2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6.4142656974671992E-3</c:v>
                </c:pt>
                <c:pt idx="1">
                  <c:v>6.2338140930852095E-3</c:v>
                </c:pt>
                <c:pt idx="2">
                  <c:v>6.0533514305393735E-3</c:v>
                </c:pt>
                <c:pt idx="3">
                  <c:v>5.8728807206088656E-3</c:v>
                </c:pt>
                <c:pt idx="4">
                  <c:v>5.692409637868559E-3</c:v>
                </c:pt>
                <c:pt idx="5">
                  <c:v>5.5119539329444717E-3</c:v>
                </c:pt>
                <c:pt idx="6">
                  <c:v>5.3315428102707983E-3</c:v>
                </c:pt>
                <c:pt idx="7">
                  <c:v>5.1512271589205533E-3</c:v>
                </c:pt>
                <c:pt idx="8">
                  <c:v>5.1236716179551434E-3</c:v>
                </c:pt>
                <c:pt idx="9">
                  <c:v>5.096077724557127E-3</c:v>
                </c:pt>
                <c:pt idx="10">
                  <c:v>5.0684463020238078E-3</c:v>
                </c:pt>
                <c:pt idx="11">
                  <c:v>5.0407860100282875E-3</c:v>
                </c:pt>
                <c:pt idx="12">
                  <c:v>5.0131186047361305E-3</c:v>
                </c:pt>
                <c:pt idx="13">
                  <c:v>4.985484907952707E-3</c:v>
                </c:pt>
                <c:pt idx="14">
                  <c:v>4.9579489722493585E-3</c:v>
                </c:pt>
                <c:pt idx="15">
                  <c:v>4.9305958366278081E-3</c:v>
                </c:pt>
                <c:pt idx="16">
                  <c:v>4.9035180512606909E-3</c:v>
                </c:pt>
                <c:pt idx="17">
                  <c:v>4.8767910918961366E-3</c:v>
                </c:pt>
                <c:pt idx="18">
                  <c:v>4.8504474393706067E-3</c:v>
                </c:pt>
                <c:pt idx="19">
                  <c:v>4.8244648070301707E-3</c:v>
                </c:pt>
                <c:pt idx="20">
                  <c:v>4.798776489092391E-3</c:v>
                </c:pt>
                <c:pt idx="21">
                  <c:v>4.7732962837053576E-3</c:v>
                </c:pt>
                <c:pt idx="22">
                  <c:v>4.7479427237667217E-3</c:v>
                </c:pt>
                <c:pt idx="23">
                  <c:v>4.7226527793011487E-3</c:v>
                </c:pt>
                <c:pt idx="24">
                  <c:v>4.6973846754088215E-3</c:v>
                </c:pt>
                <c:pt idx="25">
                  <c:v>4.672114396236539E-3</c:v>
                </c:pt>
                <c:pt idx="26">
                  <c:v>4.6468303126383399E-3</c:v>
                </c:pt>
                <c:pt idx="27">
                  <c:v>4.6215283757355171E-3</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8.2399739101303247E-3</c:v>
                </c:pt>
                <c:pt idx="1">
                  <c:v>8.0259499142354071E-3</c:v>
                </c:pt>
                <c:pt idx="2">
                  <c:v>7.8119128028438329E-3</c:v>
                </c:pt>
                <c:pt idx="3">
                  <c:v>7.5978661468797419E-3</c:v>
                </c:pt>
                <c:pt idx="4">
                  <c:v>7.3838190487458891E-3</c:v>
                </c:pt>
                <c:pt idx="5">
                  <c:v>7.1697901894173209E-3</c:v>
                </c:pt>
                <c:pt idx="6">
                  <c:v>6.9558142067113358E-3</c:v>
                </c:pt>
                <c:pt idx="7">
                  <c:v>6.741951457435464E-3</c:v>
                </c:pt>
                <c:pt idx="8">
                  <c:v>6.7092693041974193E-3</c:v>
                </c:pt>
                <c:pt idx="9">
                  <c:v>6.6765416631904698E-3</c:v>
                </c:pt>
                <c:pt idx="10">
                  <c:v>6.6437695108835099E-3</c:v>
                </c:pt>
                <c:pt idx="11">
                  <c:v>6.6109631180516146E-3</c:v>
                </c:pt>
                <c:pt idx="12">
                  <c:v>6.5781482885190557E-3</c:v>
                </c:pt>
                <c:pt idx="13">
                  <c:v>6.5453734388456943E-3</c:v>
                </c:pt>
                <c:pt idx="14">
                  <c:v>6.5127145383603261E-3</c:v>
                </c:pt>
                <c:pt idx="15">
                  <c:v>6.4802724472743014E-3</c:v>
                </c:pt>
                <c:pt idx="16">
                  <c:v>6.4481569343970242E-3</c:v>
                </c:pt>
                <c:pt idx="17">
                  <c:v>6.4164575174762732E-3</c:v>
                </c:pt>
                <c:pt idx="18">
                  <c:v>6.3852127202948302E-3</c:v>
                </c:pt>
                <c:pt idx="19">
                  <c:v>6.3543961098445449E-3</c:v>
                </c:pt>
                <c:pt idx="20">
                  <c:v>6.3239285699648526E-3</c:v>
                </c:pt>
                <c:pt idx="21">
                  <c:v>6.2937078612499992E-3</c:v>
                </c:pt>
                <c:pt idx="22">
                  <c:v>6.2636373599274323E-3</c:v>
                </c:pt>
                <c:pt idx="23">
                  <c:v>6.233642309514776E-3</c:v>
                </c:pt>
                <c:pt idx="24">
                  <c:v>6.2036731630378279E-3</c:v>
                </c:pt>
                <c:pt idx="25">
                  <c:v>6.1737014365776804E-3</c:v>
                </c:pt>
                <c:pt idx="26">
                  <c:v>6.1437133374263285E-3</c:v>
                </c:pt>
                <c:pt idx="27">
                  <c:v>6.1137040634253043E-3</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8.3854162919468761E-3</c:v>
                </c:pt>
                <c:pt idx="1">
                  <c:v>8.149441116985812E-3</c:v>
                </c:pt>
                <c:pt idx="2">
                  <c:v>7.9134514813489487E-3</c:v>
                </c:pt>
                <c:pt idx="3">
                  <c:v>7.6774513222090555E-3</c:v>
                </c:pt>
                <c:pt idx="4">
                  <c:v>7.4414506755486522E-3</c:v>
                </c:pt>
                <c:pt idx="5">
                  <c:v>7.205470138340231E-3</c:v>
                </c:pt>
                <c:pt idx="6">
                  <c:v>6.969547900997736E-3</c:v>
                </c:pt>
                <c:pt idx="7">
                  <c:v>6.7337505107704929E-3</c:v>
                </c:pt>
                <c:pt idx="8">
                  <c:v>6.6977163418157253E-3</c:v>
                </c:pt>
                <c:pt idx="9">
                  <c:v>6.6616320196798574E-3</c:v>
                </c:pt>
                <c:pt idx="10">
                  <c:v>6.6254986209824396E-3</c:v>
                </c:pt>
                <c:pt idx="11">
                  <c:v>6.5893274699113762E-3</c:v>
                </c:pt>
                <c:pt idx="12">
                  <c:v>6.5531470168370166E-3</c:v>
                </c:pt>
                <c:pt idx="13">
                  <c:v>6.5170106441202321E-3</c:v>
                </c:pt>
                <c:pt idx="14">
                  <c:v>6.4810021128158526E-3</c:v>
                </c:pt>
                <c:pt idx="15">
                  <c:v>6.4452326277722877E-3</c:v>
                </c:pt>
                <c:pt idx="16">
                  <c:v>6.4098232161383661E-3</c:v>
                </c:pt>
                <c:pt idx="17">
                  <c:v>6.3748725769693336E-3</c:v>
                </c:pt>
                <c:pt idx="18">
                  <c:v>6.3404231852051771E-3</c:v>
                </c:pt>
                <c:pt idx="19">
                  <c:v>6.3064458967599917E-3</c:v>
                </c:pt>
                <c:pt idx="20">
                  <c:v>6.2728534809952038E-3</c:v>
                </c:pt>
                <c:pt idx="21">
                  <c:v>6.2395332124121593E-3</c:v>
                </c:pt>
                <c:pt idx="22">
                  <c:v>6.206378557107789E-3</c:v>
                </c:pt>
                <c:pt idx="23">
                  <c:v>6.1733070912681938E-3</c:v>
                </c:pt>
                <c:pt idx="24">
                  <c:v>6.1402641861782268E-3</c:v>
                </c:pt>
                <c:pt idx="25">
                  <c:v>6.107218436491397E-3</c:v>
                </c:pt>
                <c:pt idx="26">
                  <c:v>6.0741546348629834E-3</c:v>
                </c:pt>
                <c:pt idx="27">
                  <c:v>6.0410674866054441E-3</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6.4091309057636167E-3</c:v>
                </c:pt>
                <c:pt idx="1">
                  <c:v>6.2286793013816271E-3</c:v>
                </c:pt>
                <c:pt idx="2">
                  <c:v>6.048216638835791E-3</c:v>
                </c:pt>
                <c:pt idx="3">
                  <c:v>5.867745928905284E-3</c:v>
                </c:pt>
                <c:pt idx="4">
                  <c:v>5.6872748461649757E-3</c:v>
                </c:pt>
                <c:pt idx="5">
                  <c:v>5.5068191412408884E-3</c:v>
                </c:pt>
                <c:pt idx="6">
                  <c:v>5.326408018567215E-3</c:v>
                </c:pt>
                <c:pt idx="7">
                  <c:v>5.1460923672169709E-3</c:v>
                </c:pt>
                <c:pt idx="8">
                  <c:v>5.118536826251561E-3</c:v>
                </c:pt>
                <c:pt idx="9">
                  <c:v>5.0909429328535438E-3</c:v>
                </c:pt>
                <c:pt idx="10">
                  <c:v>5.0633115103202245E-3</c:v>
                </c:pt>
                <c:pt idx="11">
                  <c:v>5.035651218324705E-3</c:v>
                </c:pt>
                <c:pt idx="12">
                  <c:v>5.0079838130325481E-3</c:v>
                </c:pt>
                <c:pt idx="13">
                  <c:v>4.9803501162491246E-3</c:v>
                </c:pt>
                <c:pt idx="14">
                  <c:v>4.9528141805457761E-3</c:v>
                </c:pt>
                <c:pt idx="15">
                  <c:v>4.9254610449242266E-3</c:v>
                </c:pt>
                <c:pt idx="16">
                  <c:v>4.8983832595571094E-3</c:v>
                </c:pt>
                <c:pt idx="17">
                  <c:v>4.8716563001925551E-3</c:v>
                </c:pt>
                <c:pt idx="18">
                  <c:v>4.8453126476670251E-3</c:v>
                </c:pt>
                <c:pt idx="19">
                  <c:v>4.8193300153265882E-3</c:v>
                </c:pt>
                <c:pt idx="20">
                  <c:v>4.7936416973888094E-3</c:v>
                </c:pt>
                <c:pt idx="21">
                  <c:v>4.7681614920017743E-3</c:v>
                </c:pt>
                <c:pt idx="22">
                  <c:v>4.7428079320631401E-3</c:v>
                </c:pt>
                <c:pt idx="23">
                  <c:v>4.7175179875975672E-3</c:v>
                </c:pt>
                <c:pt idx="24">
                  <c:v>4.6922498837052382E-3</c:v>
                </c:pt>
                <c:pt idx="25">
                  <c:v>4.6669796045329566E-3</c:v>
                </c:pt>
                <c:pt idx="26">
                  <c:v>4.6416955209347584E-3</c:v>
                </c:pt>
                <c:pt idx="27">
                  <c:v>4.6163935840319338E-3</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1.7783083301043669E-3</c:v>
                </c:pt>
                <c:pt idx="1">
                  <c:v>3.9670353002494918E-3</c:v>
                </c:pt>
                <c:pt idx="2">
                  <c:v>1.2272875676237464E-2</c:v>
                </c:pt>
                <c:pt idx="3">
                  <c:v>1.1281068013309969E-2</c:v>
                </c:pt>
                <c:pt idx="4">
                  <c:v>2.4929435480202329E-2</c:v>
                </c:pt>
                <c:pt idx="5" formatCode="General">
                  <c:v>1.7783083301043669E-3</c:v>
                </c:pt>
                <c:pt idx="6">
                  <c:v>3.9670353002494918E-3</c:v>
                </c:pt>
                <c:pt idx="7">
                  <c:v>1.2272875676237464E-2</c:v>
                </c:pt>
                <c:pt idx="8">
                  <c:v>1.1281068013309969E-2</c:v>
                </c:pt>
                <c:pt idx="9">
                  <c:v>2.4929435480202329E-2</c:v>
                </c:pt>
                <c:pt idx="10">
                  <c:v>1.7783083301043669E-3</c:v>
                </c:pt>
                <c:pt idx="11">
                  <c:v>3.9670353002494918E-3</c:v>
                </c:pt>
                <c:pt idx="12">
                  <c:v>1.2272875676237464E-2</c:v>
                </c:pt>
                <c:pt idx="13">
                  <c:v>1.1281068013309969E-2</c:v>
                </c:pt>
                <c:pt idx="14">
                  <c:v>2.4929435480202329E-2</c:v>
                </c:pt>
                <c:pt idx="15">
                  <c:v>1.7783083301043669E-3</c:v>
                </c:pt>
                <c:pt idx="16">
                  <c:v>3.9670353002494918E-3</c:v>
                </c:pt>
                <c:pt idx="17">
                  <c:v>1.2272875676237464E-2</c:v>
                </c:pt>
                <c:pt idx="18">
                  <c:v>1.1281068013309969E-2</c:v>
                </c:pt>
                <c:pt idx="19">
                  <c:v>2.4929435480202329E-2</c:v>
                </c:pt>
                <c:pt idx="20">
                  <c:v>1.9863208475390157E-3</c:v>
                </c:pt>
                <c:pt idx="21">
                  <c:v>1.3290239431595586E-3</c:v>
                </c:pt>
                <c:pt idx="22">
                  <c:v>1.4120879396070311E-3</c:v>
                </c:pt>
                <c:pt idx="23">
                  <c:v>4.2873120819145651E-3</c:v>
                </c:pt>
                <c:pt idx="24">
                  <c:v>1.9863208475390157E-3</c:v>
                </c:pt>
                <c:pt idx="25">
                  <c:v>1.3290239431595586E-3</c:v>
                </c:pt>
                <c:pt idx="26">
                  <c:v>1.4120879396070311E-3</c:v>
                </c:pt>
                <c:pt idx="27">
                  <c:v>4.2873120819145651E-3</c:v>
                </c:pt>
                <c:pt idx="28">
                  <c:v>1.9863208475390157E-3</c:v>
                </c:pt>
                <c:pt idx="29">
                  <c:v>1.3290239431595586E-3</c:v>
                </c:pt>
                <c:pt idx="30">
                  <c:v>1.4120879396070311E-3</c:v>
                </c:pt>
                <c:pt idx="31">
                  <c:v>4.2873120819145651E-3</c:v>
                </c:pt>
                <c:pt idx="32">
                  <c:v>1.9863208475390157E-3</c:v>
                </c:pt>
                <c:pt idx="33">
                  <c:v>1.3290239431595586E-3</c:v>
                </c:pt>
                <c:pt idx="34">
                  <c:v>1.4120879396070311E-3</c:v>
                </c:pt>
                <c:pt idx="35">
                  <c:v>4.2873120819145651E-3</c:v>
                </c:pt>
                <c:pt idx="36">
                  <c:v>1.5890566780312125E-3</c:v>
                </c:pt>
                <c:pt idx="37">
                  <c:v>1.063219154527647E-3</c:v>
                </c:pt>
                <c:pt idx="38">
                  <c:v>1.1296703516856248E-3</c:v>
                </c:pt>
                <c:pt idx="39">
                  <c:v>3.4298496655316519E-3</c:v>
                </c:pt>
                <c:pt idx="40">
                  <c:v>6.7070446072256132E-3</c:v>
                </c:pt>
                <c:pt idx="41">
                  <c:v>5.6498629919985045E-3</c:v>
                </c:pt>
                <c:pt idx="42">
                  <c:v>1.9709416352132133E-2</c:v>
                </c:pt>
                <c:pt idx="43">
                  <c:v>6.7070446072256132E-3</c:v>
                </c:pt>
                <c:pt idx="44">
                  <c:v>5.6498629919985045E-3</c:v>
                </c:pt>
                <c:pt idx="45">
                  <c:v>1.9709416352132133E-2</c:v>
                </c:pt>
                <c:pt idx="46">
                  <c:v>6.7070446072256132E-3</c:v>
                </c:pt>
                <c:pt idx="47">
                  <c:v>5.6498629919985045E-3</c:v>
                </c:pt>
                <c:pt idx="48">
                  <c:v>1.9709416352132133E-2</c:v>
                </c:pt>
                <c:pt idx="49">
                  <c:v>6.7070446072256132E-3</c:v>
                </c:pt>
                <c:pt idx="50">
                  <c:v>5.6498629919985045E-3</c:v>
                </c:pt>
                <c:pt idx="51">
                  <c:v>1.9709416352132133E-2</c:v>
                </c:pt>
                <c:pt idx="52">
                  <c:v>6.7070446072256132E-3</c:v>
                </c:pt>
                <c:pt idx="53">
                  <c:v>5.6498629919985045E-3</c:v>
                </c:pt>
                <c:pt idx="54">
                  <c:v>1.9709416352132133E-2</c:v>
                </c:pt>
                <c:pt idx="55" formatCode="0.00000">
                  <c:v>8.3893771583125115E-4</c:v>
                </c:pt>
                <c:pt idx="56">
                  <c:v>1.8714952165904367E-3</c:v>
                </c:pt>
                <c:pt idx="57">
                  <c:v>1.0358284649412651E-2</c:v>
                </c:pt>
                <c:pt idx="58">
                  <c:v>1.0257993776547255E-2</c:v>
                </c:pt>
                <c:pt idx="59">
                  <c:v>1.6567975451505536E-2</c:v>
                </c:pt>
                <c:pt idx="60" formatCode="General">
                  <c:v>8.3893771583125115E-4</c:v>
                </c:pt>
                <c:pt idx="61">
                  <c:v>1.8714952165904367E-3</c:v>
                </c:pt>
                <c:pt idx="62">
                  <c:v>1.0358284649412651E-2</c:v>
                </c:pt>
                <c:pt idx="63">
                  <c:v>1.0257993776547255E-2</c:v>
                </c:pt>
                <c:pt idx="64">
                  <c:v>1.6567975451505536E-2</c:v>
                </c:pt>
                <c:pt idx="65">
                  <c:v>8.3893771583125115E-4</c:v>
                </c:pt>
                <c:pt idx="66">
                  <c:v>1.8714952165904367E-3</c:v>
                </c:pt>
                <c:pt idx="67">
                  <c:v>1.0358284649412651E-2</c:v>
                </c:pt>
                <c:pt idx="68">
                  <c:v>1.0257993776547255E-2</c:v>
                </c:pt>
                <c:pt idx="69">
                  <c:v>1.6567975451505536E-2</c:v>
                </c:pt>
                <c:pt idx="70">
                  <c:v>8.3893771583125115E-4</c:v>
                </c:pt>
                <c:pt idx="71">
                  <c:v>1.8714952165904367E-3</c:v>
                </c:pt>
                <c:pt idx="72">
                  <c:v>1.0358284649412651E-2</c:v>
                </c:pt>
                <c:pt idx="73">
                  <c:v>1.0257993776547255E-2</c:v>
                </c:pt>
                <c:pt idx="74">
                  <c:v>1.6567975451505536E-2</c:v>
                </c:pt>
                <c:pt idx="75">
                  <c:v>9.4423626496312793E-4</c:v>
                </c:pt>
                <c:pt idx="76">
                  <c:v>1.4325231484959115E-3</c:v>
                </c:pt>
                <c:pt idx="77">
                  <c:v>1.522055845276906E-3</c:v>
                </c:pt>
                <c:pt idx="78">
                  <c:v>3.4230929504727972E-3</c:v>
                </c:pt>
                <c:pt idx="79">
                  <c:v>9.4423626496312793E-4</c:v>
                </c:pt>
                <c:pt idx="80">
                  <c:v>1.4325231484959115E-3</c:v>
                </c:pt>
                <c:pt idx="81">
                  <c:v>1.522055845276906E-3</c:v>
                </c:pt>
                <c:pt idx="82">
                  <c:v>3.4230929504727972E-3</c:v>
                </c:pt>
                <c:pt idx="83">
                  <c:v>9.4423626496312793E-4</c:v>
                </c:pt>
                <c:pt idx="84">
                  <c:v>1.4325231484959115E-3</c:v>
                </c:pt>
                <c:pt idx="85">
                  <c:v>1.522055845276906E-3</c:v>
                </c:pt>
                <c:pt idx="86">
                  <c:v>3.4230929504727972E-3</c:v>
                </c:pt>
                <c:pt idx="87">
                  <c:v>9.4423626496312793E-4</c:v>
                </c:pt>
                <c:pt idx="88">
                  <c:v>1.4325231484959115E-3</c:v>
                </c:pt>
                <c:pt idx="89">
                  <c:v>1.522055845276906E-3</c:v>
                </c:pt>
                <c:pt idx="90">
                  <c:v>3.4230929504727972E-3</c:v>
                </c:pt>
                <c:pt idx="91">
                  <c:v>7.5538901197050236E-4</c:v>
                </c:pt>
                <c:pt idx="92">
                  <c:v>1.1460185187967293E-3</c:v>
                </c:pt>
                <c:pt idx="93">
                  <c:v>1.2176446762215247E-3</c:v>
                </c:pt>
                <c:pt idx="94">
                  <c:v>2.7384743603782375E-3</c:v>
                </c:pt>
                <c:pt idx="95">
                  <c:v>2.9533510719556709E-3</c:v>
                </c:pt>
                <c:pt idx="96">
                  <c:v>5.5719568088488311E-3</c:v>
                </c:pt>
                <c:pt idx="97">
                  <c:v>1.3466646239242928E-2</c:v>
                </c:pt>
                <c:pt idx="98">
                  <c:v>2.9533510719556709E-3</c:v>
                </c:pt>
                <c:pt idx="99">
                  <c:v>4.985922725015586E-3</c:v>
                </c:pt>
                <c:pt idx="100">
                  <c:v>1.3466646239242928E-2</c:v>
                </c:pt>
                <c:pt idx="101">
                  <c:v>2.9533510719556709E-3</c:v>
                </c:pt>
                <c:pt idx="102">
                  <c:v>4.985922725015586E-3</c:v>
                </c:pt>
                <c:pt idx="103">
                  <c:v>1.3466646239242928E-2</c:v>
                </c:pt>
                <c:pt idx="104">
                  <c:v>2.9533510719556709E-3</c:v>
                </c:pt>
                <c:pt idx="105">
                  <c:v>4.9859227250155852E-3</c:v>
                </c:pt>
                <c:pt idx="106">
                  <c:v>1.3466646239242928E-2</c:v>
                </c:pt>
                <c:pt idx="107">
                  <c:v>2.9533510719556709E-3</c:v>
                </c:pt>
                <c:pt idx="108">
                  <c:v>4.985922725015586E-3</c:v>
                </c:pt>
                <c:pt idx="109">
                  <c:v>1.3466646239242928E-2</c:v>
                </c:pt>
                <c:pt idx="110" formatCode="0.00000">
                  <c:v>5.0846159148288761E-4</c:v>
                </c:pt>
                <c:pt idx="111">
                  <c:v>1.1342718515609E-3</c:v>
                </c:pt>
                <c:pt idx="112">
                  <c:v>6.5156977611726787E-3</c:v>
                </c:pt>
                <c:pt idx="113">
                  <c:v>6.8423242323661987E-3</c:v>
                </c:pt>
                <c:pt idx="114">
                  <c:v>9.7494494830798577E-3</c:v>
                </c:pt>
                <c:pt idx="115" formatCode="General">
                  <c:v>5.0846159148288761E-4</c:v>
                </c:pt>
                <c:pt idx="116">
                  <c:v>1.1342718515609E-3</c:v>
                </c:pt>
                <c:pt idx="117">
                  <c:v>6.5156977611726787E-3</c:v>
                </c:pt>
                <c:pt idx="118">
                  <c:v>6.8423242323661987E-3</c:v>
                </c:pt>
                <c:pt idx="119">
                  <c:v>9.7494494830798577E-3</c:v>
                </c:pt>
                <c:pt idx="120">
                  <c:v>5.0846159148288761E-4</c:v>
                </c:pt>
                <c:pt idx="121">
                  <c:v>1.1342718515609E-3</c:v>
                </c:pt>
                <c:pt idx="122">
                  <c:v>6.5156977611726787E-3</c:v>
                </c:pt>
                <c:pt idx="123">
                  <c:v>6.8423242323661987E-3</c:v>
                </c:pt>
                <c:pt idx="124">
                  <c:v>9.7494494830798577E-3</c:v>
                </c:pt>
                <c:pt idx="125">
                  <c:v>5.0846159148288761E-4</c:v>
                </c:pt>
                <c:pt idx="126">
                  <c:v>1.1342718515609E-3</c:v>
                </c:pt>
                <c:pt idx="127">
                  <c:v>6.5156977611726787E-3</c:v>
                </c:pt>
                <c:pt idx="128">
                  <c:v>6.8423242323661987E-3</c:v>
                </c:pt>
                <c:pt idx="129">
                  <c:v>9.7494494830798577E-3</c:v>
                </c:pt>
                <c:pt idx="130">
                  <c:v>6.1155198507974618E-4</c:v>
                </c:pt>
                <c:pt idx="131">
                  <c:v>1.2466950298238237E-3</c:v>
                </c:pt>
                <c:pt idx="132">
                  <c:v>1.3246134691878124E-3</c:v>
                </c:pt>
                <c:pt idx="133">
                  <c:v>2.1857187249993688E-3</c:v>
                </c:pt>
                <c:pt idx="134">
                  <c:v>6.1155198507974618E-4</c:v>
                </c:pt>
                <c:pt idx="135">
                  <c:v>1.2466950298238237E-3</c:v>
                </c:pt>
                <c:pt idx="136">
                  <c:v>1.3246134691878124E-3</c:v>
                </c:pt>
                <c:pt idx="137">
                  <c:v>2.1857187249993688E-3</c:v>
                </c:pt>
                <c:pt idx="138">
                  <c:v>6.1155198507974618E-4</c:v>
                </c:pt>
                <c:pt idx="139">
                  <c:v>1.2466950298238237E-3</c:v>
                </c:pt>
                <c:pt idx="140">
                  <c:v>1.3246134691878124E-3</c:v>
                </c:pt>
                <c:pt idx="141">
                  <c:v>2.1857187249993688E-3</c:v>
                </c:pt>
                <c:pt idx="142">
                  <c:v>6.1155198507974618E-4</c:v>
                </c:pt>
                <c:pt idx="143">
                  <c:v>1.2466950298238237E-3</c:v>
                </c:pt>
                <c:pt idx="144">
                  <c:v>1.3246134691878124E-3</c:v>
                </c:pt>
                <c:pt idx="145">
                  <c:v>2.1857187249993688E-3</c:v>
                </c:pt>
                <c:pt idx="146">
                  <c:v>4.8924158806379694E-4</c:v>
                </c:pt>
                <c:pt idx="147">
                  <c:v>9.9735602385905885E-4</c:v>
                </c:pt>
                <c:pt idx="148">
                  <c:v>1.05969077535025E-3</c:v>
                </c:pt>
                <c:pt idx="149">
                  <c:v>1.7485749799994951E-3</c:v>
                </c:pt>
                <c:pt idx="150">
                  <c:v>1.7136393401738417E-3</c:v>
                </c:pt>
                <c:pt idx="151">
                  <c:v>4.0342174151229478E-3</c:v>
                </c:pt>
                <c:pt idx="152">
                  <c:v>8.478341840292853E-3</c:v>
                </c:pt>
                <c:pt idx="153">
                  <c:v>1.7136393401738417E-3</c:v>
                </c:pt>
                <c:pt idx="154">
                  <c:v>4.06392166231242E-3</c:v>
                </c:pt>
                <c:pt idx="155">
                  <c:v>8.478341840292853E-3</c:v>
                </c:pt>
                <c:pt idx="156">
                  <c:v>1.7136393401738417E-3</c:v>
                </c:pt>
                <c:pt idx="157">
                  <c:v>4.06392166231242E-3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2.0569799349757336E-3</c:v>
                </c:pt>
                <c:pt idx="1">
                  <c:v>3.0869690973969691E-3</c:v>
                </c:pt>
                <c:pt idx="2">
                  <c:v>7.4197014833875218E-3</c:v>
                </c:pt>
                <c:pt idx="3">
                  <c:v>6.9528722157986764E-3</c:v>
                </c:pt>
                <c:pt idx="4">
                  <c:v>1.3114340768592438E-2</c:v>
                </c:pt>
                <c:pt idx="5" formatCode="General">
                  <c:v>3.5451549468971432E-3</c:v>
                </c:pt>
                <c:pt idx="6">
                  <c:v>5.1739750177028166E-3</c:v>
                </c:pt>
                <c:pt idx="7">
                  <c:v>1.2025737860664625E-2</c:v>
                </c:pt>
                <c:pt idx="8">
                  <c:v>1.1287496228198541E-2</c:v>
                </c:pt>
                <c:pt idx="9">
                  <c:v>2.1031213939593334E-2</c:v>
                </c:pt>
                <c:pt idx="10">
                  <c:v>4.0316221878138464E-3</c:v>
                </c:pt>
                <c:pt idx="11">
                  <c:v>6.0519855448708856E-3</c:v>
                </c:pt>
                <c:pt idx="12">
                  <c:v>1.4550806763544664E-2</c:v>
                </c:pt>
                <c:pt idx="13">
                  <c:v>1.3635103200197313E-2</c:v>
                </c:pt>
                <c:pt idx="14">
                  <c:v>2.5721060746062008E-2</c:v>
                </c:pt>
                <c:pt idx="15">
                  <c:v>2.0553368016305871E-3</c:v>
                </c:pt>
                <c:pt idx="16">
                  <c:v>3.0853259640518226E-3</c:v>
                </c:pt>
                <c:pt idx="17">
                  <c:v>7.4180583500423752E-3</c:v>
                </c:pt>
                <c:pt idx="18">
                  <c:v>6.9512290824535299E-3</c:v>
                </c:pt>
                <c:pt idx="19">
                  <c:v>1.3112697635247292E-2</c:v>
                </c:pt>
                <c:pt idx="20">
                  <c:v>5.3098305385236681E-3</c:v>
                </c:pt>
                <c:pt idx="21">
                  <c:v>4.5331909329826905E-3</c:v>
                </c:pt>
                <c:pt idx="22">
                  <c:v>6.1224324961737259E-3</c:v>
                </c:pt>
                <c:pt idx="23">
                  <c:v>7.8707835286277034E-3</c:v>
                </c:pt>
                <c:pt idx="24">
                  <c:v>1.2774641951516773E-2</c:v>
                </c:pt>
                <c:pt idx="25">
                  <c:v>1.0919336227168881E-2</c:v>
                </c:pt>
                <c:pt idx="26">
                  <c:v>1.4715857739236346E-2</c:v>
                </c:pt>
                <c:pt idx="27">
                  <c:v>1.8892474094543074E-2</c:v>
                </c:pt>
                <c:pt idx="28">
                  <c:v>1.2023226120295865E-2</c:v>
                </c:pt>
                <c:pt idx="29">
                  <c:v>1.0167920395947974E-2</c:v>
                </c:pt>
                <c:pt idx="30">
                  <c:v>1.3964441908015442E-2</c:v>
                </c:pt>
                <c:pt idx="31">
                  <c:v>1.8141058263322171E-2</c:v>
                </c:pt>
                <c:pt idx="32">
                  <c:v>5.3244331059987254E-3</c:v>
                </c:pt>
                <c:pt idx="33">
                  <c:v>4.7874970824148422E-3</c:v>
                </c:pt>
                <c:pt idx="34">
                  <c:v>5.8862319902999987E-3</c:v>
                </c:pt>
                <c:pt idx="35">
                  <c:v>7.094968506564478E-3</c:v>
                </c:pt>
                <c:pt idx="36">
                  <c:v>1.436637360417075E-2</c:v>
                </c:pt>
                <c:pt idx="37">
                  <c:v>1.2234929353408296E-2</c:v>
                </c:pt>
                <c:pt idx="38">
                  <c:v>1.6596514532388126E-2</c:v>
                </c:pt>
                <c:pt idx="39">
                  <c:v>2.1394766810345162E-2</c:v>
                </c:pt>
                <c:pt idx="40">
                  <c:v>7.1307176621036375E-2</c:v>
                </c:pt>
                <c:pt idx="41">
                  <c:v>9.0484330568541216E-2</c:v>
                </c:pt>
                <c:pt idx="42">
                  <c:v>0.1072551205491602</c:v>
                </c:pt>
                <c:pt idx="43">
                  <c:v>2.9343363622621049E-2</c:v>
                </c:pt>
                <c:pt idx="44">
                  <c:v>3.591058071772936E-2</c:v>
                </c:pt>
                <c:pt idx="45">
                  <c:v>4.586801060469306E-2</c:v>
                </c:pt>
                <c:pt idx="46">
                  <c:v>3.2896210730224702E-2</c:v>
                </c:pt>
                <c:pt idx="47">
                  <c:v>4.063880062077449E-2</c:v>
                </c:pt>
                <c:pt idx="48">
                  <c:v>5.1908170399832532E-2</c:v>
                </c:pt>
                <c:pt idx="49">
                  <c:v>4.2408575053991981E-2</c:v>
                </c:pt>
                <c:pt idx="50">
                  <c:v>5.3061998235730642E-2</c:v>
                </c:pt>
                <c:pt idx="51">
                  <c:v>6.5164123584634109E-2</c:v>
                </c:pt>
                <c:pt idx="52">
                  <c:v>3.3414262094814663E-2</c:v>
                </c:pt>
                <c:pt idx="53">
                  <c:v>4.1573008468517095E-2</c:v>
                </c:pt>
                <c:pt idx="54">
                  <c:v>5.1985756382567139E-2</c:v>
                </c:pt>
                <c:pt idx="55" formatCode="0.00000">
                  <c:v>1.6174664349952817E-3</c:v>
                </c:pt>
                <c:pt idx="56">
                  <c:v>2.1033758471172516E-3</c:v>
                </c:pt>
                <c:pt idx="57">
                  <c:v>6.4815858794727982E-3</c:v>
                </c:pt>
                <c:pt idx="58">
                  <c:v>6.4297160574348783E-3</c:v>
                </c:pt>
                <c:pt idx="59">
                  <c:v>9.1624962093665649E-3</c:v>
                </c:pt>
                <c:pt idx="60" formatCode="General">
                  <c:v>2.8501103422768938E-3</c:v>
                </c:pt>
                <c:pt idx="61">
                  <c:v>3.6185252265627981E-3</c:v>
                </c:pt>
                <c:pt idx="62">
                  <c:v>1.0542206207962267E-2</c:v>
                </c:pt>
                <c:pt idx="63">
                  <c:v>1.0460179512646488E-2</c:v>
                </c:pt>
                <c:pt idx="64">
                  <c:v>1.4781785334305905E-2</c:v>
                </c:pt>
                <c:pt idx="65">
                  <c:v>3.1694995532368067E-3</c:v>
                </c:pt>
                <c:pt idx="66">
                  <c:v>4.1226295539375929E-3</c:v>
                </c:pt>
                <c:pt idx="67">
                  <c:v>1.2710656925096552E-2</c:v>
                </c:pt>
                <c:pt idx="68">
                  <c:v>1.2608912274176015E-2</c:v>
                </c:pt>
                <c:pt idx="69">
                  <c:v>1.796936564911894E-2</c:v>
                </c:pt>
                <c:pt idx="70">
                  <c:v>1.6158233016501356E-3</c:v>
                </c:pt>
                <c:pt idx="71">
                  <c:v>2.101732713772105E-3</c:v>
                </c:pt>
                <c:pt idx="72">
                  <c:v>6.4799427461276517E-3</c:v>
                </c:pt>
                <c:pt idx="73">
                  <c:v>6.4280729240897318E-3</c:v>
                </c:pt>
                <c:pt idx="74">
                  <c:v>9.1608530760214184E-3</c:v>
                </c:pt>
                <c:pt idx="75">
                  <c:v>4.7419658327266575E-3</c:v>
                </c:pt>
                <c:pt idx="76">
                  <c:v>4.5914092359843912E-3</c:v>
                </c:pt>
                <c:pt idx="77">
                  <c:v>5.6727629725938505E-3</c:v>
                </c:pt>
                <c:pt idx="78">
                  <c:v>6.5616045778966701E-3</c:v>
                </c:pt>
                <c:pt idx="79">
                  <c:v>1.1418076265446135E-2</c:v>
                </c:pt>
                <c:pt idx="80">
                  <c:v>1.1058413284339607E-2</c:v>
                </c:pt>
                <c:pt idx="81">
                  <c:v>1.364164721068443E-2</c:v>
                </c:pt>
                <c:pt idx="82">
                  <c:v>1.5764991045574495E-2</c:v>
                </c:pt>
                <c:pt idx="83">
                  <c:v>1.0666660434225223E-2</c:v>
                </c:pt>
                <c:pt idx="84">
                  <c:v>1.0306997453118697E-2</c:v>
                </c:pt>
                <c:pt idx="85">
                  <c:v>1.2890231379463523E-2</c:v>
                </c:pt>
                <c:pt idx="86">
                  <c:v>1.501357521435359E-2</c:v>
                </c:pt>
                <c:pt idx="87">
                  <c:v>4.9318352847069653E-3</c:v>
                </c:pt>
                <c:pt idx="88">
                  <c:v>4.8277467733789797E-3</c:v>
                </c:pt>
                <c:pt idx="89">
                  <c:v>5.5753493567139139E-3</c:v>
                </c:pt>
                <c:pt idx="90">
                  <c:v>6.1898571332195639E-3</c:v>
                </c:pt>
                <c:pt idx="91">
                  <c:v>1.2807900467150062E-2</c:v>
                </c:pt>
                <c:pt idx="92">
                  <c:v>1.2394706251646289E-2</c:v>
                </c:pt>
                <c:pt idx="93">
                  <c:v>1.5362421506563365E-2</c:v>
                </c:pt>
                <c:pt idx="94">
                  <c:v>1.7801797912227767E-2</c:v>
                </c:pt>
                <c:pt idx="95">
                  <c:v>6.9103491380650001E-2</c:v>
                </c:pt>
                <c:pt idx="96">
                  <c:v>7.4785156649354201E-2</c:v>
                </c:pt>
                <c:pt idx="97">
                  <c:v>8.5825240766145991E-2</c:v>
                </c:pt>
                <c:pt idx="98">
                  <c:v>2.7498818167278977E-2</c:v>
                </c:pt>
                <c:pt idx="99">
                  <c:v>2.9939434767307871E-2</c:v>
                </c:pt>
                <c:pt idx="100">
                  <c:v>3.6441308633568564E-2</c:v>
                </c:pt>
                <c:pt idx="101">
                  <c:v>3.0843138957113776E-2</c:v>
                </c:pt>
                <c:pt idx="102">
                  <c:v>3.3647752834689841E-2</c:v>
                </c:pt>
                <c:pt idx="103">
                  <c:v>4.102728579875424E-2</c:v>
                </c:pt>
                <c:pt idx="104">
                  <c:v>4.0463983463688361E-2</c:v>
                </c:pt>
                <c:pt idx="105">
                  <c:v>4.3795862344498407E-2</c:v>
                </c:pt>
                <c:pt idx="106">
                  <c:v>5.1879122574373285E-2</c:v>
                </c:pt>
                <c:pt idx="107">
                  <c:v>3.162902934130532E-2</c:v>
                </c:pt>
                <c:pt idx="108">
                  <c:v>3.4357933729152593E-2</c:v>
                </c:pt>
                <c:pt idx="109">
                  <c:v>4.1244578015303915E-2</c:v>
                </c:pt>
                <c:pt idx="110" formatCode="0.00000">
                  <c:v>1.4833039920215956E-3</c:v>
                </c:pt>
                <c:pt idx="111">
                  <c:v>1.7778029379406598E-3</c:v>
                </c:pt>
                <c:pt idx="112">
                  <c:v>4.3615159921940021E-3</c:v>
                </c:pt>
                <c:pt idx="113">
                  <c:v>4.4721081299707692E-3</c:v>
                </c:pt>
                <c:pt idx="114">
                  <c:v>5.8106946942033423E-3</c:v>
                </c:pt>
                <c:pt idx="115" formatCode="General">
                  <c:v>2.6379464789696673E-3</c:v>
                </c:pt>
                <c:pt idx="116">
                  <c:v>3.1036657422835378E-3</c:v>
                </c:pt>
                <c:pt idx="117">
                  <c:v>7.1895375490097519E-3</c:v>
                </c:pt>
                <c:pt idx="118">
                  <c:v>7.364427441307898E-3</c:v>
                </c:pt>
                <c:pt idx="119">
                  <c:v>9.4812620080012688E-3</c:v>
                </c:pt>
                <c:pt idx="120">
                  <c:v>2.9063347612499593E-3</c:v>
                </c:pt>
                <c:pt idx="121">
                  <c:v>3.4840057705527402E-3</c:v>
                </c:pt>
                <c:pt idx="122">
                  <c:v>8.5520583000496773E-3</c:v>
                </c:pt>
                <c:pt idx="123">
                  <c:v>8.7689890318425716E-3</c:v>
                </c:pt>
                <c:pt idx="124">
                  <c:v>1.1394678061683388E-2</c:v>
                </c:pt>
                <c:pt idx="125">
                  <c:v>1.4816608586764491E-3</c:v>
                </c:pt>
                <c:pt idx="126">
                  <c:v>1.7761598045955142E-3</c:v>
                </c:pt>
                <c:pt idx="127">
                  <c:v>4.3598728588488539E-3</c:v>
                </c:pt>
                <c:pt idx="128">
                  <c:v>4.4704649966256227E-3</c:v>
                </c:pt>
                <c:pt idx="129">
                  <c:v>5.8090515608581975E-3</c:v>
                </c:pt>
                <c:pt idx="130">
                  <c:v>4.5787890854017566E-3</c:v>
                </c:pt>
                <c:pt idx="131">
                  <c:v>4.4868809192313425E-3</c:v>
                </c:pt>
                <c:pt idx="132">
                  <c:v>4.8923047150582002E-3</c:v>
                </c:pt>
                <c:pt idx="133">
                  <c:v>4.7885093697076827E-3</c:v>
                </c:pt>
                <c:pt idx="134">
                  <c:v>1.1028265146836648E-2</c:v>
                </c:pt>
                <c:pt idx="135">
                  <c:v>1.0808706749873987E-2</c:v>
                </c:pt>
                <c:pt idx="136">
                  <c:v>1.1777219151015933E-2</c:v>
                </c:pt>
                <c:pt idx="137">
                  <c:v>1.1529263603789693E-2</c:v>
                </c:pt>
                <c:pt idx="138">
                  <c:v>1.0276849315615739E-2</c:v>
                </c:pt>
                <c:pt idx="139">
                  <c:v>1.0057290918653081E-2</c:v>
                </c:pt>
                <c:pt idx="140">
                  <c:v>1.1025803319795021E-2</c:v>
                </c:pt>
                <c:pt idx="141">
                  <c:v>1.0777847772568783E-2</c:v>
                </c:pt>
                <c:pt idx="142">
                  <c:v>4.8190217310008585E-3</c:v>
                </c:pt>
                <c:pt idx="143">
                  <c:v>4.7554802827842781E-3</c:v>
                </c:pt>
                <c:pt idx="144">
                  <c:v>5.0357732774300081E-3</c:v>
                </c:pt>
                <c:pt idx="145">
                  <c:v>4.9640135324963142E-3</c:v>
                </c:pt>
                <c:pt idx="146">
                  <c:v>1.2360070949491726E-2</c:v>
                </c:pt>
                <c:pt idx="147">
                  <c:v>1.2107834093446252E-2</c:v>
                </c:pt>
                <c:pt idx="148">
                  <c:v>1.3220497177548854E-2</c:v>
                </c:pt>
                <c:pt idx="149">
                  <c:v>1.2935636618642431E-2</c:v>
                </c:pt>
                <c:pt idx="150">
                  <c:v>6.9105203232298421E-2</c:v>
                </c:pt>
                <c:pt idx="151">
                  <c:v>6.9097068904093562E-2</c:v>
                </c:pt>
                <c:pt idx="152">
                  <c:v>7.5000109931099665E-2</c:v>
                </c:pt>
                <c:pt idx="153">
                  <c:v>2.7150762007794038E-2</c:v>
                </c:pt>
                <c:pt idx="154">
                  <c:v>2.7817221510662411E-2</c:v>
                </c:pt>
                <c:pt idx="155">
                  <c:v>3.1163443233818866E-2</c:v>
                </c:pt>
                <c:pt idx="156">
                  <c:v>3.0471688242364847E-2</c:v>
                </c:pt>
                <c:pt idx="157">
                  <c:v>3.1183649930793887E-2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1.7510189894861146E-3</c:v>
                </c:pt>
                <c:pt idx="3">
                  <c:v>1.2843864944512701E-3</c:v>
                </c:pt>
                <c:pt idx="4">
                  <c:v>1.1611655888857896E-3</c:v>
                </c:pt>
                <c:pt idx="5" formatCode="General">
                  <c:v>0</c:v>
                </c:pt>
                <c:pt idx="6">
                  <c:v>0</c:v>
                </c:pt>
                <c:pt idx="7">
                  <c:v>1.7946332048243002E-3</c:v>
                </c:pt>
                <c:pt idx="8">
                  <c:v>1.3185258345998034E-3</c:v>
                </c:pt>
                <c:pt idx="9">
                  <c:v>1.1775289054720209E-3</c:v>
                </c:pt>
                <c:pt idx="10">
                  <c:v>0</c:v>
                </c:pt>
                <c:pt idx="11">
                  <c:v>0</c:v>
                </c:pt>
                <c:pt idx="12">
                  <c:v>1.7506312167844713E-3</c:v>
                </c:pt>
                <c:pt idx="13">
                  <c:v>1.284082962585361E-3</c:v>
                </c:pt>
                <c:pt idx="14">
                  <c:v>1.1610201031208543E-3</c:v>
                </c:pt>
                <c:pt idx="15">
                  <c:v>0</c:v>
                </c:pt>
                <c:pt idx="16">
                  <c:v>0</c:v>
                </c:pt>
                <c:pt idx="17">
                  <c:v>1.7506312167844713E-3</c:v>
                </c:pt>
                <c:pt idx="18">
                  <c:v>1.284082962585361E-3</c:v>
                </c:pt>
                <c:pt idx="19">
                  <c:v>1.1610201031208543E-3</c:v>
                </c:pt>
                <c:pt idx="20">
                  <c:v>0</c:v>
                </c:pt>
                <c:pt idx="21">
                  <c:v>0</c:v>
                </c:pt>
                <c:pt idx="22">
                  <c:v>4.0036420099615229E-4</c:v>
                </c:pt>
                <c:pt idx="23">
                  <c:v>2.5440916456170339E-4</c:v>
                </c:pt>
                <c:pt idx="24">
                  <c:v>0</c:v>
                </c:pt>
                <c:pt idx="25">
                  <c:v>0</c:v>
                </c:pt>
                <c:pt idx="26">
                  <c:v>4.0282912452609815E-4</c:v>
                </c:pt>
                <c:pt idx="27">
                  <c:v>2.5562755645893408E-4</c:v>
                </c:pt>
                <c:pt idx="28">
                  <c:v>0</c:v>
                </c:pt>
                <c:pt idx="29">
                  <c:v>0</c:v>
                </c:pt>
                <c:pt idx="30">
                  <c:v>3.8226000875932198E-4</c:v>
                </c:pt>
                <c:pt idx="31">
                  <c:v>2.4546040779125158E-4</c:v>
                </c:pt>
                <c:pt idx="32">
                  <c:v>0</c:v>
                </c:pt>
                <c:pt idx="33">
                  <c:v>0</c:v>
                </c:pt>
                <c:pt idx="34">
                  <c:v>5.5675688806499334E-4</c:v>
                </c:pt>
                <c:pt idx="35">
                  <c:v>3.3171281329392316E-4</c:v>
                </c:pt>
                <c:pt idx="36">
                  <c:v>0</c:v>
                </c:pt>
                <c:pt idx="37">
                  <c:v>0</c:v>
                </c:pt>
                <c:pt idx="38">
                  <c:v>2.5124091616929127E-4</c:v>
                </c:pt>
                <c:pt idx="39">
                  <c:v>1.6068357400247577E-4</c:v>
                </c:pt>
                <c:pt idx="40">
                  <c:v>0</c:v>
                </c:pt>
                <c:pt idx="41">
                  <c:v>1.2701981899788134E-2</c:v>
                </c:pt>
                <c:pt idx="42">
                  <c:v>7.1246723029506909E-3</c:v>
                </c:pt>
                <c:pt idx="43">
                  <c:v>0</c:v>
                </c:pt>
                <c:pt idx="44">
                  <c:v>7.0414591282912525E-3</c:v>
                </c:pt>
                <c:pt idx="45">
                  <c:v>4.2559732095678038E-3</c:v>
                </c:pt>
                <c:pt idx="46">
                  <c:v>0</c:v>
                </c:pt>
                <c:pt idx="47">
                  <c:v>7.1098997496071709E-3</c:v>
                </c:pt>
                <c:pt idx="48">
                  <c:v>4.2974127049972416E-3</c:v>
                </c:pt>
                <c:pt idx="49">
                  <c:v>0</c:v>
                </c:pt>
                <c:pt idx="50">
                  <c:v>9.2833814533645614E-3</c:v>
                </c:pt>
                <c:pt idx="51">
                  <c:v>5.3948565408023091E-3</c:v>
                </c:pt>
                <c:pt idx="52">
                  <c:v>0</c:v>
                </c:pt>
                <c:pt idx="53">
                  <c:v>8.1517656946896305E-3</c:v>
                </c:pt>
                <c:pt idx="54">
                  <c:v>4.8236229024654215E-3</c:v>
                </c:pt>
                <c:pt idx="55" formatCode="0.00000">
                  <c:v>0</c:v>
                </c:pt>
                <c:pt idx="56">
                  <c:v>0</c:v>
                </c:pt>
                <c:pt idx="57">
                  <c:v>1.494188510107259E-3</c:v>
                </c:pt>
                <c:pt idx="58">
                  <c:v>1.1709026309665339E-3</c:v>
                </c:pt>
                <c:pt idx="59">
                  <c:v>8.1126268520433087E-4</c:v>
                </c:pt>
                <c:pt idx="60" formatCode="General">
                  <c:v>0</c:v>
                </c:pt>
                <c:pt idx="61">
                  <c:v>0</c:v>
                </c:pt>
                <c:pt idx="62">
                  <c:v>1.5367922527926223E-3</c:v>
                </c:pt>
                <c:pt idx="63">
                  <c:v>1.2045578659817049E-3</c:v>
                </c:pt>
                <c:pt idx="64">
                  <c:v>8.276260017905622E-4</c:v>
                </c:pt>
                <c:pt idx="65">
                  <c:v>0</c:v>
                </c:pt>
                <c:pt idx="66">
                  <c:v>0</c:v>
                </c:pt>
                <c:pt idx="67">
                  <c:v>1.4938097214881544E-3</c:v>
                </c:pt>
                <c:pt idx="68">
                  <c:v>1.1706034032650803E-3</c:v>
                </c:pt>
                <c:pt idx="69">
                  <c:v>8.1111719943939564E-4</c:v>
                </c:pt>
                <c:pt idx="70">
                  <c:v>0</c:v>
                </c:pt>
                <c:pt idx="71">
                  <c:v>0</c:v>
                </c:pt>
                <c:pt idx="72">
                  <c:v>1.4938097214881544E-3</c:v>
                </c:pt>
                <c:pt idx="73">
                  <c:v>1.1706034032650803E-3</c:v>
                </c:pt>
                <c:pt idx="74">
                  <c:v>8.1111719943939564E-4</c:v>
                </c:pt>
                <c:pt idx="75">
                  <c:v>0</c:v>
                </c:pt>
                <c:pt idx="76">
                  <c:v>0</c:v>
                </c:pt>
                <c:pt idx="77">
                  <c:v>2.8904864119112458E-4</c:v>
                </c:pt>
                <c:pt idx="78">
                  <c:v>2.1209226918453804E-4</c:v>
                </c:pt>
                <c:pt idx="79">
                  <c:v>0</c:v>
                </c:pt>
                <c:pt idx="80">
                  <c:v>0</c:v>
                </c:pt>
                <c:pt idx="81">
                  <c:v>2.9096929243943234E-4</c:v>
                </c:pt>
                <c:pt idx="82">
                  <c:v>2.1331066108176873E-4</c:v>
                </c:pt>
                <c:pt idx="83">
                  <c:v>0</c:v>
                </c:pt>
                <c:pt idx="84">
                  <c:v>0</c:v>
                </c:pt>
                <c:pt idx="85">
                  <c:v>2.7494198068144481E-4</c:v>
                </c:pt>
                <c:pt idx="86">
                  <c:v>2.0314351241408624E-4</c:v>
                </c:pt>
                <c:pt idx="87">
                  <c:v>0</c:v>
                </c:pt>
                <c:pt idx="88">
                  <c:v>0</c:v>
                </c:pt>
                <c:pt idx="89">
                  <c:v>4.1090873380485518E-4</c:v>
                </c:pt>
                <c:pt idx="90">
                  <c:v>2.8939591791675781E-4</c:v>
                </c:pt>
                <c:pt idx="91">
                  <c:v>0</c:v>
                </c:pt>
                <c:pt idx="92">
                  <c:v>0</c:v>
                </c:pt>
                <c:pt idx="93">
                  <c:v>1.8150103418036918E-4</c:v>
                </c:pt>
                <c:pt idx="94">
                  <c:v>1.3369888709529806E-4</c:v>
                </c:pt>
                <c:pt idx="95">
                  <c:v>0</c:v>
                </c:pt>
                <c:pt idx="96">
                  <c:v>8.054003272115931E-3</c:v>
                </c:pt>
                <c:pt idx="97">
                  <c:v>4.1744594293029319E-3</c:v>
                </c:pt>
                <c:pt idx="98">
                  <c:v>0</c:v>
                </c:pt>
                <c:pt idx="99">
                  <c:v>4.5038312884752088E-3</c:v>
                </c:pt>
                <c:pt idx="100">
                  <c:v>2.4758327376699363E-3</c:v>
                </c:pt>
                <c:pt idx="101">
                  <c:v>0</c:v>
                </c:pt>
                <c:pt idx="102">
                  <c:v>4.5162392669286788E-3</c:v>
                </c:pt>
                <c:pt idx="103">
                  <c:v>2.4870383616679564E-3</c:v>
                </c:pt>
                <c:pt idx="104">
                  <c:v>0</c:v>
                </c:pt>
                <c:pt idx="105">
                  <c:v>5.8783299503231135E-3</c:v>
                </c:pt>
                <c:pt idx="106">
                  <c:v>3.1448672633386382E-3</c:v>
                </c:pt>
                <c:pt idx="107">
                  <c:v>0</c:v>
                </c:pt>
                <c:pt idx="108">
                  <c:v>5.1685123029004132E-3</c:v>
                </c:pt>
                <c:pt idx="109">
                  <c:v>2.8021682077467025E-3</c:v>
                </c:pt>
                <c:pt idx="110" formatCode="0.00000">
                  <c:v>0</c:v>
                </c:pt>
                <c:pt idx="111">
                  <c:v>0</c:v>
                </c:pt>
                <c:pt idx="112">
                  <c:v>8.094818986598834E-4</c:v>
                </c:pt>
                <c:pt idx="113">
                  <c:v>7.1707742300858301E-4</c:v>
                </c:pt>
                <c:pt idx="114">
                  <c:v>5.1448859271592019E-4</c:v>
                </c:pt>
                <c:pt idx="115" formatCode="General">
                  <c:v>0</c:v>
                </c:pt>
                <c:pt idx="116">
                  <c:v>0</c:v>
                </c:pt>
                <c:pt idx="117">
                  <c:v>8.4378183489417294E-4</c:v>
                </c:pt>
                <c:pt idx="118">
                  <c:v>7.4671054395598381E-4</c:v>
                </c:pt>
                <c:pt idx="119">
                  <c:v>5.3085190930215326E-4</c:v>
                </c:pt>
                <c:pt idx="120">
                  <c:v>0</c:v>
                </c:pt>
                <c:pt idx="121">
                  <c:v>0</c:v>
                </c:pt>
                <c:pt idx="122">
                  <c:v>8.0917693893891272E-4</c:v>
                </c:pt>
                <c:pt idx="123">
                  <c:v>7.1681395580462486E-4</c:v>
                </c:pt>
                <c:pt idx="124">
                  <c:v>5.143431069509867E-4</c:v>
                </c:pt>
                <c:pt idx="125">
                  <c:v>0</c:v>
                </c:pt>
                <c:pt idx="126">
                  <c:v>0</c:v>
                </c:pt>
                <c:pt idx="127">
                  <c:v>8.0917693893891272E-4</c:v>
                </c:pt>
                <c:pt idx="128">
                  <c:v>7.1681395580462486E-4</c:v>
                </c:pt>
                <c:pt idx="129">
                  <c:v>5.143431069509867E-4</c:v>
                </c:pt>
                <c:pt idx="130">
                  <c:v>0</c:v>
                </c:pt>
                <c:pt idx="131">
                  <c:v>0</c:v>
                </c:pt>
                <c:pt idx="132">
                  <c:v>1.58493466725005E-4</c:v>
                </c:pt>
                <c:pt idx="133">
                  <c:v>1.5478010083903697E-4</c:v>
                </c:pt>
                <c:pt idx="134">
                  <c:v>0</c:v>
                </c:pt>
                <c:pt idx="135">
                  <c:v>0</c:v>
                </c:pt>
                <c:pt idx="136">
                  <c:v>1.5971461973468201E-4</c:v>
                </c:pt>
                <c:pt idx="137">
                  <c:v>1.5599849273626766E-4</c:v>
                </c:pt>
                <c:pt idx="138">
                  <c:v>0</c:v>
                </c:pt>
                <c:pt idx="139">
                  <c:v>0</c:v>
                </c:pt>
                <c:pt idx="140">
                  <c:v>1.4952443033536787E-4</c:v>
                </c:pt>
                <c:pt idx="141">
                  <c:v>1.4583134406858343E-4</c:v>
                </c:pt>
                <c:pt idx="142">
                  <c:v>0</c:v>
                </c:pt>
                <c:pt idx="143">
                  <c:v>0</c:v>
                </c:pt>
                <c:pt idx="144">
                  <c:v>2.359723005246131E-4</c:v>
                </c:pt>
                <c:pt idx="145">
                  <c:v>2.3208374957125674E-4</c:v>
                </c:pt>
                <c:pt idx="146">
                  <c:v>0</c:v>
                </c:pt>
                <c:pt idx="147">
                  <c:v>0</c:v>
                </c:pt>
                <c:pt idx="148">
                  <c:v>9.9515614614340865E-5</c:v>
                </c:pt>
                <c:pt idx="149">
                  <c:v>9.7151997135846296E-5</c:v>
                </c:pt>
                <c:pt idx="150">
                  <c:v>0</c:v>
                </c:pt>
                <c:pt idx="151">
                  <c:v>4.6393566245115647E-3</c:v>
                </c:pt>
                <c:pt idx="152">
                  <c:v>1.9546914718768515E-3</c:v>
                </c:pt>
                <c:pt idx="153">
                  <c:v>0</c:v>
                </c:pt>
                <c:pt idx="154">
                  <c:v>2.6088794044930377E-3</c:v>
                </c:pt>
                <c:pt idx="155">
                  <c:v>1.1344983734424621E-3</c:v>
                </c:pt>
                <c:pt idx="156">
                  <c:v>0</c:v>
                </c:pt>
                <c:pt idx="157">
                  <c:v>2.6094535011540812E-3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0</c:v>
                </c:pt>
                <c:pt idx="1">
                  <c:v>0</c:v>
                </c:pt>
                <c:pt idx="2">
                  <c:v>0</c:v>
                </c:pt>
                <c:pt idx="3">
                  <c:v>0</c:v>
                </c:pt>
                <c:pt idx="4">
                  <c:v>0</c:v>
                </c:pt>
                <c:pt idx="5" formatCode="General">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formatCode="0.00000">
                  <c:v>0</c:v>
                </c:pt>
                <c:pt idx="56">
                  <c:v>0</c:v>
                </c:pt>
                <c:pt idx="57">
                  <c:v>0</c:v>
                </c:pt>
                <c:pt idx="58">
                  <c:v>0</c:v>
                </c:pt>
                <c:pt idx="59">
                  <c:v>0</c:v>
                </c:pt>
                <c:pt idx="60" formatCode="General">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formatCode="0.00000">
                  <c:v>0</c:v>
                </c:pt>
                <c:pt idx="111">
                  <c:v>0</c:v>
                </c:pt>
                <c:pt idx="112">
                  <c:v>0</c:v>
                </c:pt>
                <c:pt idx="113">
                  <c:v>0</c:v>
                </c:pt>
                <c:pt idx="114">
                  <c:v>0</c:v>
                </c:pt>
                <c:pt idx="115" formatCode="General">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0</c:v>
                </c:pt>
                <c:pt idx="1">
                  <c:v>0</c:v>
                </c:pt>
                <c:pt idx="2">
                  <c:v>0</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0</c:v>
                </c:pt>
                <c:pt idx="1">
                  <c:v>0</c:v>
                </c:pt>
                <c:pt idx="2">
                  <c:v>0</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0</c:v>
                </c:pt>
                <c:pt idx="1">
                  <c:v>0</c:v>
                </c:pt>
                <c:pt idx="2">
                  <c:v>0</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0</c:v>
                </c:pt>
                <c:pt idx="1">
                  <c:v>0</c:v>
                </c:pt>
                <c:pt idx="2">
                  <c:v>0</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0</c:v>
                </c:pt>
                <c:pt idx="1">
                  <c:v>0</c:v>
                </c:pt>
                <c:pt idx="2">
                  <c:v>0</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1.2701981899788134E-2</c:v>
                </c:pt>
                <c:pt idx="1">
                  <c:v>7.3685007348169712E-3</c:v>
                </c:pt>
                <c:pt idx="2">
                  <c:v>4.6393566245115647E-3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0</c:v>
                </c:pt>
                <c:pt idx="1">
                  <c:v>0</c:v>
                </c:pt>
                <c:pt idx="2">
                  <c:v>0</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7.0414591282912525E-3</c:v>
                </c:pt>
                <c:pt idx="1">
                  <c:v>4.1417431402014024E-3</c:v>
                </c:pt>
                <c:pt idx="2">
                  <c:v>2.6088794044930377E-3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0</c:v>
                </c:pt>
                <c:pt idx="1">
                  <c:v>0</c:v>
                </c:pt>
                <c:pt idx="2">
                  <c:v>0</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7.1098997496071709E-3</c:v>
                </c:pt>
                <c:pt idx="1">
                  <c:v>4.1503493238524633E-3</c:v>
                </c:pt>
                <c:pt idx="2">
                  <c:v>2.6094535011540812E-3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0</c:v>
                </c:pt>
                <c:pt idx="1">
                  <c:v>0</c:v>
                </c:pt>
                <c:pt idx="2">
                  <c:v>0</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9.2833814533645614E-3</c:v>
                </c:pt>
                <c:pt idx="1">
                  <c:v>5.3991542360820599E-3</c:v>
                </c:pt>
                <c:pt idx="2">
                  <c:v>3.4041103604977863E-3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0</c:v>
                </c:pt>
                <c:pt idx="1">
                  <c:v>0</c:v>
                </c:pt>
                <c:pt idx="2">
                  <c:v>0</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8.1517656946896305E-3</c:v>
                </c:pt>
                <c:pt idx="1">
                  <c:v>4.7483134349781825E-3</c:v>
                </c:pt>
                <c:pt idx="2">
                  <c:v>2.9898538099160307E-3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0</c:v>
                </c:pt>
                <c:pt idx="1">
                  <c:v>0</c:v>
                </c:pt>
                <c:pt idx="2">
                  <c:v>0</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0</c:v>
                </c:pt>
                <c:pt idx="1">
                  <c:v>0</c:v>
                </c:pt>
                <c:pt idx="2">
                  <c:v>0</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0</c:v>
                </c:pt>
                <c:pt idx="1">
                  <c:v>0</c:v>
                </c:pt>
                <c:pt idx="2">
                  <c:v>0</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0</c:v>
                </c:pt>
                <c:pt idx="1">
                  <c:v>0</c:v>
                </c:pt>
                <c:pt idx="2">
                  <c:v>0</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0</c:v>
                </c:pt>
                <c:pt idx="1">
                  <c:v>0</c:v>
                </c:pt>
                <c:pt idx="2">
                  <c:v>0</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0</c:v>
                </c:pt>
                <c:pt idx="1">
                  <c:v>0</c:v>
                </c:pt>
                <c:pt idx="2">
                  <c:v>0</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0</c:v>
                </c:pt>
                <c:pt idx="1">
                  <c:v>0</c:v>
                </c:pt>
                <c:pt idx="2">
                  <c:v>0</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0</c:v>
                </c:pt>
                <c:pt idx="1">
                  <c:v>0</c:v>
                </c:pt>
                <c:pt idx="2">
                  <c:v>0</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0</c:v>
                </c:pt>
                <c:pt idx="1">
                  <c:v>0</c:v>
                </c:pt>
                <c:pt idx="2">
                  <c:v>0</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0</c:v>
                </c:pt>
                <c:pt idx="1">
                  <c:v>0</c:v>
                </c:pt>
                <c:pt idx="2">
                  <c:v>0</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0</c:v>
                </c:pt>
                <c:pt idx="1">
                  <c:v>0</c:v>
                </c:pt>
                <c:pt idx="2">
                  <c:v>0</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0</c:v>
                </c:pt>
                <c:pt idx="1">
                  <c:v>0</c:v>
                </c:pt>
                <c:pt idx="2">
                  <c:v>0</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0</c:v>
                </c:pt>
                <c:pt idx="1">
                  <c:v>0</c:v>
                </c:pt>
                <c:pt idx="2">
                  <c:v>0</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0</c:v>
                </c:pt>
                <c:pt idx="1">
                  <c:v>0</c:v>
                </c:pt>
                <c:pt idx="2">
                  <c:v>0</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0</c:v>
                </c:pt>
                <c:pt idx="1">
                  <c:v>0</c:v>
                </c:pt>
                <c:pt idx="2">
                  <c:v>0</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0</c:v>
                </c:pt>
                <c:pt idx="1">
                  <c:v>0</c:v>
                </c:pt>
                <c:pt idx="2">
                  <c:v>0</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0</c:v>
                </c:pt>
                <c:pt idx="1">
                  <c:v>0</c:v>
                </c:pt>
                <c:pt idx="2">
                  <c:v>0</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0</c:v>
                </c:pt>
                <c:pt idx="1">
                  <c:v>0</c:v>
                </c:pt>
                <c:pt idx="2">
                  <c:v>0</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0</c:v>
                </c:pt>
                <c:pt idx="1">
                  <c:v>0</c:v>
                </c:pt>
                <c:pt idx="2">
                  <c:v>0</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0</c:v>
                </c:pt>
                <c:pt idx="1">
                  <c:v>0</c:v>
                </c:pt>
                <c:pt idx="2">
                  <c:v>0</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0</c:v>
                </c:pt>
                <c:pt idx="1">
                  <c:v>0</c:v>
                </c:pt>
                <c:pt idx="2">
                  <c:v>0</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0</c:v>
                </c:pt>
                <c:pt idx="1">
                  <c:v>0</c:v>
                </c:pt>
                <c:pt idx="2">
                  <c:v>0</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0</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0</c:v>
                </c:pt>
                <c:pt idx="1">
                  <c:v>0</c:v>
                </c:pt>
                <c:pt idx="2">
                  <c:v>0</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0</c:v>
                </c:pt>
                <c:pt idx="1">
                  <c:v>0</c:v>
                </c:pt>
                <c:pt idx="2">
                  <c:v>0</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0</c:v>
                </c:pt>
                <c:pt idx="1">
                  <c:v>0</c:v>
                </c:pt>
                <c:pt idx="2">
                  <c:v>0</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0</c:v>
                </c:pt>
                <c:pt idx="1">
                  <c:v>0</c:v>
                </c:pt>
                <c:pt idx="2">
                  <c:v>0</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0</c:v>
                </c:pt>
                <c:pt idx="1">
                  <c:v>0</c:v>
                </c:pt>
                <c:pt idx="2">
                  <c:v>0</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0</c:v>
                </c:pt>
                <c:pt idx="1">
                  <c:v>0</c:v>
                </c:pt>
                <c:pt idx="2">
                  <c:v>0</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0</c:v>
                </c:pt>
                <c:pt idx="1">
                  <c:v>0</c:v>
                </c:pt>
                <c:pt idx="2">
                  <c:v>0</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0</c:v>
                </c:pt>
                <c:pt idx="1">
                  <c:v>0</c:v>
                </c:pt>
                <c:pt idx="2">
                  <c:v>0</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0</c:v>
                </c:pt>
                <c:pt idx="1">
                  <c:v>0</c:v>
                </c:pt>
                <c:pt idx="2">
                  <c:v>0</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0</c:v>
                </c:pt>
                <c:pt idx="1">
                  <c:v>0</c:v>
                </c:pt>
                <c:pt idx="2">
                  <c:v>0</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0</c:v>
                </c:pt>
                <c:pt idx="1">
                  <c:v>0</c:v>
                </c:pt>
                <c:pt idx="2">
                  <c:v>0</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0</c:v>
                </c:pt>
                <c:pt idx="1">
                  <c:v>0</c:v>
                </c:pt>
                <c:pt idx="2">
                  <c:v>0</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0</c:v>
                </c:pt>
                <c:pt idx="1">
                  <c:v>0</c:v>
                </c:pt>
                <c:pt idx="2">
                  <c:v>0</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0</c:v>
                </c:pt>
                <c:pt idx="1">
                  <c:v>0</c:v>
                </c:pt>
                <c:pt idx="2">
                  <c:v>0</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0</c:v>
                </c:pt>
                <c:pt idx="1">
                  <c:v>0</c:v>
                </c:pt>
                <c:pt idx="2">
                  <c:v>0</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0</c:v>
                </c:pt>
                <c:pt idx="1">
                  <c:v>0</c:v>
                </c:pt>
                <c:pt idx="2">
                  <c:v>0</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0</c:v>
                </c:pt>
                <c:pt idx="1">
                  <c:v>0</c:v>
                </c:pt>
                <c:pt idx="2">
                  <c:v>0</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0</c:v>
                </c:pt>
                <c:pt idx="1">
                  <c:v>0</c:v>
                </c:pt>
                <c:pt idx="2">
                  <c:v>0</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0</c:v>
                </c:pt>
                <c:pt idx="1">
                  <c:v>0</c:v>
                </c:pt>
                <c:pt idx="2">
                  <c:v>0</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0</c:v>
                </c:pt>
                <c:pt idx="1">
                  <c:v>0</c:v>
                </c:pt>
                <c:pt idx="2">
                  <c:v>0</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0</c:v>
                </c:pt>
                <c:pt idx="1">
                  <c:v>0</c:v>
                </c:pt>
                <c:pt idx="2">
                  <c:v>0</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0</c:v>
                </c:pt>
                <c:pt idx="1">
                  <c:v>0</c:v>
                </c:pt>
                <c:pt idx="2">
                  <c:v>0</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0</c:v>
                </c:pt>
                <c:pt idx="1">
                  <c:v>0</c:v>
                </c:pt>
                <c:pt idx="2">
                  <c:v>0</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102</xdr:row>
      <xdr:rowOff>38865</xdr:rowOff>
    </xdr:from>
    <xdr:to>
      <xdr:col>27</xdr:col>
      <xdr:colOff>586918</xdr:colOff>
      <xdr:row>121</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81</xdr:row>
      <xdr:rowOff>159291</xdr:rowOff>
    </xdr:from>
    <xdr:to>
      <xdr:col>33</xdr:col>
      <xdr:colOff>41151</xdr:colOff>
      <xdr:row>101</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102</xdr:row>
      <xdr:rowOff>29919</xdr:rowOff>
    </xdr:from>
    <xdr:to>
      <xdr:col>33</xdr:col>
      <xdr:colOff>74573</xdr:colOff>
      <xdr:row>121</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165</xdr:row>
      <xdr:rowOff>128182</xdr:rowOff>
    </xdr:from>
    <xdr:to>
      <xdr:col>27</xdr:col>
      <xdr:colOff>303252</xdr:colOff>
      <xdr:row>184</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184</xdr:row>
      <xdr:rowOff>153037</xdr:rowOff>
    </xdr:from>
    <xdr:to>
      <xdr:col>27</xdr:col>
      <xdr:colOff>297732</xdr:colOff>
      <xdr:row>204</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185</xdr:row>
      <xdr:rowOff>4218</xdr:rowOff>
    </xdr:from>
    <xdr:to>
      <xdr:col>32</xdr:col>
      <xdr:colOff>1355795</xdr:colOff>
      <xdr:row>204</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165</xdr:row>
      <xdr:rowOff>128464</xdr:rowOff>
    </xdr:from>
    <xdr:to>
      <xdr:col>32</xdr:col>
      <xdr:colOff>1332849</xdr:colOff>
      <xdr:row>184</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233</xdr:row>
      <xdr:rowOff>159772</xdr:rowOff>
    </xdr:from>
    <xdr:to>
      <xdr:col>27</xdr:col>
      <xdr:colOff>844360</xdr:colOff>
      <xdr:row>246</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247</xdr:row>
      <xdr:rowOff>22103</xdr:rowOff>
    </xdr:from>
    <xdr:to>
      <xdr:col>27</xdr:col>
      <xdr:colOff>857698</xdr:colOff>
      <xdr:row>260</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247</xdr:row>
      <xdr:rowOff>71044</xdr:rowOff>
    </xdr:from>
    <xdr:to>
      <xdr:col>33</xdr:col>
      <xdr:colOff>222548</xdr:colOff>
      <xdr:row>259</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260</xdr:row>
      <xdr:rowOff>168087</xdr:rowOff>
    </xdr:from>
    <xdr:to>
      <xdr:col>27</xdr:col>
      <xdr:colOff>850301</xdr:colOff>
      <xdr:row>274</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233</xdr:row>
      <xdr:rowOff>158346</xdr:rowOff>
    </xdr:from>
    <xdr:to>
      <xdr:col>33</xdr:col>
      <xdr:colOff>257741</xdr:colOff>
      <xdr:row>246</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C47" sqref="C47"/>
    </sheetView>
  </sheetViews>
  <sheetFormatPr defaultRowHeight="15" x14ac:dyDescent="0.25"/>
  <sheetData>
    <row r="1" spans="1:1" x14ac:dyDescent="0.25">
      <c r="A1" t="s">
        <v>248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L107"/>
  <sheetViews>
    <sheetView tabSelected="1" topLeftCell="B1" zoomScaleNormal="100" workbookViewId="0">
      <selection activeCell="K1" sqref="K1:L1"/>
    </sheetView>
  </sheetViews>
  <sheetFormatPr defaultRowHeight="15" x14ac:dyDescent="0.25"/>
  <cols>
    <col min="1" max="1" width="24.140625" customWidth="1"/>
    <col min="2" max="2" width="15.28515625" bestFit="1" customWidth="1"/>
    <col min="3" max="3" width="12.7109375" bestFit="1" customWidth="1"/>
    <col min="4" max="4" width="12.28515625" customWidth="1"/>
    <col min="5" max="5" width="8.28515625" customWidth="1"/>
    <col min="6" max="6" width="22.7109375" customWidth="1"/>
    <col min="7" max="7" width="24.28515625" customWidth="1"/>
    <col min="8" max="8" width="19.7109375" customWidth="1"/>
    <col min="9" max="9" width="27.5703125" customWidth="1"/>
    <col min="10" max="10" width="22.28515625" customWidth="1"/>
    <col min="11" max="11" width="31.7109375" customWidth="1"/>
    <col min="12" max="12" width="26.140625" bestFit="1" customWidth="1"/>
  </cols>
  <sheetData>
    <row r="1" spans="1:12" x14ac:dyDescent="0.25">
      <c r="A1" s="125" t="s">
        <v>232</v>
      </c>
      <c r="B1" s="133" t="s">
        <v>236</v>
      </c>
      <c r="C1" s="133" t="s">
        <v>242</v>
      </c>
      <c r="D1" s="133" t="s">
        <v>246</v>
      </c>
      <c r="E1" s="133" t="s">
        <v>247</v>
      </c>
      <c r="F1" s="133" t="s">
        <v>425</v>
      </c>
      <c r="G1" s="133" t="s">
        <v>426</v>
      </c>
      <c r="H1" s="133" t="s">
        <v>427</v>
      </c>
      <c r="I1" s="133" t="s">
        <v>491</v>
      </c>
      <c r="J1" s="133" t="s">
        <v>493</v>
      </c>
      <c r="K1" s="133" t="s">
        <v>492</v>
      </c>
      <c r="L1" s="133" t="s">
        <v>490</v>
      </c>
    </row>
    <row r="2" spans="1:12" x14ac:dyDescent="0.25">
      <c r="A2">
        <v>1</v>
      </c>
      <c r="B2" s="134" t="s">
        <v>222</v>
      </c>
      <c r="C2" s="135" t="s">
        <v>243</v>
      </c>
      <c r="D2" s="135" t="s">
        <v>168</v>
      </c>
      <c r="E2" s="135" t="s">
        <v>227</v>
      </c>
      <c r="F2" s="136">
        <f t="shared" ref="F2:F7" si="0">C44+C61</f>
        <v>6</v>
      </c>
      <c r="G2">
        <f>D25+I25+D30+I30</f>
        <v>14.924469136612977</v>
      </c>
      <c r="H2" s="125">
        <f>F2+G2</f>
        <v>20.924469136612977</v>
      </c>
      <c r="I2" s="166">
        <f>B88/60+(B97*('Parameter Input'!B215*'Parameter Input'!B216))/60</f>
        <v>19.46</v>
      </c>
      <c r="J2" s="166">
        <f>(B97*('Parameter Input'!B150*'Parameter Input'!B151))/60</f>
        <v>2.3893333333333335</v>
      </c>
      <c r="K2" s="166">
        <f>I2+J2</f>
        <v>21.849333333333334</v>
      </c>
      <c r="L2">
        <f>B105</f>
        <v>24</v>
      </c>
    </row>
    <row r="3" spans="1:12" x14ac:dyDescent="0.25">
      <c r="A3">
        <v>2</v>
      </c>
      <c r="B3" s="137" t="s">
        <v>222</v>
      </c>
      <c r="C3" t="s">
        <v>244</v>
      </c>
      <c r="D3" t="s">
        <v>168</v>
      </c>
      <c r="E3" t="s">
        <v>221</v>
      </c>
      <c r="F3" s="138">
        <f t="shared" si="0"/>
        <v>8</v>
      </c>
      <c r="G3">
        <f>D25+I25+D36+I36</f>
        <v>22.96171802054155</v>
      </c>
      <c r="H3" s="125">
        <f t="shared" ref="H3:H16" si="1">F3+G3</f>
        <v>30.96171802054155</v>
      </c>
      <c r="I3" s="166">
        <f>B88/60+(B97*('Parameter Input'!B215*'Parameter Input'!B216))/60</f>
        <v>19.46</v>
      </c>
      <c r="J3" s="166">
        <f>(B97*('Parameter Input'!B80*'Parameter Input'!B81))/60</f>
        <v>2.3333333333333331E-2</v>
      </c>
      <c r="K3" s="166">
        <f t="shared" ref="K3:K16" si="2">I3+J3</f>
        <v>19.483333333333334</v>
      </c>
      <c r="L3">
        <f>B105</f>
        <v>24</v>
      </c>
    </row>
    <row r="4" spans="1:12" x14ac:dyDescent="0.25">
      <c r="A4">
        <v>3</v>
      </c>
      <c r="B4" s="137" t="s">
        <v>222</v>
      </c>
      <c r="C4" t="s">
        <v>245</v>
      </c>
      <c r="D4" t="s">
        <v>227</v>
      </c>
      <c r="E4" t="s">
        <v>221</v>
      </c>
      <c r="F4" s="138">
        <f t="shared" si="0"/>
        <v>6</v>
      </c>
      <c r="G4">
        <f>D30+I30+D36+I36</f>
        <v>12.105608258928573</v>
      </c>
      <c r="H4" s="125">
        <f t="shared" si="1"/>
        <v>18.105608258928573</v>
      </c>
      <c r="I4" s="166">
        <f>B97*('Parameter Input'!B150*'Parameter Input'!B151)/60</f>
        <v>2.3893333333333335</v>
      </c>
      <c r="J4" s="166">
        <f>B97*('Parameter Input'!B80*'Parameter Input'!B81)/60</f>
        <v>2.3333333333333331E-2</v>
      </c>
      <c r="K4" s="166">
        <f t="shared" si="2"/>
        <v>2.412666666666667</v>
      </c>
      <c r="L4">
        <f>B105</f>
        <v>24</v>
      </c>
    </row>
    <row r="5" spans="1:12" x14ac:dyDescent="0.25">
      <c r="A5">
        <v>4</v>
      </c>
      <c r="B5" s="167" t="s">
        <v>223</v>
      </c>
      <c r="C5" s="168" t="s">
        <v>243</v>
      </c>
      <c r="D5" s="135" t="s">
        <v>168</v>
      </c>
      <c r="E5" s="135" t="s">
        <v>227</v>
      </c>
      <c r="F5" s="136">
        <f t="shared" si="0"/>
        <v>14</v>
      </c>
      <c r="G5">
        <v>0</v>
      </c>
      <c r="H5" s="125">
        <v>0</v>
      </c>
      <c r="I5" s="166">
        <v>0</v>
      </c>
      <c r="J5" s="166">
        <v>0</v>
      </c>
      <c r="K5" s="166">
        <v>0</v>
      </c>
      <c r="L5" s="166">
        <v>0</v>
      </c>
    </row>
    <row r="6" spans="1:12" x14ac:dyDescent="0.25">
      <c r="A6">
        <v>5</v>
      </c>
      <c r="B6" s="169" t="s">
        <v>223</v>
      </c>
      <c r="C6" s="170" t="s">
        <v>244</v>
      </c>
      <c r="D6" t="s">
        <v>168</v>
      </c>
      <c r="E6" t="s">
        <v>221</v>
      </c>
      <c r="F6" s="138">
        <f t="shared" si="0"/>
        <v>17</v>
      </c>
      <c r="G6">
        <v>0</v>
      </c>
      <c r="H6" s="125">
        <v>0</v>
      </c>
      <c r="I6" s="166">
        <v>0</v>
      </c>
      <c r="J6" s="166">
        <v>0</v>
      </c>
      <c r="K6" s="166">
        <v>0</v>
      </c>
      <c r="L6" s="166">
        <v>0</v>
      </c>
    </row>
    <row r="7" spans="1:12" x14ac:dyDescent="0.25">
      <c r="A7">
        <v>6</v>
      </c>
      <c r="B7" s="139" t="s">
        <v>223</v>
      </c>
      <c r="C7" s="140" t="s">
        <v>245</v>
      </c>
      <c r="D7" s="140" t="s">
        <v>227</v>
      </c>
      <c r="E7" s="140" t="s">
        <v>221</v>
      </c>
      <c r="F7" s="138">
        <f t="shared" si="0"/>
        <v>14</v>
      </c>
      <c r="G7">
        <f>D32+I32+D38+I38</f>
        <v>30.901436941964285</v>
      </c>
      <c r="H7" s="125">
        <f t="shared" si="1"/>
        <v>44.901436941964285</v>
      </c>
      <c r="I7" s="166">
        <f>B99*('Parameter Input'!B162*'Parameter Input'!B163)/60</f>
        <v>15.928888888888888</v>
      </c>
      <c r="J7" s="166">
        <f>B99*('Parameter Input'!B92*'Parameter Input'!B93)/60</f>
        <v>0.26666666666666666</v>
      </c>
      <c r="K7" s="166">
        <f t="shared" si="2"/>
        <v>16.195555555555554</v>
      </c>
      <c r="L7">
        <f>B107</f>
        <v>24</v>
      </c>
    </row>
    <row r="8" spans="1:12" x14ac:dyDescent="0.25">
      <c r="A8">
        <v>7</v>
      </c>
      <c r="B8" s="137" t="s">
        <v>224</v>
      </c>
      <c r="C8" t="s">
        <v>243</v>
      </c>
      <c r="D8" t="s">
        <v>168</v>
      </c>
      <c r="E8" t="s">
        <v>227</v>
      </c>
      <c r="F8" s="136">
        <f>C50+C67-F43</f>
        <v>76</v>
      </c>
      <c r="G8">
        <f>D23+I23+D28+I28</f>
        <v>416.07027392776394</v>
      </c>
      <c r="H8" s="125">
        <f t="shared" si="1"/>
        <v>492.07027392776394</v>
      </c>
      <c r="I8" s="166">
        <f>B89/60+(B95*'Parameter Input'!B227*'Parameter Input'!B228)/60</f>
        <v>23.358333333333334</v>
      </c>
      <c r="J8" s="166">
        <f>B95*('Parameter Input'!B174*'Parameter Input'!B175)/60</f>
        <v>3.9822222222222221</v>
      </c>
      <c r="K8" s="166">
        <f t="shared" si="2"/>
        <v>27.340555555555557</v>
      </c>
      <c r="L8">
        <f>B103</f>
        <v>8</v>
      </c>
    </row>
    <row r="9" spans="1:12" x14ac:dyDescent="0.25">
      <c r="A9">
        <v>8</v>
      </c>
      <c r="B9" s="137" t="s">
        <v>224</v>
      </c>
      <c r="C9" t="s">
        <v>244</v>
      </c>
      <c r="D9" t="s">
        <v>168</v>
      </c>
      <c r="E9" t="s">
        <v>221</v>
      </c>
      <c r="F9" s="138">
        <f>C51+C68-F43</f>
        <v>37</v>
      </c>
      <c r="G9">
        <f>D23+I23+D34+I34</f>
        <v>389.18687306402171</v>
      </c>
      <c r="H9" s="125">
        <f t="shared" si="1"/>
        <v>426.18687306402171</v>
      </c>
      <c r="I9" s="166">
        <f>B89/60+(B95*'Parameter Input'!B227*'Parameter Input'!B228)/60</f>
        <v>23.358333333333334</v>
      </c>
      <c r="J9" s="166">
        <f>B95*('Parameter Input'!B105*'Parameter Input'!B106)/60</f>
        <v>6.3888888888888898E-2</v>
      </c>
      <c r="K9" s="166">
        <f t="shared" si="2"/>
        <v>23.422222222222224</v>
      </c>
      <c r="L9">
        <f>B103</f>
        <v>8</v>
      </c>
    </row>
    <row r="10" spans="1:12" x14ac:dyDescent="0.25">
      <c r="A10">
        <v>9</v>
      </c>
      <c r="B10" s="137" t="s">
        <v>224</v>
      </c>
      <c r="C10" t="s">
        <v>245</v>
      </c>
      <c r="D10" t="s">
        <v>227</v>
      </c>
      <c r="E10" t="s">
        <v>221</v>
      </c>
      <c r="F10" s="138">
        <f>C52+C69-F43</f>
        <v>55</v>
      </c>
      <c r="G10">
        <f>D28+I28+D34+I34</f>
        <v>407.18774868982922</v>
      </c>
      <c r="H10" s="125">
        <f t="shared" si="1"/>
        <v>462.18774868982922</v>
      </c>
      <c r="I10" s="166">
        <f>B95*('Parameter Input'!B174*'Parameter Input'!B175)/60</f>
        <v>3.9822222222222221</v>
      </c>
      <c r="J10" s="166">
        <f>B95*('Parameter Input'!B105*'Parameter Input'!B106)/60</f>
        <v>6.3888888888888898E-2</v>
      </c>
      <c r="K10" s="166">
        <f t="shared" si="2"/>
        <v>4.0461111111111112</v>
      </c>
      <c r="L10">
        <f>B103</f>
        <v>8</v>
      </c>
    </row>
    <row r="11" spans="1:12" x14ac:dyDescent="0.25">
      <c r="A11">
        <v>10</v>
      </c>
      <c r="B11" s="134" t="s">
        <v>225</v>
      </c>
      <c r="C11" s="135" t="s">
        <v>243</v>
      </c>
      <c r="D11" s="135" t="s">
        <v>168</v>
      </c>
      <c r="E11" s="135" t="s">
        <v>227</v>
      </c>
      <c r="F11" s="136">
        <f t="shared" ref="F11:F16" si="3">C53+C70</f>
        <v>311</v>
      </c>
      <c r="G11">
        <f>D24+I24+D29+I29</f>
        <v>311.03817536630032</v>
      </c>
      <c r="H11" s="125">
        <f t="shared" si="1"/>
        <v>622.03817536630027</v>
      </c>
      <c r="I11" s="166">
        <f>B90/60+(B96*('Parameter Input'!B239*'Parameter Input'!B240))/60</f>
        <v>21.208333333333336</v>
      </c>
      <c r="J11" s="166">
        <f>B96*('Parameter Input'!B186*'Parameter Input'!B187)/60</f>
        <v>6.7200000000000006</v>
      </c>
      <c r="K11" s="166">
        <f t="shared" si="2"/>
        <v>27.928333333333335</v>
      </c>
      <c r="L11">
        <f>B104</f>
        <v>8</v>
      </c>
    </row>
    <row r="12" spans="1:12" x14ac:dyDescent="0.25">
      <c r="A12">
        <v>11</v>
      </c>
      <c r="B12" s="137" t="s">
        <v>225</v>
      </c>
      <c r="C12" t="s">
        <v>244</v>
      </c>
      <c r="D12" t="s">
        <v>168</v>
      </c>
      <c r="E12" t="s">
        <v>221</v>
      </c>
      <c r="F12" s="138">
        <f t="shared" si="3"/>
        <v>294</v>
      </c>
      <c r="G12">
        <f>D24+I24+D35+I35</f>
        <v>239.32144184318099</v>
      </c>
      <c r="H12" s="125">
        <f t="shared" si="1"/>
        <v>533.32144184318099</v>
      </c>
      <c r="I12" s="166">
        <f>B90/60+(B96*('Parameter Input'!B239*'Parameter Input'!B240))/60</f>
        <v>21.208333333333336</v>
      </c>
      <c r="J12" s="166">
        <f>B96*('Parameter Input'!B118*'Parameter Input'!B119)/60</f>
        <v>6.3888888888888898E-2</v>
      </c>
      <c r="K12" s="166">
        <f t="shared" si="2"/>
        <v>21.272222222222226</v>
      </c>
      <c r="L12">
        <f>B104</f>
        <v>8</v>
      </c>
    </row>
    <row r="13" spans="1:12" x14ac:dyDescent="0.25">
      <c r="A13">
        <v>12</v>
      </c>
      <c r="B13" s="139" t="s">
        <v>225</v>
      </c>
      <c r="C13" s="140" t="s">
        <v>245</v>
      </c>
      <c r="D13" s="140" t="s">
        <v>227</v>
      </c>
      <c r="E13" s="140" t="s">
        <v>221</v>
      </c>
      <c r="F13" s="138">
        <f t="shared" si="3"/>
        <v>417</v>
      </c>
      <c r="G13">
        <f>D29+I29+D35+I35</f>
        <v>362.32542917529332</v>
      </c>
      <c r="H13" s="125">
        <f t="shared" si="1"/>
        <v>779.32542917529327</v>
      </c>
      <c r="I13" s="166">
        <f>B96*('Parameter Input'!B186*'Parameter Input'!B187)/60</f>
        <v>6.7200000000000006</v>
      </c>
      <c r="J13" s="166">
        <f>B96*('Parameter Input'!B118*'Parameter Input'!B119)/60</f>
        <v>6.3888888888888898E-2</v>
      </c>
      <c r="K13" s="166">
        <f t="shared" si="2"/>
        <v>6.7838888888888897</v>
      </c>
      <c r="L13">
        <f>B104</f>
        <v>8</v>
      </c>
    </row>
    <row r="14" spans="1:12" x14ac:dyDescent="0.25">
      <c r="A14">
        <v>13</v>
      </c>
      <c r="B14" s="134" t="s">
        <v>226</v>
      </c>
      <c r="C14" s="135" t="s">
        <v>243</v>
      </c>
      <c r="D14" s="135" t="s">
        <v>168</v>
      </c>
      <c r="E14" s="135" t="s">
        <v>227</v>
      </c>
      <c r="F14" s="136">
        <f t="shared" si="3"/>
        <v>107</v>
      </c>
      <c r="G14">
        <f>D26+I26+D31+I31</f>
        <v>95.190178328275749</v>
      </c>
      <c r="H14" s="125">
        <f t="shared" si="1"/>
        <v>202.19017832827575</v>
      </c>
      <c r="I14" s="166">
        <f>B90/60+(B98*'Parameter Input'!B252*'Parameter Input'!B253)/60</f>
        <v>38.218333333333341</v>
      </c>
      <c r="J14" s="166">
        <f>(B98*'Parameter Input'!B197*'Parameter Input'!B198)/60</f>
        <v>6.9688888888888885</v>
      </c>
      <c r="K14" s="166">
        <f t="shared" si="2"/>
        <v>45.187222222222232</v>
      </c>
      <c r="L14">
        <f>B106</f>
        <v>24</v>
      </c>
    </row>
    <row r="15" spans="1:12" x14ac:dyDescent="0.25">
      <c r="A15">
        <v>14</v>
      </c>
      <c r="B15" s="137" t="s">
        <v>226</v>
      </c>
      <c r="C15" t="s">
        <v>244</v>
      </c>
      <c r="D15" t="s">
        <v>168</v>
      </c>
      <c r="E15" t="s">
        <v>221</v>
      </c>
      <c r="F15" s="138">
        <f t="shared" si="3"/>
        <v>102</v>
      </c>
      <c r="G15">
        <f>D26+I26+D37+I37</f>
        <v>105.19854886399004</v>
      </c>
      <c r="H15" s="125">
        <f t="shared" si="1"/>
        <v>207.19854886399003</v>
      </c>
      <c r="I15" s="166">
        <f>B90/60+(B98*'Parameter Input'!B252*'Parameter Input'!B253)/60</f>
        <v>38.218333333333341</v>
      </c>
      <c r="J15" s="166">
        <f>(B98*'Parameter Input'!B132*'Parameter Input'!B133)/60</f>
        <v>9.3333333333333338E-2</v>
      </c>
      <c r="K15" s="166">
        <f t="shared" si="2"/>
        <v>38.311666666666675</v>
      </c>
      <c r="L15">
        <f>B106</f>
        <v>24</v>
      </c>
    </row>
    <row r="16" spans="1:12" x14ac:dyDescent="0.25">
      <c r="A16">
        <v>15</v>
      </c>
      <c r="B16" s="139" t="s">
        <v>226</v>
      </c>
      <c r="C16" s="140" t="s">
        <v>245</v>
      </c>
      <c r="D16" s="140" t="s">
        <v>227</v>
      </c>
      <c r="E16" s="140" t="s">
        <v>221</v>
      </c>
      <c r="F16" s="141">
        <f t="shared" si="3"/>
        <v>57</v>
      </c>
      <c r="G16">
        <f>D31+I31+D37+I37</f>
        <v>48.366629464285715</v>
      </c>
      <c r="H16" s="125">
        <f t="shared" si="1"/>
        <v>105.36662946428572</v>
      </c>
      <c r="I16" s="166">
        <f>(B98*'Parameter Input'!B197*'Parameter Input'!B198)/60</f>
        <v>6.9688888888888885</v>
      </c>
      <c r="J16" s="166">
        <f>(B98*'Parameter Input'!B132*'Parameter Input'!B133)/60</f>
        <v>9.3333333333333338E-2</v>
      </c>
      <c r="K16" s="166">
        <f t="shared" si="2"/>
        <v>7.0622222222222222</v>
      </c>
      <c r="L16">
        <f>B106</f>
        <v>24</v>
      </c>
    </row>
    <row r="19" spans="1:9" x14ac:dyDescent="0.25">
      <c r="A19" t="s">
        <v>428</v>
      </c>
    </row>
    <row r="21" spans="1:9" x14ac:dyDescent="0.25">
      <c r="A21" s="171" t="s">
        <v>429</v>
      </c>
    </row>
    <row r="22" spans="1:9" x14ac:dyDescent="0.25">
      <c r="B22" t="s">
        <v>236</v>
      </c>
      <c r="C22" t="s">
        <v>219</v>
      </c>
      <c r="D22" t="s">
        <v>430</v>
      </c>
      <c r="E22" t="s">
        <v>431</v>
      </c>
      <c r="H22" s="172" t="s">
        <v>432</v>
      </c>
      <c r="I22" t="s">
        <v>430</v>
      </c>
    </row>
    <row r="23" spans="1:9" ht="14.45" customHeight="1" x14ac:dyDescent="0.25">
      <c r="A23" t="s">
        <v>433</v>
      </c>
      <c r="B23" t="s">
        <v>224</v>
      </c>
      <c r="C23" t="s">
        <v>168</v>
      </c>
      <c r="D23">
        <v>199</v>
      </c>
      <c r="E23">
        <v>188</v>
      </c>
      <c r="F23" t="s">
        <v>434</v>
      </c>
      <c r="I23">
        <f>E23/('Parameter Input'!B227*'Parameter Input'!B228)</f>
        <v>3.4699150978220746E-2</v>
      </c>
    </row>
    <row r="24" spans="1:9" x14ac:dyDescent="0.25">
      <c r="A24" t="s">
        <v>435</v>
      </c>
      <c r="B24" t="s">
        <v>225</v>
      </c>
      <c r="C24" t="s">
        <v>168</v>
      </c>
      <c r="D24">
        <v>94</v>
      </c>
      <c r="E24">
        <v>84</v>
      </c>
      <c r="I24">
        <f>E24/('Parameter Input'!B239*'Parameter Input'!B240)</f>
        <v>1.7094017094017096E-2</v>
      </c>
    </row>
    <row r="25" spans="1:9" x14ac:dyDescent="0.25">
      <c r="A25" t="s">
        <v>436</v>
      </c>
      <c r="B25" t="s">
        <v>437</v>
      </c>
      <c r="C25" t="s">
        <v>168</v>
      </c>
      <c r="D25">
        <v>7</v>
      </c>
      <c r="E25">
        <v>37851</v>
      </c>
      <c r="I25">
        <f>E25/('Parameter Input'!B215*'Parameter Input'!B216)</f>
        <v>5.890289449112978</v>
      </c>
    </row>
    <row r="26" spans="1:9" x14ac:dyDescent="0.25">
      <c r="A26" t="s">
        <v>438</v>
      </c>
      <c r="B26" t="s">
        <v>226</v>
      </c>
      <c r="C26" t="s">
        <v>168</v>
      </c>
      <c r="D26">
        <v>76</v>
      </c>
      <c r="E26">
        <v>71</v>
      </c>
      <c r="I26">
        <f>E26/('Parameter Input'!B252*'Parameter Input'!B253)</f>
        <v>1.1048863990040458E-2</v>
      </c>
    </row>
    <row r="28" spans="1:9" x14ac:dyDescent="0.25">
      <c r="A28" t="s">
        <v>439</v>
      </c>
      <c r="B28" t="s">
        <v>224</v>
      </c>
      <c r="C28" t="s">
        <v>227</v>
      </c>
      <c r="D28">
        <v>217</v>
      </c>
      <c r="E28">
        <v>34</v>
      </c>
      <c r="F28" t="s">
        <v>440</v>
      </c>
      <c r="I28">
        <f>E28/('Parameter Input'!B174*'Parameter Input'!B175)</f>
        <v>3.5574776785714288E-2</v>
      </c>
    </row>
    <row r="29" spans="1:9" x14ac:dyDescent="0.25">
      <c r="A29" t="s">
        <v>441</v>
      </c>
      <c r="B29" t="s">
        <v>225</v>
      </c>
      <c r="C29" t="s">
        <v>227</v>
      </c>
      <c r="D29">
        <v>217</v>
      </c>
      <c r="E29">
        <v>34</v>
      </c>
      <c r="I29">
        <f>E29/('Parameter Input'!B186*'Parameter Input'!B187)</f>
        <v>2.1081349206349204E-2</v>
      </c>
    </row>
    <row r="30" spans="1:9" x14ac:dyDescent="0.25">
      <c r="A30" t="s">
        <v>442</v>
      </c>
      <c r="B30" t="s">
        <v>437</v>
      </c>
      <c r="C30" t="s">
        <v>227</v>
      </c>
      <c r="D30">
        <v>2</v>
      </c>
      <c r="E30">
        <v>49</v>
      </c>
      <c r="I30">
        <f>E30/('Parameter Input'!B150*'Parameter Input'!B151)</f>
        <v>3.41796875E-2</v>
      </c>
    </row>
    <row r="31" spans="1:9" x14ac:dyDescent="0.25">
      <c r="A31" t="s">
        <v>443</v>
      </c>
      <c r="B31" t="s">
        <v>226</v>
      </c>
      <c r="C31" t="s">
        <v>227</v>
      </c>
      <c r="D31">
        <v>19</v>
      </c>
      <c r="E31">
        <v>214</v>
      </c>
      <c r="I31">
        <f>E31/('Parameter Input'!B197*'Parameter Input'!B198)</f>
        <v>0.17912946428571427</v>
      </c>
    </row>
    <row r="32" spans="1:9" x14ac:dyDescent="0.25">
      <c r="A32" t="s">
        <v>444</v>
      </c>
      <c r="B32" t="s">
        <v>223</v>
      </c>
      <c r="C32" t="s">
        <v>227</v>
      </c>
      <c r="D32">
        <v>9</v>
      </c>
      <c r="E32">
        <v>85</v>
      </c>
      <c r="I32">
        <f>E32/('Parameter Input'!B162*'Parameter Input'!B163)</f>
        <v>8.8936941964285712E-2</v>
      </c>
    </row>
    <row r="34" spans="1:9" x14ac:dyDescent="0.25">
      <c r="A34" t="s">
        <v>445</v>
      </c>
      <c r="B34" t="s">
        <v>224</v>
      </c>
      <c r="C34" t="s">
        <v>221</v>
      </c>
      <c r="D34">
        <v>179</v>
      </c>
      <c r="E34">
        <v>171</v>
      </c>
      <c r="F34" t="s">
        <v>446</v>
      </c>
      <c r="I34">
        <f>E34/('Parameter Input'!B105*'Parameter Input'!B106)</f>
        <v>11.152173913043477</v>
      </c>
    </row>
    <row r="35" spans="1:9" x14ac:dyDescent="0.25">
      <c r="A35" t="s">
        <v>447</v>
      </c>
      <c r="B35" t="s">
        <v>225</v>
      </c>
      <c r="C35" t="s">
        <v>221</v>
      </c>
      <c r="D35">
        <v>135</v>
      </c>
      <c r="E35">
        <v>158</v>
      </c>
      <c r="I35">
        <f>E35/('Parameter Input'!B118*'Parameter Input'!B119)</f>
        <v>10.304347826086955</v>
      </c>
    </row>
    <row r="36" spans="1:9" x14ac:dyDescent="0.25">
      <c r="A36" t="s">
        <v>448</v>
      </c>
      <c r="B36" t="s">
        <v>437</v>
      </c>
      <c r="C36" t="s">
        <v>221</v>
      </c>
      <c r="D36">
        <v>4</v>
      </c>
      <c r="E36">
        <v>85</v>
      </c>
      <c r="I36">
        <f>E36/('Parameter Input'!B80*'Parameter Input'!B81)</f>
        <v>6.0714285714285721</v>
      </c>
    </row>
    <row r="37" spans="1:9" x14ac:dyDescent="0.25">
      <c r="A37" t="s">
        <v>449</v>
      </c>
      <c r="B37" t="s">
        <v>226</v>
      </c>
      <c r="C37" t="s">
        <v>221</v>
      </c>
      <c r="D37">
        <v>8</v>
      </c>
      <c r="E37">
        <v>339</v>
      </c>
      <c r="I37">
        <f>E37/('Parameter Input'!B132*'Parameter Input'!B133)</f>
        <v>21.1875</v>
      </c>
    </row>
    <row r="38" spans="1:9" x14ac:dyDescent="0.25">
      <c r="A38" t="s">
        <v>450</v>
      </c>
      <c r="B38" t="s">
        <v>223</v>
      </c>
      <c r="C38" t="s">
        <v>221</v>
      </c>
      <c r="D38">
        <v>12</v>
      </c>
      <c r="E38">
        <v>157</v>
      </c>
      <c r="I38">
        <f>E38/('Parameter Input'!B92*'Parameter Input'!B93)</f>
        <v>9.8125</v>
      </c>
    </row>
    <row r="42" spans="1:9" x14ac:dyDescent="0.25">
      <c r="A42" s="171" t="s">
        <v>429</v>
      </c>
      <c r="C42" t="s">
        <v>451</v>
      </c>
      <c r="E42" t="s">
        <v>452</v>
      </c>
      <c r="F42" t="s">
        <v>453</v>
      </c>
    </row>
    <row r="43" spans="1:9" x14ac:dyDescent="0.25">
      <c r="C43" s="133" t="s">
        <v>454</v>
      </c>
      <c r="E43" t="s">
        <v>224</v>
      </c>
      <c r="F43">
        <f>2*170</f>
        <v>340</v>
      </c>
      <c r="G43" t="s">
        <v>455</v>
      </c>
    </row>
    <row r="44" spans="1:9" x14ac:dyDescent="0.25">
      <c r="A44" t="s">
        <v>436</v>
      </c>
      <c r="C44">
        <v>4</v>
      </c>
    </row>
    <row r="45" spans="1:9" x14ac:dyDescent="0.25">
      <c r="A45" t="s">
        <v>436</v>
      </c>
      <c r="C45">
        <v>4</v>
      </c>
    </row>
    <row r="46" spans="1:9" x14ac:dyDescent="0.25">
      <c r="A46" t="s">
        <v>456</v>
      </c>
      <c r="C46">
        <v>2</v>
      </c>
    </row>
    <row r="47" spans="1:9" x14ac:dyDescent="0.25">
      <c r="A47" t="s">
        <v>457</v>
      </c>
      <c r="C47">
        <v>5</v>
      </c>
    </row>
    <row r="48" spans="1:9" x14ac:dyDescent="0.25">
      <c r="A48" t="s">
        <v>457</v>
      </c>
      <c r="C48">
        <v>5</v>
      </c>
    </row>
    <row r="49" spans="1:3" x14ac:dyDescent="0.25">
      <c r="A49" t="s">
        <v>456</v>
      </c>
      <c r="C49">
        <v>2</v>
      </c>
    </row>
    <row r="50" spans="1:3" x14ac:dyDescent="0.25">
      <c r="A50" t="s">
        <v>433</v>
      </c>
      <c r="C50">
        <v>199</v>
      </c>
    </row>
    <row r="51" spans="1:3" x14ac:dyDescent="0.25">
      <c r="A51" t="s">
        <v>433</v>
      </c>
      <c r="C51">
        <v>199</v>
      </c>
    </row>
    <row r="52" spans="1:3" x14ac:dyDescent="0.25">
      <c r="A52" t="s">
        <v>458</v>
      </c>
      <c r="C52">
        <v>217</v>
      </c>
    </row>
    <row r="53" spans="1:3" x14ac:dyDescent="0.25">
      <c r="A53" t="s">
        <v>459</v>
      </c>
      <c r="C53">
        <v>94</v>
      </c>
    </row>
    <row r="54" spans="1:3" x14ac:dyDescent="0.25">
      <c r="A54" t="s">
        <v>459</v>
      </c>
      <c r="C54">
        <v>94</v>
      </c>
    </row>
    <row r="55" spans="1:3" x14ac:dyDescent="0.25">
      <c r="A55" t="s">
        <v>458</v>
      </c>
      <c r="C55">
        <v>217</v>
      </c>
    </row>
    <row r="56" spans="1:3" x14ac:dyDescent="0.25">
      <c r="A56" t="s">
        <v>438</v>
      </c>
      <c r="C56">
        <v>76</v>
      </c>
    </row>
    <row r="57" spans="1:3" x14ac:dyDescent="0.25">
      <c r="A57" t="s">
        <v>438</v>
      </c>
      <c r="C57">
        <v>76</v>
      </c>
    </row>
    <row r="58" spans="1:3" x14ac:dyDescent="0.25">
      <c r="A58" t="s">
        <v>460</v>
      </c>
      <c r="C58">
        <v>31</v>
      </c>
    </row>
    <row r="60" spans="1:3" x14ac:dyDescent="0.25">
      <c r="C60" s="133" t="s">
        <v>420</v>
      </c>
    </row>
    <row r="61" spans="1:3" x14ac:dyDescent="0.25">
      <c r="A61" t="s">
        <v>456</v>
      </c>
      <c r="C61">
        <v>2</v>
      </c>
    </row>
    <row r="62" spans="1:3" x14ac:dyDescent="0.25">
      <c r="A62" t="s">
        <v>461</v>
      </c>
      <c r="C62">
        <v>4</v>
      </c>
    </row>
    <row r="63" spans="1:3" x14ac:dyDescent="0.25">
      <c r="A63" t="s">
        <v>461</v>
      </c>
      <c r="C63">
        <v>4</v>
      </c>
    </row>
    <row r="64" spans="1:3" x14ac:dyDescent="0.25">
      <c r="A64" t="s">
        <v>462</v>
      </c>
      <c r="C64">
        <v>9</v>
      </c>
    </row>
    <row r="65" spans="1:3" x14ac:dyDescent="0.25">
      <c r="A65" t="s">
        <v>463</v>
      </c>
      <c r="C65">
        <v>12</v>
      </c>
    </row>
    <row r="66" spans="1:3" x14ac:dyDescent="0.25">
      <c r="A66" t="s">
        <v>463</v>
      </c>
      <c r="C66">
        <v>12</v>
      </c>
    </row>
    <row r="67" spans="1:3" x14ac:dyDescent="0.25">
      <c r="A67" t="s">
        <v>458</v>
      </c>
      <c r="C67">
        <v>217</v>
      </c>
    </row>
    <row r="68" spans="1:3" x14ac:dyDescent="0.25">
      <c r="A68" t="s">
        <v>464</v>
      </c>
      <c r="C68">
        <v>178</v>
      </c>
    </row>
    <row r="69" spans="1:3" x14ac:dyDescent="0.25">
      <c r="A69" t="s">
        <v>464</v>
      </c>
      <c r="C69">
        <v>178</v>
      </c>
    </row>
    <row r="70" spans="1:3" x14ac:dyDescent="0.25">
      <c r="A70" t="s">
        <v>458</v>
      </c>
      <c r="C70">
        <v>217</v>
      </c>
    </row>
    <row r="71" spans="1:3" x14ac:dyDescent="0.25">
      <c r="A71" t="s">
        <v>465</v>
      </c>
      <c r="C71">
        <v>200</v>
      </c>
    </row>
    <row r="72" spans="1:3" x14ac:dyDescent="0.25">
      <c r="A72" t="s">
        <v>465</v>
      </c>
      <c r="C72">
        <v>200</v>
      </c>
    </row>
    <row r="73" spans="1:3" x14ac:dyDescent="0.25">
      <c r="A73" t="s">
        <v>460</v>
      </c>
      <c r="C73">
        <v>31</v>
      </c>
    </row>
    <row r="74" spans="1:3" x14ac:dyDescent="0.25">
      <c r="A74" t="s">
        <v>466</v>
      </c>
      <c r="C74">
        <v>26</v>
      </c>
    </row>
    <row r="75" spans="1:3" x14ac:dyDescent="0.25">
      <c r="A75" t="s">
        <v>466</v>
      </c>
      <c r="C75">
        <v>26</v>
      </c>
    </row>
    <row r="86" spans="1:7" x14ac:dyDescent="0.25">
      <c r="A86" t="s">
        <v>488</v>
      </c>
    </row>
    <row r="87" spans="1:7" x14ac:dyDescent="0.25">
      <c r="A87" s="184" t="s">
        <v>467</v>
      </c>
      <c r="B87" t="s">
        <v>468</v>
      </c>
      <c r="C87" t="s">
        <v>469</v>
      </c>
    </row>
    <row r="88" spans="1:7" x14ac:dyDescent="0.25">
      <c r="A88" t="s">
        <v>470</v>
      </c>
      <c r="B88">
        <v>525</v>
      </c>
    </row>
    <row r="89" spans="1:7" x14ac:dyDescent="0.25">
      <c r="A89" t="s">
        <v>224</v>
      </c>
      <c r="B89">
        <v>47</v>
      </c>
    </row>
    <row r="90" spans="1:7" x14ac:dyDescent="0.25">
      <c r="A90" t="s">
        <v>471</v>
      </c>
      <c r="B90">
        <v>44</v>
      </c>
    </row>
    <row r="91" spans="1:7" x14ac:dyDescent="0.25">
      <c r="A91" t="s">
        <v>472</v>
      </c>
      <c r="B91">
        <v>734</v>
      </c>
    </row>
    <row r="93" spans="1:7" x14ac:dyDescent="0.25">
      <c r="A93" t="s">
        <v>489</v>
      </c>
    </row>
    <row r="94" spans="1:7" x14ac:dyDescent="0.25">
      <c r="A94" s="184" t="s">
        <v>473</v>
      </c>
      <c r="C94" t="s">
        <v>474</v>
      </c>
    </row>
    <row r="95" spans="1:7" x14ac:dyDescent="0.25">
      <c r="A95" t="s">
        <v>475</v>
      </c>
      <c r="B95">
        <f>5/20</f>
        <v>0.25</v>
      </c>
      <c r="C95" t="s">
        <v>476</v>
      </c>
      <c r="G95" s="173"/>
    </row>
    <row r="96" spans="1:7" x14ac:dyDescent="0.25">
      <c r="A96" t="s">
        <v>477</v>
      </c>
      <c r="B96">
        <f>5/20</f>
        <v>0.25</v>
      </c>
      <c r="C96" t="s">
        <v>478</v>
      </c>
      <c r="G96" s="173"/>
    </row>
    <row r="97" spans="1:7" x14ac:dyDescent="0.25">
      <c r="A97" t="s">
        <v>479</v>
      </c>
      <c r="B97">
        <v>0.1</v>
      </c>
      <c r="C97" t="s">
        <v>478</v>
      </c>
      <c r="G97" s="173"/>
    </row>
    <row r="98" spans="1:7" x14ac:dyDescent="0.25">
      <c r="A98" t="s">
        <v>480</v>
      </c>
      <c r="B98">
        <f>7/20</f>
        <v>0.35</v>
      </c>
      <c r="C98" t="s">
        <v>478</v>
      </c>
      <c r="G98" s="173"/>
    </row>
    <row r="99" spans="1:7" x14ac:dyDescent="0.25">
      <c r="A99" t="s">
        <v>505</v>
      </c>
      <c r="B99">
        <f>25/25</f>
        <v>1</v>
      </c>
      <c r="C99" t="s">
        <v>506</v>
      </c>
      <c r="G99" s="173"/>
    </row>
    <row r="102" spans="1:7" x14ac:dyDescent="0.25">
      <c r="A102" s="184" t="s">
        <v>481</v>
      </c>
      <c r="C102" t="s">
        <v>482</v>
      </c>
    </row>
    <row r="103" spans="1:7" x14ac:dyDescent="0.25">
      <c r="A103" t="s">
        <v>224</v>
      </c>
      <c r="B103">
        <v>8</v>
      </c>
    </row>
    <row r="104" spans="1:7" x14ac:dyDescent="0.25">
      <c r="A104" t="s">
        <v>225</v>
      </c>
      <c r="B104">
        <v>8</v>
      </c>
    </row>
    <row r="105" spans="1:7" x14ac:dyDescent="0.25">
      <c r="A105" t="s">
        <v>437</v>
      </c>
      <c r="B105">
        <v>24</v>
      </c>
    </row>
    <row r="106" spans="1:7" x14ac:dyDescent="0.25">
      <c r="A106" t="s">
        <v>226</v>
      </c>
      <c r="B106">
        <v>24</v>
      </c>
    </row>
    <row r="107" spans="1:7" x14ac:dyDescent="0.25">
      <c r="A107" t="s">
        <v>223</v>
      </c>
      <c r="B107">
        <v>24</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CI296"/>
  <sheetViews>
    <sheetView topLeftCell="Z1" zoomScale="85" zoomScaleNormal="85" workbookViewId="0">
      <selection activeCell="AK53" sqref="AK53"/>
    </sheetView>
  </sheetViews>
  <sheetFormatPr defaultColWidth="8.7109375" defaultRowHeight="15" x14ac:dyDescent="0.25"/>
  <cols>
    <col min="1" max="1" width="48.7109375" style="4" bestFit="1" customWidth="1"/>
    <col min="2" max="2" width="14" style="4" customWidth="1"/>
    <col min="3" max="3" width="12.42578125" style="4" bestFit="1" customWidth="1"/>
    <col min="4" max="4" width="7.28515625" style="4" bestFit="1" customWidth="1"/>
    <col min="5" max="5" width="21.42578125" style="4" bestFit="1" customWidth="1"/>
    <col min="6" max="7" width="4.42578125" style="4" bestFit="1" customWidth="1"/>
    <col min="8" max="8" width="7" style="4" bestFit="1" customWidth="1"/>
    <col min="9" max="9" width="32.28515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7109375" style="4" bestFit="1" customWidth="1"/>
    <col min="17" max="17" width="5.42578125" style="4" bestFit="1" customWidth="1"/>
    <col min="18" max="18" width="7" style="4" bestFit="1" customWidth="1"/>
    <col min="19" max="19" width="41.5703125" style="4" bestFit="1" customWidth="1"/>
    <col min="20" max="21" width="8.7109375" style="4"/>
    <col min="22" max="22" width="11.5703125" style="4" bestFit="1" customWidth="1"/>
    <col min="23" max="23" width="32.28515625" style="4" bestFit="1" customWidth="1"/>
    <col min="24" max="24" width="12.7109375" style="4" bestFit="1" customWidth="1"/>
    <col min="25" max="25" width="27" style="4" bestFit="1" customWidth="1"/>
    <col min="26" max="26" width="14.7109375" style="4" bestFit="1" customWidth="1"/>
    <col min="27" max="27" width="8.7109375" style="4"/>
    <col min="28" max="28" width="24.42578125" style="4" bestFit="1" customWidth="1"/>
    <col min="29" max="29" width="25.5703125" style="4" bestFit="1" customWidth="1"/>
    <col min="30" max="30" width="8.7109375" style="4" customWidth="1"/>
    <col min="31" max="31" width="12.7109375" style="4" bestFit="1" customWidth="1"/>
    <col min="32" max="32" width="8.7109375" style="4"/>
    <col min="33" max="33" width="24.42578125" style="4" bestFit="1" customWidth="1"/>
    <col min="34" max="34" width="13.5703125" style="4" bestFit="1" customWidth="1"/>
    <col min="35" max="35" width="8.7109375" style="4" customWidth="1"/>
    <col min="36" max="36" width="11.42578125" style="4" bestFit="1" customWidth="1"/>
    <col min="37" max="37" width="8.7109375" style="4"/>
    <col min="38" max="38" width="24.42578125" style="4" bestFit="1" customWidth="1"/>
    <col min="39" max="39" width="13.5703125" style="4" bestFit="1" customWidth="1"/>
    <col min="40" max="40" width="8.71093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7109375" style="4" bestFit="1" customWidth="1"/>
    <col min="46" max="46" width="14.5703125" style="4" bestFit="1" customWidth="1"/>
    <col min="47" max="16384" width="8.7109375" style="4"/>
  </cols>
  <sheetData>
    <row r="1" spans="1:37" s="93" customFormat="1" ht="31.5" x14ac:dyDescent="0.5">
      <c r="A1" s="93" t="s">
        <v>238</v>
      </c>
    </row>
    <row r="2" spans="1:37" ht="15.75" thickBot="1" x14ac:dyDescent="0.3">
      <c r="I2" s="152"/>
    </row>
    <row r="3" spans="1:37" ht="15.75" thickBot="1" x14ac:dyDescent="0.3">
      <c r="A3" s="185" t="s">
        <v>238</v>
      </c>
      <c r="B3" s="186">
        <v>2023</v>
      </c>
      <c r="C3" s="186">
        <v>2050</v>
      </c>
      <c r="D3" s="187" t="s">
        <v>5</v>
      </c>
      <c r="E3" s="185" t="s">
        <v>8</v>
      </c>
      <c r="F3" s="186" t="s">
        <v>9</v>
      </c>
      <c r="G3" s="187" t="s">
        <v>10</v>
      </c>
      <c r="J3" s="4">
        <v>2023</v>
      </c>
      <c r="K3" s="4">
        <v>2024</v>
      </c>
      <c r="L3" s="4">
        <v>2025</v>
      </c>
      <c r="M3" s="4">
        <v>2026</v>
      </c>
      <c r="N3" s="4">
        <v>2027</v>
      </c>
      <c r="O3" s="4">
        <v>2028</v>
      </c>
      <c r="P3" s="4">
        <v>2029</v>
      </c>
      <c r="Q3" s="4">
        <v>2030</v>
      </c>
      <c r="R3" s="4">
        <v>2031</v>
      </c>
      <c r="S3" s="4">
        <v>2032</v>
      </c>
      <c r="T3" s="4">
        <v>2033</v>
      </c>
      <c r="U3" s="4">
        <v>2034</v>
      </c>
      <c r="V3" s="4">
        <v>2035</v>
      </c>
      <c r="W3" s="4">
        <v>2036</v>
      </c>
      <c r="X3" s="4">
        <v>2037</v>
      </c>
      <c r="Y3" s="4">
        <v>2038</v>
      </c>
      <c r="Z3" s="4">
        <v>2039</v>
      </c>
      <c r="AA3" s="4">
        <v>2040</v>
      </c>
      <c r="AB3" s="4">
        <v>2041</v>
      </c>
      <c r="AC3" s="4">
        <v>2042</v>
      </c>
      <c r="AD3" s="4">
        <v>2043</v>
      </c>
      <c r="AE3" s="4">
        <v>2044</v>
      </c>
      <c r="AF3" s="4">
        <v>2045</v>
      </c>
      <c r="AG3" s="4">
        <v>2046</v>
      </c>
      <c r="AH3" s="4">
        <v>2047</v>
      </c>
      <c r="AI3" s="4">
        <v>2048</v>
      </c>
      <c r="AJ3" s="4">
        <v>2049</v>
      </c>
      <c r="AK3" s="4">
        <v>2050</v>
      </c>
    </row>
    <row r="4" spans="1:37" x14ac:dyDescent="0.25">
      <c r="A4" s="188" t="s">
        <v>239</v>
      </c>
      <c r="B4" s="189">
        <v>0</v>
      </c>
      <c r="C4" s="189">
        <v>0</v>
      </c>
      <c r="D4" s="190" t="s">
        <v>13</v>
      </c>
      <c r="E4" s="191">
        <v>17</v>
      </c>
      <c r="F4" s="189">
        <v>0.9</v>
      </c>
      <c r="G4" s="190">
        <v>0.4</v>
      </c>
      <c r="I4" s="4" t="s">
        <v>409</v>
      </c>
      <c r="J4" s="165">
        <v>9.4166661249999992E-2</v>
      </c>
      <c r="K4" s="165">
        <v>9.4166661249999992E-2</v>
      </c>
      <c r="L4" s="165">
        <v>9.4166661249999992E-2</v>
      </c>
      <c r="M4" s="165">
        <v>9.4166661249999992E-2</v>
      </c>
      <c r="N4" s="165">
        <v>9.4166661249999992E-2</v>
      </c>
      <c r="O4" s="165">
        <v>9.4166661249999992E-2</v>
      </c>
      <c r="P4" s="165">
        <v>9.4166661249999992E-2</v>
      </c>
      <c r="Q4" s="165">
        <v>9.4166661249999992E-2</v>
      </c>
      <c r="R4" s="165">
        <v>9.5999994399999997E-2</v>
      </c>
      <c r="S4" s="165">
        <v>9.7833327550000002E-2</v>
      </c>
      <c r="T4" s="165">
        <v>9.9666660700000007E-2</v>
      </c>
      <c r="U4" s="165">
        <v>0.10149999385000001</v>
      </c>
      <c r="V4" s="165">
        <v>0.103333327</v>
      </c>
      <c r="W4" s="165">
        <v>0.1023333271</v>
      </c>
      <c r="X4" s="165">
        <v>0.10133332719999999</v>
      </c>
      <c r="Y4" s="165">
        <v>0.10033332729999998</v>
      </c>
      <c r="Z4" s="165">
        <v>9.9333327399999977E-2</v>
      </c>
      <c r="AA4" s="165">
        <v>9.8333327499999998E-2</v>
      </c>
      <c r="AB4" s="165">
        <v>9.7333327599999991E-2</v>
      </c>
      <c r="AC4" s="165">
        <v>9.6333327699999985E-2</v>
      </c>
      <c r="AD4" s="165">
        <v>9.5333327799999978E-2</v>
      </c>
      <c r="AE4" s="165">
        <v>9.4333327899999986E-2</v>
      </c>
      <c r="AF4" s="165">
        <v>9.3333328000000007E-2</v>
      </c>
      <c r="AG4" s="165">
        <v>9.2333328100000001E-2</v>
      </c>
      <c r="AH4" s="165">
        <v>9.1333328199999994E-2</v>
      </c>
      <c r="AI4" s="165">
        <v>9.0333328299999988E-2</v>
      </c>
      <c r="AJ4" s="165">
        <v>8.9333328399999981E-2</v>
      </c>
      <c r="AK4" s="165">
        <v>8.8333328500000016E-2</v>
      </c>
    </row>
    <row r="5" spans="1:37" x14ac:dyDescent="0.25">
      <c r="A5" s="175" t="s">
        <v>406</v>
      </c>
      <c r="B5" s="176">
        <v>0.1</v>
      </c>
      <c r="C5" s="176">
        <v>0.1</v>
      </c>
      <c r="D5" s="176" t="s">
        <v>68</v>
      </c>
      <c r="E5" s="176">
        <v>12</v>
      </c>
      <c r="F5" s="176">
        <v>0.9</v>
      </c>
      <c r="G5" s="177">
        <v>0.4</v>
      </c>
      <c r="I5" s="4" t="s">
        <v>103</v>
      </c>
      <c r="J5" s="165">
        <v>0.19695917693522813</v>
      </c>
      <c r="K5" s="165">
        <v>0.1918445490889919</v>
      </c>
      <c r="L5" s="165">
        <v>0.1867299212427557</v>
      </c>
      <c r="M5" s="165">
        <v>0.18316543121930073</v>
      </c>
      <c r="N5" s="165">
        <v>0.1796009411958458</v>
      </c>
      <c r="O5" s="165">
        <v>0.17603645117239083</v>
      </c>
      <c r="P5" s="165">
        <v>0.17247196114893587</v>
      </c>
      <c r="Q5" s="165">
        <v>0.16890747112548093</v>
      </c>
      <c r="R5" s="165">
        <v>0.16876144856602932</v>
      </c>
      <c r="S5" s="165">
        <v>0.16861542600657767</v>
      </c>
      <c r="T5" s="165">
        <v>0.16846940344712602</v>
      </c>
      <c r="U5" s="165">
        <v>0.1683233808876744</v>
      </c>
      <c r="V5" s="165">
        <v>0.16817735832822278</v>
      </c>
      <c r="W5" s="165">
        <v>0.16448316805908789</v>
      </c>
      <c r="X5" s="165">
        <v>0.16078897778995299</v>
      </c>
      <c r="Y5" s="165">
        <v>0.15709478752081807</v>
      </c>
      <c r="Z5" s="165">
        <v>0.15340059725168312</v>
      </c>
      <c r="AA5" s="165">
        <v>0.1497064069825482</v>
      </c>
      <c r="AB5" s="165">
        <v>0.14627718374621171</v>
      </c>
      <c r="AC5" s="165">
        <v>0.14284796050987525</v>
      </c>
      <c r="AD5" s="165">
        <v>0.13941873727353876</v>
      </c>
      <c r="AE5" s="165">
        <v>0.13598951403720227</v>
      </c>
      <c r="AF5" s="165">
        <v>0.13256029080086582</v>
      </c>
      <c r="AG5" s="165">
        <v>0.12972417970496936</v>
      </c>
      <c r="AH5" s="165">
        <v>0.12688806860907287</v>
      </c>
      <c r="AI5" s="165">
        <v>0.12405195751317638</v>
      </c>
      <c r="AJ5" s="165">
        <v>0.12121584641727991</v>
      </c>
      <c r="AK5" s="165">
        <v>0.11837973532138339</v>
      </c>
    </row>
    <row r="6" spans="1:37" x14ac:dyDescent="0.25">
      <c r="A6" s="178" t="s">
        <v>407</v>
      </c>
      <c r="B6" s="179">
        <v>0.06</v>
      </c>
      <c r="C6" s="179">
        <v>0.06</v>
      </c>
      <c r="D6" s="179" t="s">
        <v>68</v>
      </c>
      <c r="E6" s="179">
        <v>17</v>
      </c>
      <c r="F6" s="179">
        <v>0.9</v>
      </c>
      <c r="G6" s="180">
        <v>0.4</v>
      </c>
      <c r="I6" s="4" t="s">
        <v>186</v>
      </c>
      <c r="J6" s="165">
        <v>0.18104231880665794</v>
      </c>
      <c r="K6" s="165">
        <v>0.17732719010569079</v>
      </c>
      <c r="L6" s="165">
        <v>0.17361206140472354</v>
      </c>
      <c r="M6" s="165">
        <v>0.17118675002498271</v>
      </c>
      <c r="N6" s="165">
        <v>0.16876143864524187</v>
      </c>
      <c r="O6" s="165">
        <v>0.16633612726550104</v>
      </c>
      <c r="P6" s="165">
        <v>0.1639108158857602</v>
      </c>
      <c r="Q6" s="165">
        <v>0.16148550450601945</v>
      </c>
      <c r="R6" s="165">
        <v>0.1627875388918204</v>
      </c>
      <c r="S6" s="165">
        <v>0.16408957327762139</v>
      </c>
      <c r="T6" s="165">
        <v>0.16539160766342234</v>
      </c>
      <c r="U6" s="165">
        <v>0.16669364204922332</v>
      </c>
      <c r="V6" s="165">
        <v>0.16799567643502425</v>
      </c>
      <c r="W6" s="165">
        <v>0.16487244686609676</v>
      </c>
      <c r="X6" s="165">
        <v>0.16174921729716923</v>
      </c>
      <c r="Y6" s="165">
        <v>0.15862598772824177</v>
      </c>
      <c r="Z6" s="165">
        <v>0.15550275815931427</v>
      </c>
      <c r="AA6" s="165">
        <v>0.15237952859038681</v>
      </c>
      <c r="AB6" s="165">
        <v>0.14950198735980291</v>
      </c>
      <c r="AC6" s="165">
        <v>0.14662444612921899</v>
      </c>
      <c r="AD6" s="165">
        <v>0.14374690489863506</v>
      </c>
      <c r="AE6" s="165">
        <v>0.14086936366805117</v>
      </c>
      <c r="AF6" s="165">
        <v>0.13799182243746722</v>
      </c>
      <c r="AG6" s="165">
        <v>0.1352562604095163</v>
      </c>
      <c r="AH6" s="165">
        <v>0.13252069838156535</v>
      </c>
      <c r="AI6" s="165">
        <v>0.12978513635361441</v>
      </c>
      <c r="AJ6" s="165">
        <v>0.12704957432566347</v>
      </c>
      <c r="AK6" s="165">
        <v>0.12431401229771254</v>
      </c>
    </row>
    <row r="7" spans="1:37" x14ac:dyDescent="0.25">
      <c r="A7" s="178" t="s">
        <v>408</v>
      </c>
      <c r="B7" s="179">
        <v>3.1399999999999997E-2</v>
      </c>
      <c r="C7" s="179">
        <v>3.1399999999999997E-2</v>
      </c>
      <c r="D7" s="179" t="s">
        <v>68</v>
      </c>
      <c r="E7" s="179">
        <v>17</v>
      </c>
      <c r="F7" s="179">
        <v>0.9</v>
      </c>
      <c r="G7" s="180">
        <v>0.4</v>
      </c>
      <c r="I7" s="4" t="s">
        <v>187</v>
      </c>
      <c r="J7" s="165">
        <v>0.36417427635318367</v>
      </c>
      <c r="K7" s="165">
        <v>0.34953957198802377</v>
      </c>
      <c r="L7" s="165">
        <v>0.33490486762286403</v>
      </c>
      <c r="M7" s="165">
        <v>0.32172366231345256</v>
      </c>
      <c r="N7" s="165">
        <v>0.30854245700404115</v>
      </c>
      <c r="O7" s="165">
        <v>0.29536125169462968</v>
      </c>
      <c r="P7" s="165">
        <v>0.28218004638521826</v>
      </c>
      <c r="Q7" s="165">
        <v>0.26899884107580674</v>
      </c>
      <c r="R7" s="165">
        <v>0.26271894785871058</v>
      </c>
      <c r="S7" s="165">
        <v>0.25643905464161443</v>
      </c>
      <c r="T7" s="165">
        <v>0.25015916142451827</v>
      </c>
      <c r="U7" s="165">
        <v>0.24387926820742209</v>
      </c>
      <c r="V7" s="165">
        <v>0.23759937499032585</v>
      </c>
      <c r="W7" s="165">
        <v>0.22988467822493394</v>
      </c>
      <c r="X7" s="165">
        <v>0.22216998145954203</v>
      </c>
      <c r="Y7" s="165">
        <v>0.21445528469415012</v>
      </c>
      <c r="Z7" s="165">
        <v>0.20674058792875821</v>
      </c>
      <c r="AA7" s="165">
        <v>0.19902589116336625</v>
      </c>
      <c r="AB7" s="165">
        <v>0.19368220926450147</v>
      </c>
      <c r="AC7" s="165">
        <v>0.18833852736563667</v>
      </c>
      <c r="AD7" s="165">
        <v>0.18299484546677189</v>
      </c>
      <c r="AE7" s="165">
        <v>0.17765116356790711</v>
      </c>
      <c r="AF7" s="165">
        <v>0.17230748166904239</v>
      </c>
      <c r="AG7" s="165">
        <v>0.16851782325418166</v>
      </c>
      <c r="AH7" s="165">
        <v>0.16472816483932096</v>
      </c>
      <c r="AI7" s="165">
        <v>0.16093850642446025</v>
      </c>
      <c r="AJ7" s="165">
        <v>0.15714884800959955</v>
      </c>
      <c r="AK7" s="165">
        <v>0.15335918959473879</v>
      </c>
    </row>
    <row r="8" spans="1:37" x14ac:dyDescent="0.25">
      <c r="A8" s="178" t="s">
        <v>409</v>
      </c>
      <c r="B8" s="179">
        <v>0.13371034051801745</v>
      </c>
      <c r="C8" s="179">
        <v>8.7585019329602734E-2</v>
      </c>
      <c r="D8" s="179" t="s">
        <v>68</v>
      </c>
      <c r="E8" s="179">
        <v>12</v>
      </c>
      <c r="F8" s="179">
        <v>0.9</v>
      </c>
      <c r="G8" s="180">
        <v>0.4</v>
      </c>
      <c r="I8" s="4" t="s">
        <v>11</v>
      </c>
      <c r="J8" s="165">
        <v>5.7951260504201685E-2</v>
      </c>
      <c r="K8" s="165">
        <v>5.3954621848739497E-2</v>
      </c>
      <c r="L8" s="165">
        <v>4.9957983193277315E-2</v>
      </c>
      <c r="M8" s="165">
        <v>4.5961344537815127E-2</v>
      </c>
      <c r="N8" s="165">
        <v>4.1964705882352946E-2</v>
      </c>
      <c r="O8" s="165">
        <v>3.7968067226890764E-2</v>
      </c>
      <c r="P8" s="165">
        <v>3.3971428571428583E-2</v>
      </c>
      <c r="Q8" s="165">
        <v>2.9974789915966391E-2</v>
      </c>
      <c r="R8" s="165">
        <v>2.9368157262905165E-2</v>
      </c>
      <c r="S8" s="165">
        <v>2.8761524609843939E-2</v>
      </c>
      <c r="T8" s="165">
        <v>2.8154891956782713E-2</v>
      </c>
      <c r="U8" s="165">
        <v>2.7548259303721487E-2</v>
      </c>
      <c r="V8" s="165">
        <v>2.6941626650660268E-2</v>
      </c>
      <c r="W8" s="165">
        <v>2.6334993997599043E-2</v>
      </c>
      <c r="X8" s="165">
        <v>2.5728361344537817E-2</v>
      </c>
      <c r="Y8" s="165">
        <v>2.5121728691476591E-2</v>
      </c>
      <c r="Z8" s="165">
        <v>2.4515096038415365E-2</v>
      </c>
      <c r="AA8" s="165">
        <v>2.3908463385354146E-2</v>
      </c>
      <c r="AB8" s="165">
        <v>2.330183073229292E-2</v>
      </c>
      <c r="AC8" s="165">
        <v>2.2695198079231694E-2</v>
      </c>
      <c r="AD8" s="165">
        <v>2.2088565426170468E-2</v>
      </c>
      <c r="AE8" s="165">
        <v>2.1481932773109242E-2</v>
      </c>
      <c r="AF8" s="165">
        <v>2.0875300120048023E-2</v>
      </c>
      <c r="AG8" s="165">
        <v>2.0268667466986797E-2</v>
      </c>
      <c r="AH8" s="165">
        <v>1.9662034813925571E-2</v>
      </c>
      <c r="AI8" s="165">
        <v>1.9055402160864345E-2</v>
      </c>
      <c r="AJ8" s="165">
        <v>1.8448769507803119E-2</v>
      </c>
      <c r="AK8" s="165">
        <v>1.78421368547419E-2</v>
      </c>
    </row>
    <row r="9" spans="1:37" x14ac:dyDescent="0.25">
      <c r="A9" s="178" t="s">
        <v>103</v>
      </c>
      <c r="B9" s="179">
        <v>0.2544561408768215</v>
      </c>
      <c r="C9" s="179">
        <v>0.10949010032952979</v>
      </c>
      <c r="D9" s="179" t="s">
        <v>68</v>
      </c>
      <c r="E9" s="179">
        <v>12</v>
      </c>
      <c r="F9" s="179">
        <v>0.9</v>
      </c>
      <c r="G9" s="180">
        <v>0.4</v>
      </c>
      <c r="I9" s="4" t="s">
        <v>279</v>
      </c>
      <c r="J9" s="165">
        <v>5.7951260504201685E-2</v>
      </c>
      <c r="K9" s="165">
        <v>5.3954621848739497E-2</v>
      </c>
      <c r="L9" s="165">
        <v>4.9957983193277315E-2</v>
      </c>
      <c r="M9" s="165">
        <v>4.5961344537815127E-2</v>
      </c>
      <c r="N9" s="165">
        <v>4.1964705882352946E-2</v>
      </c>
      <c r="O9" s="165">
        <v>3.7968067226890764E-2</v>
      </c>
      <c r="P9" s="165">
        <v>3.3971428571428583E-2</v>
      </c>
      <c r="Q9" s="165">
        <v>2.9974789915966391E-2</v>
      </c>
      <c r="R9" s="165">
        <v>2.9368157262905165E-2</v>
      </c>
      <c r="S9" s="165">
        <v>2.8761524609843939E-2</v>
      </c>
      <c r="T9" s="165">
        <v>2.8154891956782713E-2</v>
      </c>
      <c r="U9" s="165">
        <v>2.7548259303721487E-2</v>
      </c>
      <c r="V9" s="165">
        <v>2.6941626650660268E-2</v>
      </c>
      <c r="W9" s="165">
        <v>2.6334993997599043E-2</v>
      </c>
      <c r="X9" s="165">
        <v>2.5728361344537817E-2</v>
      </c>
      <c r="Y9" s="165">
        <v>2.5121728691476591E-2</v>
      </c>
      <c r="Z9" s="165">
        <v>2.4515096038415365E-2</v>
      </c>
      <c r="AA9" s="165">
        <v>2.3908463385354146E-2</v>
      </c>
      <c r="AB9" s="165">
        <v>2.330183073229292E-2</v>
      </c>
      <c r="AC9" s="165">
        <v>2.2695198079231694E-2</v>
      </c>
      <c r="AD9" s="165">
        <v>2.2088565426170468E-2</v>
      </c>
      <c r="AE9" s="165">
        <v>2.1481932773109242E-2</v>
      </c>
      <c r="AF9" s="165">
        <v>2.0875300120048023E-2</v>
      </c>
      <c r="AG9" s="165">
        <v>2.0268667466986797E-2</v>
      </c>
      <c r="AH9" s="165">
        <v>1.9662034813925571E-2</v>
      </c>
      <c r="AI9" s="165">
        <v>1.9055402160864345E-2</v>
      </c>
      <c r="AJ9" s="165">
        <v>1.8448769507803119E-2</v>
      </c>
      <c r="AK9" s="165">
        <v>1.78421368547419E-2</v>
      </c>
    </row>
    <row r="10" spans="1:37" x14ac:dyDescent="0.25">
      <c r="A10" s="178" t="s">
        <v>186</v>
      </c>
      <c r="B10" s="179">
        <v>0.23976160758395154</v>
      </c>
      <c r="C10" s="179">
        <v>0.11428118371505049</v>
      </c>
      <c r="D10" s="179" t="s">
        <v>68</v>
      </c>
      <c r="E10" s="179">
        <v>14</v>
      </c>
      <c r="F10" s="179">
        <v>0.9</v>
      </c>
      <c r="G10" s="180">
        <v>0.4</v>
      </c>
      <c r="I10" s="4" t="s">
        <v>280</v>
      </c>
      <c r="J10" s="165">
        <v>2.5977890665149557E-2</v>
      </c>
      <c r="K10" s="165">
        <v>2.418631199858752E-2</v>
      </c>
      <c r="L10" s="165">
        <v>2.2394733332025477E-2</v>
      </c>
      <c r="M10" s="165">
        <v>2.060315466546344E-2</v>
      </c>
      <c r="N10" s="165">
        <v>1.8811575998901403E-2</v>
      </c>
      <c r="O10" s="165">
        <v>1.7019997332339366E-2</v>
      </c>
      <c r="P10" s="165">
        <v>1.5228418665777328E-2</v>
      </c>
      <c r="Q10" s="165">
        <v>1.3436839999215288E-2</v>
      </c>
      <c r="R10" s="165">
        <v>1.3164903951612121E-2</v>
      </c>
      <c r="S10" s="165">
        <v>1.2892967904008954E-2</v>
      </c>
      <c r="T10" s="165">
        <v>1.2621031856405788E-2</v>
      </c>
      <c r="U10" s="165">
        <v>1.2349095808802621E-2</v>
      </c>
      <c r="V10" s="165">
        <v>1.2077159761199453E-2</v>
      </c>
      <c r="W10" s="165">
        <v>1.1805223713596286E-2</v>
      </c>
      <c r="X10" s="165">
        <v>1.153328766599312E-2</v>
      </c>
      <c r="Y10" s="165">
        <v>1.1261351618389953E-2</v>
      </c>
      <c r="Z10" s="165">
        <v>1.0989415570786787E-2</v>
      </c>
      <c r="AA10" s="165">
        <v>1.0717479523183622E-2</v>
      </c>
      <c r="AB10" s="165">
        <v>1.0445543475580455E-2</v>
      </c>
      <c r="AC10" s="165">
        <v>1.0173607427977288E-2</v>
      </c>
      <c r="AD10" s="165">
        <v>9.9016713803741219E-3</v>
      </c>
      <c r="AE10" s="165">
        <v>9.6297353327709553E-3</v>
      </c>
      <c r="AF10" s="165">
        <v>9.3577992851677887E-3</v>
      </c>
      <c r="AG10" s="165">
        <v>9.0858632375646221E-3</v>
      </c>
      <c r="AH10" s="165">
        <v>8.8139271899614555E-3</v>
      </c>
      <c r="AI10" s="165">
        <v>8.5419911423582889E-3</v>
      </c>
      <c r="AJ10" s="165">
        <v>8.2700550947551223E-3</v>
      </c>
      <c r="AK10" s="165">
        <v>7.9981190471519557E-3</v>
      </c>
    </row>
    <row r="11" spans="1:37" x14ac:dyDescent="0.25">
      <c r="A11" s="181" t="s">
        <v>187</v>
      </c>
      <c r="B11" s="182">
        <v>0.46076973995226939</v>
      </c>
      <c r="C11" s="182">
        <v>0.14224714585492179</v>
      </c>
      <c r="D11" s="182" t="s">
        <v>68</v>
      </c>
      <c r="E11" s="182">
        <v>17</v>
      </c>
      <c r="F11" s="182">
        <v>0.9</v>
      </c>
      <c r="G11" s="183">
        <v>0.4</v>
      </c>
      <c r="J11" s="123"/>
    </row>
    <row r="12" spans="1:37" x14ac:dyDescent="0.25">
      <c r="A12" s="4" t="s">
        <v>486</v>
      </c>
    </row>
    <row r="13" spans="1:37" x14ac:dyDescent="0.25">
      <c r="I13" s="152" t="s">
        <v>487</v>
      </c>
    </row>
    <row r="14" spans="1:37" ht="15.75" thickBot="1" x14ac:dyDescent="0.3"/>
    <row r="15" spans="1:37" x14ac:dyDescent="0.25">
      <c r="I15" s="192" t="s">
        <v>483</v>
      </c>
      <c r="J15" s="193" t="s">
        <v>68</v>
      </c>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4"/>
    </row>
    <row r="16" spans="1:37" x14ac:dyDescent="0.25">
      <c r="I16" s="102"/>
      <c r="J16" s="4">
        <v>2023</v>
      </c>
      <c r="K16" s="4">
        <v>2024</v>
      </c>
      <c r="L16" s="4">
        <v>2025</v>
      </c>
      <c r="M16" s="4">
        <v>2026</v>
      </c>
      <c r="N16" s="4">
        <v>2027</v>
      </c>
      <c r="O16" s="4">
        <v>2028</v>
      </c>
      <c r="P16" s="4">
        <v>2029</v>
      </c>
      <c r="Q16" s="4">
        <v>2030</v>
      </c>
      <c r="R16" s="4">
        <v>2031</v>
      </c>
      <c r="S16" s="4">
        <v>2032</v>
      </c>
      <c r="T16" s="4">
        <v>2033</v>
      </c>
      <c r="U16" s="4">
        <v>2034</v>
      </c>
      <c r="V16" s="4">
        <v>2035</v>
      </c>
      <c r="W16" s="4">
        <v>2036</v>
      </c>
      <c r="X16" s="4">
        <v>2037</v>
      </c>
      <c r="Y16" s="4">
        <v>2038</v>
      </c>
      <c r="Z16" s="4">
        <v>2039</v>
      </c>
      <c r="AA16" s="4">
        <v>2040</v>
      </c>
      <c r="AB16" s="4">
        <v>2041</v>
      </c>
      <c r="AC16" s="4">
        <v>2042</v>
      </c>
      <c r="AD16" s="4">
        <v>2043</v>
      </c>
      <c r="AE16" s="4">
        <v>2044</v>
      </c>
      <c r="AF16" s="4">
        <v>2045</v>
      </c>
      <c r="AG16" s="4">
        <v>2046</v>
      </c>
      <c r="AH16" s="4">
        <v>2047</v>
      </c>
      <c r="AI16" s="4">
        <v>2048</v>
      </c>
      <c r="AJ16" s="4">
        <v>2049</v>
      </c>
      <c r="AK16" s="103">
        <v>2050</v>
      </c>
    </row>
    <row r="17" spans="9:37" x14ac:dyDescent="0.25">
      <c r="I17" s="102" t="s">
        <v>409</v>
      </c>
      <c r="J17" s="4">
        <v>7.5233329809999999E-2</v>
      </c>
      <c r="K17" s="4">
        <v>7.5233329809999999E-2</v>
      </c>
      <c r="L17" s="4">
        <v>7.5233329809999999E-2</v>
      </c>
      <c r="M17" s="4">
        <v>7.5233329809999999E-2</v>
      </c>
      <c r="N17" s="4">
        <v>7.5233329809999999E-2</v>
      </c>
      <c r="O17" s="4">
        <v>7.5233329809999999E-2</v>
      </c>
      <c r="P17" s="4">
        <v>7.5233329809999999E-2</v>
      </c>
      <c r="Q17" s="4">
        <v>7.5233329809999999E-2</v>
      </c>
      <c r="R17" s="4">
        <v>7.6599996340000004E-2</v>
      </c>
      <c r="S17" s="4">
        <v>7.7966662870000009E-2</v>
      </c>
      <c r="T17" s="4">
        <v>7.9333329400000013E-2</v>
      </c>
      <c r="U17" s="4">
        <v>8.0699995930000018E-2</v>
      </c>
      <c r="V17" s="4">
        <v>8.2066662460000009E-2</v>
      </c>
      <c r="W17" s="4">
        <v>8.1106662556000006E-2</v>
      </c>
      <c r="X17" s="4">
        <v>8.0146662651999989E-2</v>
      </c>
      <c r="Y17" s="4">
        <v>7.9186662747999986E-2</v>
      </c>
      <c r="Z17" s="4">
        <v>7.8226662843999983E-2</v>
      </c>
      <c r="AA17" s="4">
        <v>7.7266662939999994E-2</v>
      </c>
      <c r="AB17" s="4">
        <v>7.6306663035999991E-2</v>
      </c>
      <c r="AC17" s="4">
        <v>7.5346663131999989E-2</v>
      </c>
      <c r="AD17" s="4">
        <v>7.4386663227999986E-2</v>
      </c>
      <c r="AE17" s="4">
        <v>7.3426663323999983E-2</v>
      </c>
      <c r="AF17" s="4">
        <v>7.2466663419999994E-2</v>
      </c>
      <c r="AG17" s="4">
        <v>7.1506663515999991E-2</v>
      </c>
      <c r="AH17" s="4">
        <v>7.0546663611999988E-2</v>
      </c>
      <c r="AI17" s="4">
        <v>6.9586663707999985E-2</v>
      </c>
      <c r="AJ17" s="4">
        <v>6.8626663803999982E-2</v>
      </c>
      <c r="AK17" s="103">
        <v>6.7666663899999993E-2</v>
      </c>
    </row>
    <row r="18" spans="9:37" x14ac:dyDescent="0.25">
      <c r="I18" s="102" t="s">
        <v>103</v>
      </c>
      <c r="J18" s="4">
        <v>0.16755030740877733</v>
      </c>
      <c r="K18" s="4">
        <v>0.16246311320948742</v>
      </c>
      <c r="L18" s="4">
        <v>0.1573759190101976</v>
      </c>
      <c r="M18" s="4">
        <v>0.15390105952791075</v>
      </c>
      <c r="N18" s="4">
        <v>0.1504262000456239</v>
      </c>
      <c r="O18" s="4">
        <v>0.14695134056333706</v>
      </c>
      <c r="P18" s="4">
        <v>0.14347648108105024</v>
      </c>
      <c r="Q18" s="4">
        <v>0.14000162159876336</v>
      </c>
      <c r="R18" s="4">
        <v>0.13928851087301347</v>
      </c>
      <c r="S18" s="4">
        <v>0.13857540014726355</v>
      </c>
      <c r="T18" s="4">
        <v>0.13786228942151366</v>
      </c>
      <c r="U18" s="4">
        <v>0.13714917869576373</v>
      </c>
      <c r="V18" s="4">
        <v>0.13643606797001384</v>
      </c>
      <c r="W18" s="4">
        <v>0.13294825106115046</v>
      </c>
      <c r="X18" s="4">
        <v>0.12946043415228706</v>
      </c>
      <c r="Y18" s="4">
        <v>0.12597261724342368</v>
      </c>
      <c r="Z18" s="4">
        <v>0.12248480033456027</v>
      </c>
      <c r="AA18" s="4">
        <v>0.11899698342569687</v>
      </c>
      <c r="AB18" s="4">
        <v>0.11578161519050338</v>
      </c>
      <c r="AC18" s="4">
        <v>0.1125662469553099</v>
      </c>
      <c r="AD18" s="4">
        <v>0.10935087872011641</v>
      </c>
      <c r="AE18" s="4">
        <v>0.10613551048492292</v>
      </c>
      <c r="AF18" s="4">
        <v>0.10292014224972944</v>
      </c>
      <c r="AG18" s="4">
        <v>0.10028722302472504</v>
      </c>
      <c r="AH18" s="4">
        <v>9.7654303799720649E-2</v>
      </c>
      <c r="AI18" s="4">
        <v>9.5021384574716261E-2</v>
      </c>
      <c r="AJ18" s="4">
        <v>9.238846534971186E-2</v>
      </c>
      <c r="AK18" s="103">
        <v>8.9755546124707486E-2</v>
      </c>
    </row>
    <row r="19" spans="9:37" x14ac:dyDescent="0.25">
      <c r="I19" s="102" t="s">
        <v>186</v>
      </c>
      <c r="J19" s="4">
        <v>0.14785151321799878</v>
      </c>
      <c r="K19" s="4">
        <v>0.14416734608940909</v>
      </c>
      <c r="L19" s="4">
        <v>0.14048317896081941</v>
      </c>
      <c r="M19" s="4">
        <v>0.13815902447403705</v>
      </c>
      <c r="N19" s="4">
        <v>0.13583486998725472</v>
      </c>
      <c r="O19" s="4">
        <v>0.13351071550047239</v>
      </c>
      <c r="P19" s="4">
        <v>0.13118656101369006</v>
      </c>
      <c r="Q19" s="4">
        <v>0.1288624065269077</v>
      </c>
      <c r="R19" s="4">
        <v>0.12952442606744893</v>
      </c>
      <c r="S19" s="4">
        <v>0.13018644560799014</v>
      </c>
      <c r="T19" s="4">
        <v>0.13084846514853138</v>
      </c>
      <c r="U19" s="4">
        <v>0.13151048468907259</v>
      </c>
      <c r="V19" s="4">
        <v>0.13217250422961382</v>
      </c>
      <c r="W19" s="4">
        <v>0.12928218732240185</v>
      </c>
      <c r="X19" s="4">
        <v>0.1263918704151899</v>
      </c>
      <c r="Y19" s="4">
        <v>0.12350155350797795</v>
      </c>
      <c r="Z19" s="4">
        <v>0.120611236600766</v>
      </c>
      <c r="AA19" s="4">
        <v>0.11772091969355404</v>
      </c>
      <c r="AB19" s="4">
        <v>0.11508473489323738</v>
      </c>
      <c r="AC19" s="4">
        <v>0.11244855009292071</v>
      </c>
      <c r="AD19" s="4">
        <v>0.10981236529260403</v>
      </c>
      <c r="AE19" s="4">
        <v>0.10717618049228736</v>
      </c>
      <c r="AF19" s="4">
        <v>0.1045399956919707</v>
      </c>
      <c r="AG19" s="4">
        <v>0.10203375570164211</v>
      </c>
      <c r="AH19" s="4">
        <v>9.9527515711313519E-2</v>
      </c>
      <c r="AI19" s="4">
        <v>9.7021275720984915E-2</v>
      </c>
      <c r="AJ19" s="4">
        <v>9.4515035730656324E-2</v>
      </c>
      <c r="AK19" s="103">
        <v>9.2008795740327734E-2</v>
      </c>
    </row>
    <row r="20" spans="9:37" x14ac:dyDescent="0.25">
      <c r="I20" s="102" t="s">
        <v>187</v>
      </c>
      <c r="J20" s="4">
        <v>0.32741318944512032</v>
      </c>
      <c r="K20" s="4">
        <v>0.31281277713864336</v>
      </c>
      <c r="L20" s="4">
        <v>0.29821236483216634</v>
      </c>
      <c r="M20" s="4">
        <v>0.28514319769921503</v>
      </c>
      <c r="N20" s="4">
        <v>0.27207403056626372</v>
      </c>
      <c r="O20" s="4">
        <v>0.25900486343331242</v>
      </c>
      <c r="P20" s="4">
        <v>0.24593569630036111</v>
      </c>
      <c r="Q20" s="4">
        <v>0.23286652916740982</v>
      </c>
      <c r="R20" s="4">
        <v>0.22587777574244078</v>
      </c>
      <c r="S20" s="4">
        <v>0.21888902231747173</v>
      </c>
      <c r="T20" s="4">
        <v>0.21190026889250269</v>
      </c>
      <c r="U20" s="4">
        <v>0.20491151546753364</v>
      </c>
      <c r="V20" s="4">
        <v>0.19792276204256468</v>
      </c>
      <c r="W20" s="4">
        <v>0.19046603197751216</v>
      </c>
      <c r="X20" s="4">
        <v>0.18300930191245968</v>
      </c>
      <c r="Y20" s="4">
        <v>0.17555257184740719</v>
      </c>
      <c r="Z20" s="4">
        <v>0.16809584178235468</v>
      </c>
      <c r="AA20" s="4">
        <v>0.16063911171730211</v>
      </c>
      <c r="AB20" s="4">
        <v>0.15556274856986607</v>
      </c>
      <c r="AC20" s="4">
        <v>0.15048638542243004</v>
      </c>
      <c r="AD20" s="4">
        <v>0.145410022274994</v>
      </c>
      <c r="AE20" s="4">
        <v>0.14033365912755799</v>
      </c>
      <c r="AF20" s="4">
        <v>0.13525729598012193</v>
      </c>
      <c r="AG20" s="4">
        <v>0.13172162740387633</v>
      </c>
      <c r="AH20" s="4">
        <v>0.12818595882763073</v>
      </c>
      <c r="AI20" s="4">
        <v>0.12465029025138512</v>
      </c>
      <c r="AJ20" s="4">
        <v>0.12111462167513951</v>
      </c>
      <c r="AK20" s="103">
        <v>0.11757895309889392</v>
      </c>
    </row>
    <row r="21" spans="9:37" x14ac:dyDescent="0.25">
      <c r="I21" s="102" t="s">
        <v>11</v>
      </c>
      <c r="J21" s="4">
        <v>6.7157803121248486E-2</v>
      </c>
      <c r="K21" s="4">
        <v>6.62300120048019E-2</v>
      </c>
      <c r="L21" s="4">
        <v>6.5302220888355342E-2</v>
      </c>
      <c r="M21" s="4">
        <v>6.437442977190877E-2</v>
      </c>
      <c r="N21" s="4">
        <v>6.3446638655462198E-2</v>
      </c>
      <c r="O21" s="4">
        <v>6.2518847539015626E-2</v>
      </c>
      <c r="P21" s="4">
        <v>6.1591056422569047E-2</v>
      </c>
      <c r="Q21" s="4">
        <v>6.0663265306122455E-2</v>
      </c>
      <c r="R21" s="4">
        <v>6.0591896758703488E-2</v>
      </c>
      <c r="S21" s="4">
        <v>6.0520528211284522E-2</v>
      </c>
      <c r="T21" s="4">
        <v>6.0449159663865555E-2</v>
      </c>
      <c r="U21" s="4">
        <v>6.0377791116446589E-2</v>
      </c>
      <c r="V21" s="4">
        <v>6.0306422569027615E-2</v>
      </c>
      <c r="W21" s="4">
        <v>6.0235054021608649E-2</v>
      </c>
      <c r="X21" s="4">
        <v>6.0163685474189682E-2</v>
      </c>
      <c r="Y21" s="4">
        <v>6.0092316926770716E-2</v>
      </c>
      <c r="Z21" s="4">
        <v>6.0020948379351749E-2</v>
      </c>
      <c r="AA21" s="4">
        <v>5.9949579831932782E-2</v>
      </c>
      <c r="AB21" s="4">
        <v>5.9878211284513816E-2</v>
      </c>
      <c r="AC21" s="4">
        <v>5.9806842737094849E-2</v>
      </c>
      <c r="AD21" s="4">
        <v>5.9735474189675883E-2</v>
      </c>
      <c r="AE21" s="4">
        <v>5.9664105642256916E-2</v>
      </c>
      <c r="AF21" s="4">
        <v>5.959273709483795E-2</v>
      </c>
      <c r="AG21" s="4">
        <v>5.9521368547418983E-2</v>
      </c>
      <c r="AH21" s="4">
        <v>5.9450000000000017E-2</v>
      </c>
      <c r="AI21" s="4">
        <v>5.937863145258105E-2</v>
      </c>
      <c r="AJ21" s="4">
        <v>5.9307262905162084E-2</v>
      </c>
      <c r="AK21" s="103">
        <v>5.923589435774311E-2</v>
      </c>
    </row>
    <row r="22" spans="9:37" x14ac:dyDescent="0.25">
      <c r="I22" s="102" t="s">
        <v>279</v>
      </c>
      <c r="J22" s="4">
        <v>6.7157803121248486E-2</v>
      </c>
      <c r="K22" s="4">
        <v>6.62300120048019E-2</v>
      </c>
      <c r="L22" s="4">
        <v>6.5302220888355342E-2</v>
      </c>
      <c r="M22" s="4">
        <v>6.437442977190877E-2</v>
      </c>
      <c r="N22" s="4">
        <v>6.3446638655462198E-2</v>
      </c>
      <c r="O22" s="4">
        <v>6.2518847539015626E-2</v>
      </c>
      <c r="P22" s="4">
        <v>6.1591056422569047E-2</v>
      </c>
      <c r="Q22" s="4">
        <v>6.0663265306122455E-2</v>
      </c>
      <c r="R22" s="4">
        <v>6.0591896758703488E-2</v>
      </c>
      <c r="S22" s="4">
        <v>6.0520528211284522E-2</v>
      </c>
      <c r="T22" s="4">
        <v>6.0449159663865555E-2</v>
      </c>
      <c r="U22" s="4">
        <v>6.0377791116446589E-2</v>
      </c>
      <c r="V22" s="4">
        <v>6.0306422569027615E-2</v>
      </c>
      <c r="W22" s="4">
        <v>6.0235054021608649E-2</v>
      </c>
      <c r="X22" s="4">
        <v>6.0163685474189682E-2</v>
      </c>
      <c r="Y22" s="4">
        <v>6.0092316926770716E-2</v>
      </c>
      <c r="Z22" s="4">
        <v>6.0020948379351749E-2</v>
      </c>
      <c r="AA22" s="4">
        <v>5.9949579831932782E-2</v>
      </c>
      <c r="AB22" s="4">
        <v>5.9878211284513816E-2</v>
      </c>
      <c r="AC22" s="4">
        <v>5.9806842737094849E-2</v>
      </c>
      <c r="AD22" s="4">
        <v>5.9735474189675883E-2</v>
      </c>
      <c r="AE22" s="4">
        <v>5.9664105642256916E-2</v>
      </c>
      <c r="AF22" s="4">
        <v>5.959273709483795E-2</v>
      </c>
      <c r="AG22" s="4">
        <v>5.9521368547418983E-2</v>
      </c>
      <c r="AH22" s="4">
        <v>5.9450000000000017E-2</v>
      </c>
      <c r="AI22" s="4">
        <v>5.937863145258105E-2</v>
      </c>
      <c r="AJ22" s="4">
        <v>5.9307262905162084E-2</v>
      </c>
      <c r="AK22" s="103">
        <v>5.923589435774311E-2</v>
      </c>
    </row>
    <row r="23" spans="9:37" x14ac:dyDescent="0.25">
      <c r="I23" s="102" t="s">
        <v>280</v>
      </c>
      <c r="J23" s="4">
        <v>3.0104920093479957E-2</v>
      </c>
      <c r="K23" s="4">
        <v>2.9689017903028053E-2</v>
      </c>
      <c r="L23" s="4">
        <v>2.9273115712576157E-2</v>
      </c>
      <c r="M23" s="4">
        <v>2.8857213522124257E-2</v>
      </c>
      <c r="N23" s="4">
        <v>2.8441311331672357E-2</v>
      </c>
      <c r="O23" s="4">
        <v>2.8025409141220457E-2</v>
      </c>
      <c r="P23" s="4">
        <v>2.7609506950768557E-2</v>
      </c>
      <c r="Q23" s="4">
        <v>2.719360476031665E-2</v>
      </c>
      <c r="R23" s="4">
        <v>2.7161612284128042E-2</v>
      </c>
      <c r="S23" s="4">
        <v>2.7129619807939435E-2</v>
      </c>
      <c r="T23" s="4">
        <v>2.7097627331750827E-2</v>
      </c>
      <c r="U23" s="4">
        <v>2.706563485556222E-2</v>
      </c>
      <c r="V23" s="4">
        <v>2.7033642379373612E-2</v>
      </c>
      <c r="W23" s="4">
        <v>2.7001649903185005E-2</v>
      </c>
      <c r="X23" s="4">
        <v>2.6969657426996398E-2</v>
      </c>
      <c r="Y23" s="4">
        <v>2.693766495080779E-2</v>
      </c>
      <c r="Z23" s="4">
        <v>2.6905672474619183E-2</v>
      </c>
      <c r="AA23" s="4">
        <v>2.6873679998430575E-2</v>
      </c>
      <c r="AB23" s="4">
        <v>2.6841687522241968E-2</v>
      </c>
      <c r="AC23" s="4">
        <v>2.680969504605336E-2</v>
      </c>
      <c r="AD23" s="4">
        <v>2.6777702569864753E-2</v>
      </c>
      <c r="AE23" s="4">
        <v>2.6745710093676146E-2</v>
      </c>
      <c r="AF23" s="4">
        <v>2.6713717617487535E-2</v>
      </c>
      <c r="AG23" s="4">
        <v>2.6681725141298927E-2</v>
      </c>
      <c r="AH23" s="4">
        <v>2.664973266511032E-2</v>
      </c>
      <c r="AI23" s="4">
        <v>2.6617740188921712E-2</v>
      </c>
      <c r="AJ23" s="4">
        <v>2.6585747712733105E-2</v>
      </c>
      <c r="AK23" s="103">
        <v>2.6553755236544494E-2</v>
      </c>
    </row>
    <row r="24" spans="9:37" x14ac:dyDescent="0.25">
      <c r="I24" s="102"/>
      <c r="AK24" s="103"/>
    </row>
    <row r="25" spans="9:37" x14ac:dyDescent="0.25">
      <c r="I25" s="102"/>
      <c r="AK25" s="103"/>
    </row>
    <row r="26" spans="9:37" x14ac:dyDescent="0.25">
      <c r="I26" s="102" t="s">
        <v>484</v>
      </c>
      <c r="AK26" s="103"/>
    </row>
    <row r="27" spans="9:37" x14ac:dyDescent="0.25">
      <c r="I27" s="102"/>
      <c r="J27" s="4">
        <v>2023</v>
      </c>
      <c r="K27" s="4">
        <v>2024</v>
      </c>
      <c r="L27" s="4">
        <v>2025</v>
      </c>
      <c r="M27" s="4">
        <v>2026</v>
      </c>
      <c r="N27" s="4">
        <v>2027</v>
      </c>
      <c r="O27" s="4">
        <v>2028</v>
      </c>
      <c r="P27" s="4">
        <v>2029</v>
      </c>
      <c r="Q27" s="4">
        <v>2030</v>
      </c>
      <c r="R27" s="4">
        <v>2031</v>
      </c>
      <c r="S27" s="4">
        <v>2032</v>
      </c>
      <c r="T27" s="4">
        <v>2033</v>
      </c>
      <c r="U27" s="4">
        <v>2034</v>
      </c>
      <c r="V27" s="4">
        <v>2035</v>
      </c>
      <c r="W27" s="4">
        <v>2036</v>
      </c>
      <c r="X27" s="4">
        <v>2037</v>
      </c>
      <c r="Y27" s="4">
        <v>2038</v>
      </c>
      <c r="Z27" s="4">
        <v>2039</v>
      </c>
      <c r="AA27" s="4">
        <v>2040</v>
      </c>
      <c r="AB27" s="4">
        <v>2041</v>
      </c>
      <c r="AC27" s="4">
        <v>2042</v>
      </c>
      <c r="AD27" s="4">
        <v>2043</v>
      </c>
      <c r="AE27" s="4">
        <v>2044</v>
      </c>
      <c r="AF27" s="4">
        <v>2045</v>
      </c>
      <c r="AG27" s="4">
        <v>2046</v>
      </c>
      <c r="AH27" s="4">
        <v>2047</v>
      </c>
      <c r="AI27" s="4">
        <v>2048</v>
      </c>
      <c r="AJ27" s="4">
        <v>2049</v>
      </c>
      <c r="AK27" s="103">
        <v>2050</v>
      </c>
    </row>
    <row r="28" spans="9:37" x14ac:dyDescent="0.25">
      <c r="I28" s="102" t="s">
        <v>409</v>
      </c>
      <c r="J28" s="4">
        <v>8.0999995899999996E-2</v>
      </c>
      <c r="K28" s="4">
        <v>8.0999995899999996E-2</v>
      </c>
      <c r="L28" s="4">
        <v>8.0999995899999996E-2</v>
      </c>
      <c r="M28" s="4">
        <v>8.0999995899999996E-2</v>
      </c>
      <c r="N28" s="4">
        <v>8.0999995899999996E-2</v>
      </c>
      <c r="O28" s="4">
        <v>8.0999995899999996E-2</v>
      </c>
      <c r="P28" s="4">
        <v>8.0999995899999996E-2</v>
      </c>
      <c r="Q28" s="4">
        <v>8.0999995899999996E-2</v>
      </c>
      <c r="R28" s="4">
        <v>8.3066662360000001E-2</v>
      </c>
      <c r="S28" s="4">
        <v>8.5133328820000007E-2</v>
      </c>
      <c r="T28" s="4">
        <v>8.7199995280000012E-2</v>
      </c>
      <c r="U28" s="4">
        <v>8.9266661740000017E-2</v>
      </c>
      <c r="V28" s="4">
        <v>9.1333328199999994E-2</v>
      </c>
      <c r="W28" s="4">
        <v>9.046666162E-2</v>
      </c>
      <c r="X28" s="4">
        <v>8.9599995039999991E-2</v>
      </c>
      <c r="Y28" s="4">
        <v>8.8733328459999983E-2</v>
      </c>
      <c r="Z28" s="4">
        <v>8.7866661879999974E-2</v>
      </c>
      <c r="AA28" s="4">
        <v>8.6999995299999994E-2</v>
      </c>
      <c r="AB28" s="4">
        <v>8.6133328719999985E-2</v>
      </c>
      <c r="AC28" s="4">
        <v>8.5266662139999991E-2</v>
      </c>
      <c r="AD28" s="4">
        <v>8.4399995559999982E-2</v>
      </c>
      <c r="AE28" s="4">
        <v>8.3533328979999974E-2</v>
      </c>
      <c r="AF28" s="4">
        <v>8.2666662399999993E-2</v>
      </c>
      <c r="AG28" s="4">
        <v>8.1799995819999985E-2</v>
      </c>
      <c r="AH28" s="4">
        <v>8.093332923999999E-2</v>
      </c>
      <c r="AI28" s="4">
        <v>8.0066662659999982E-2</v>
      </c>
      <c r="AJ28" s="4">
        <v>7.9199996079999987E-2</v>
      </c>
      <c r="AK28" s="103">
        <v>7.8333329499999993E-2</v>
      </c>
    </row>
    <row r="29" spans="9:37" x14ac:dyDescent="0.25">
      <c r="I29" s="102" t="s">
        <v>103</v>
      </c>
      <c r="J29" s="4">
        <v>0.17650758633144634</v>
      </c>
      <c r="K29" s="4">
        <v>0.17141203646151962</v>
      </c>
      <c r="L29" s="4">
        <v>0.16631648659159295</v>
      </c>
      <c r="M29" s="4">
        <v>0.16281432766630949</v>
      </c>
      <c r="N29" s="4">
        <v>0.15931216874102602</v>
      </c>
      <c r="O29" s="4">
        <v>0.15581000981574256</v>
      </c>
      <c r="P29" s="4">
        <v>0.15230785089045909</v>
      </c>
      <c r="Q29" s="4">
        <v>0.1488056919651756</v>
      </c>
      <c r="R29" s="4">
        <v>0.14909793604375518</v>
      </c>
      <c r="S29" s="4">
        <v>0.14939018012233476</v>
      </c>
      <c r="T29" s="4">
        <v>0.14968242420091435</v>
      </c>
      <c r="U29" s="4">
        <v>0.14997466827949391</v>
      </c>
      <c r="V29" s="4">
        <v>0.15026691235807355</v>
      </c>
      <c r="W29" s="4">
        <v>0.14685063279900346</v>
      </c>
      <c r="X29" s="4">
        <v>0.14343435323993334</v>
      </c>
      <c r="Y29" s="4">
        <v>0.14001807368086325</v>
      </c>
      <c r="Z29" s="4">
        <v>0.13660179412179316</v>
      </c>
      <c r="AA29" s="4">
        <v>0.1331855145627231</v>
      </c>
      <c r="AB29" s="4">
        <v>0.13003016708307891</v>
      </c>
      <c r="AC29" s="4">
        <v>0.12687481960343472</v>
      </c>
      <c r="AD29" s="4">
        <v>0.12371947212379053</v>
      </c>
      <c r="AE29" s="4">
        <v>0.12056412464414634</v>
      </c>
      <c r="AF29" s="4">
        <v>0.11740877716450215</v>
      </c>
      <c r="AG29" s="4">
        <v>0.11483288597039364</v>
      </c>
      <c r="AH29" s="4">
        <v>0.11225699477628512</v>
      </c>
      <c r="AI29" s="4">
        <v>0.10968110358217659</v>
      </c>
      <c r="AJ29" s="4">
        <v>0.10710521238806807</v>
      </c>
      <c r="AK29" s="103">
        <v>0.10452932119395957</v>
      </c>
    </row>
    <row r="30" spans="9:37" x14ac:dyDescent="0.25">
      <c r="I30" s="102" t="s">
        <v>186</v>
      </c>
      <c r="J30" s="4">
        <v>0.15796068463848831</v>
      </c>
      <c r="K30" s="4">
        <v>0.15426708731267802</v>
      </c>
      <c r="L30" s="4">
        <v>0.1505734899868677</v>
      </c>
      <c r="M30" s="4">
        <v>0.14821852539008218</v>
      </c>
      <c r="N30" s="4">
        <v>0.14586356079329663</v>
      </c>
      <c r="O30" s="4">
        <v>0.1435085961965111</v>
      </c>
      <c r="P30" s="4">
        <v>0.14115363159972555</v>
      </c>
      <c r="Q30" s="4">
        <v>0.13879866700293997</v>
      </c>
      <c r="R30" s="4">
        <v>0.1405953284523826</v>
      </c>
      <c r="S30" s="4">
        <v>0.14239198990182525</v>
      </c>
      <c r="T30" s="4">
        <v>0.14418865135126788</v>
      </c>
      <c r="U30" s="4">
        <v>0.14598531280071053</v>
      </c>
      <c r="V30" s="4">
        <v>0.14778197425015313</v>
      </c>
      <c r="W30" s="4">
        <v>0.14497239428752798</v>
      </c>
      <c r="X30" s="4">
        <v>0.14216281432490285</v>
      </c>
      <c r="Y30" s="4">
        <v>0.1393532343622777</v>
      </c>
      <c r="Z30" s="4">
        <v>0.13654365439965255</v>
      </c>
      <c r="AA30" s="4">
        <v>0.13373407443702739</v>
      </c>
      <c r="AB30" s="4">
        <v>0.13116562897048312</v>
      </c>
      <c r="AC30" s="4">
        <v>0.12859718350393887</v>
      </c>
      <c r="AD30" s="4">
        <v>0.12602873803739459</v>
      </c>
      <c r="AE30" s="4">
        <v>0.1234602925708503</v>
      </c>
      <c r="AF30" s="4">
        <v>0.12089184710430603</v>
      </c>
      <c r="AG30" s="4">
        <v>0.11844996886324041</v>
      </c>
      <c r="AH30" s="4">
        <v>0.11600809062217481</v>
      </c>
      <c r="AI30" s="4">
        <v>0.1135662123811092</v>
      </c>
      <c r="AJ30" s="4">
        <v>0.11112433414004359</v>
      </c>
      <c r="AK30" s="103">
        <v>0.10868245589897794</v>
      </c>
    </row>
    <row r="31" spans="9:37" x14ac:dyDescent="0.25">
      <c r="I31" s="102" t="s">
        <v>187</v>
      </c>
      <c r="J31" s="4">
        <v>0.33860978809845654</v>
      </c>
      <c r="K31" s="4">
        <v>0.32399893120368356</v>
      </c>
      <c r="L31" s="4">
        <v>0.30938807430891058</v>
      </c>
      <c r="M31" s="4">
        <v>0.29628478287221349</v>
      </c>
      <c r="N31" s="4">
        <v>0.28318149143551641</v>
      </c>
      <c r="O31" s="4">
        <v>0.27007819999881932</v>
      </c>
      <c r="P31" s="4">
        <v>0.25697490856212224</v>
      </c>
      <c r="Q31" s="4">
        <v>0.24387161712542507</v>
      </c>
      <c r="R31" s="4">
        <v>0.23813955720586791</v>
      </c>
      <c r="S31" s="4">
        <v>0.23240749728631072</v>
      </c>
      <c r="T31" s="4">
        <v>0.22667543736675355</v>
      </c>
      <c r="U31" s="4">
        <v>0.22094337744719639</v>
      </c>
      <c r="V31" s="4">
        <v>0.21521131752763925</v>
      </c>
      <c r="W31" s="4">
        <v>0.20784400914982837</v>
      </c>
      <c r="X31" s="4">
        <v>0.20047670077201749</v>
      </c>
      <c r="Y31" s="4">
        <v>0.19310939239420657</v>
      </c>
      <c r="Z31" s="4">
        <v>0.18574208401639569</v>
      </c>
      <c r="AA31" s="4">
        <v>0.17837477563858489</v>
      </c>
      <c r="AB31" s="4">
        <v>0.17337343843558548</v>
      </c>
      <c r="AC31" s="4">
        <v>0.16837210123258603</v>
      </c>
      <c r="AD31" s="4">
        <v>0.16337076402958661</v>
      </c>
      <c r="AE31" s="4">
        <v>0.15836942682658722</v>
      </c>
      <c r="AF31" s="4">
        <v>0.15336808962358783</v>
      </c>
      <c r="AG31" s="4">
        <v>0.14990370608596207</v>
      </c>
      <c r="AH31" s="4">
        <v>0.1464393225483363</v>
      </c>
      <c r="AI31" s="4">
        <v>0.14297493901071057</v>
      </c>
      <c r="AJ31" s="4">
        <v>0.1395105554730848</v>
      </c>
      <c r="AK31" s="103">
        <v>0.13604617193545901</v>
      </c>
    </row>
    <row r="32" spans="9:37" x14ac:dyDescent="0.25">
      <c r="I32" s="102" t="s">
        <v>11</v>
      </c>
      <c r="J32" s="4">
        <v>6.4802641056422569E-2</v>
      </c>
      <c r="K32" s="4">
        <v>6.3089795918367345E-2</v>
      </c>
      <c r="L32" s="4">
        <v>6.1376950780312127E-2</v>
      </c>
      <c r="M32" s="4">
        <v>5.9664105642256909E-2</v>
      </c>
      <c r="N32" s="4">
        <v>5.7951260504201692E-2</v>
      </c>
      <c r="O32" s="4">
        <v>5.6238415366146474E-2</v>
      </c>
      <c r="P32" s="4">
        <v>5.4525570228091257E-2</v>
      </c>
      <c r="Q32" s="4">
        <v>5.2812725090036025E-2</v>
      </c>
      <c r="R32" s="4">
        <v>5.2313145258103252E-2</v>
      </c>
      <c r="S32" s="4">
        <v>5.181356542617048E-2</v>
      </c>
      <c r="T32" s="4">
        <v>5.1313985594237707E-2</v>
      </c>
      <c r="U32" s="4">
        <v>5.0814405762304934E-2</v>
      </c>
      <c r="V32" s="4">
        <v>5.0314825930372155E-2</v>
      </c>
      <c r="W32" s="4">
        <v>4.9815246098439382E-2</v>
      </c>
      <c r="X32" s="4">
        <v>4.931566626650661E-2</v>
      </c>
      <c r="Y32" s="4">
        <v>4.8816086434573837E-2</v>
      </c>
      <c r="Z32" s="4">
        <v>4.8316506602641064E-2</v>
      </c>
      <c r="AA32" s="4">
        <v>4.7816926770708292E-2</v>
      </c>
      <c r="AB32" s="4">
        <v>4.7317346938775519E-2</v>
      </c>
      <c r="AC32" s="4">
        <v>4.6817767106842746E-2</v>
      </c>
      <c r="AD32" s="4">
        <v>4.6318187274909974E-2</v>
      </c>
      <c r="AE32" s="4">
        <v>4.5818607442977201E-2</v>
      </c>
      <c r="AF32" s="4">
        <v>4.5319027611044428E-2</v>
      </c>
      <c r="AG32" s="4">
        <v>4.4819447779111656E-2</v>
      </c>
      <c r="AH32" s="4">
        <v>4.4319867947178883E-2</v>
      </c>
      <c r="AI32" s="4">
        <v>4.382028811524611E-2</v>
      </c>
      <c r="AJ32" s="4">
        <v>4.3320708283313338E-2</v>
      </c>
      <c r="AK32" s="103">
        <v>4.2821128451380565E-2</v>
      </c>
    </row>
    <row r="33" spans="9:37" x14ac:dyDescent="0.25">
      <c r="I33" s="102" t="s">
        <v>279</v>
      </c>
      <c r="J33" s="4">
        <v>6.4802641056422569E-2</v>
      </c>
      <c r="K33" s="4">
        <v>6.3089795918367345E-2</v>
      </c>
      <c r="L33" s="4">
        <v>6.1376950780312127E-2</v>
      </c>
      <c r="M33" s="4">
        <v>5.9664105642256909E-2</v>
      </c>
      <c r="N33" s="4">
        <v>5.7951260504201692E-2</v>
      </c>
      <c r="O33" s="4">
        <v>5.6238415366146474E-2</v>
      </c>
      <c r="P33" s="4">
        <v>5.4525570228091257E-2</v>
      </c>
      <c r="Q33" s="4">
        <v>5.2812725090036025E-2</v>
      </c>
      <c r="R33" s="4">
        <v>5.2313145258103252E-2</v>
      </c>
      <c r="S33" s="4">
        <v>5.181356542617048E-2</v>
      </c>
      <c r="T33" s="4">
        <v>5.1313985594237707E-2</v>
      </c>
      <c r="U33" s="4">
        <v>5.0814405762304934E-2</v>
      </c>
      <c r="V33" s="4">
        <v>5.0314825930372155E-2</v>
      </c>
      <c r="W33" s="4">
        <v>4.9815246098439382E-2</v>
      </c>
      <c r="X33" s="4">
        <v>4.931566626650661E-2</v>
      </c>
      <c r="Y33" s="4">
        <v>4.8816086434573837E-2</v>
      </c>
      <c r="Z33" s="4">
        <v>4.8316506602641064E-2</v>
      </c>
      <c r="AA33" s="4">
        <v>4.7816926770708292E-2</v>
      </c>
      <c r="AB33" s="4">
        <v>4.7317346938775519E-2</v>
      </c>
      <c r="AC33" s="4">
        <v>4.6817767106842746E-2</v>
      </c>
      <c r="AD33" s="4">
        <v>4.6318187274909974E-2</v>
      </c>
      <c r="AE33" s="4">
        <v>4.5818607442977201E-2</v>
      </c>
      <c r="AF33" s="4">
        <v>4.5319027611044428E-2</v>
      </c>
      <c r="AG33" s="4">
        <v>4.4819447779111656E-2</v>
      </c>
      <c r="AH33" s="4">
        <v>4.4319867947178883E-2</v>
      </c>
      <c r="AI33" s="4">
        <v>4.382028811524611E-2</v>
      </c>
      <c r="AJ33" s="4">
        <v>4.3320708283313338E-2</v>
      </c>
      <c r="AK33" s="103">
        <v>4.2821128451380565E-2</v>
      </c>
    </row>
    <row r="34" spans="9:37" x14ac:dyDescent="0.25">
      <c r="I34" s="102" t="s">
        <v>280</v>
      </c>
      <c r="J34" s="4">
        <v>2.9049168379255901E-2</v>
      </c>
      <c r="K34" s="4">
        <v>2.8281348950729313E-2</v>
      </c>
      <c r="L34" s="4">
        <v>2.7513529522202727E-2</v>
      </c>
      <c r="M34" s="4">
        <v>2.6745710093676139E-2</v>
      </c>
      <c r="N34" s="4">
        <v>2.597789066514955E-2</v>
      </c>
      <c r="O34" s="4">
        <v>2.5210071236622961E-2</v>
      </c>
      <c r="P34" s="4">
        <v>2.4442251808096373E-2</v>
      </c>
      <c r="Q34" s="4">
        <v>2.3674432379569791E-2</v>
      </c>
      <c r="R34" s="4">
        <v>2.3450485046249536E-2</v>
      </c>
      <c r="S34" s="4">
        <v>2.322653771292928E-2</v>
      </c>
      <c r="T34" s="4">
        <v>2.3002590379609025E-2</v>
      </c>
      <c r="U34" s="4">
        <v>2.2778643046288769E-2</v>
      </c>
      <c r="V34" s="4">
        <v>2.2554695712968514E-2</v>
      </c>
      <c r="W34" s="4">
        <v>2.2330748379648258E-2</v>
      </c>
      <c r="X34" s="4">
        <v>2.2106801046328003E-2</v>
      </c>
      <c r="Y34" s="4">
        <v>2.1882853713007747E-2</v>
      </c>
      <c r="Z34" s="4">
        <v>2.1658906379687492E-2</v>
      </c>
      <c r="AA34" s="4">
        <v>2.1434959046367243E-2</v>
      </c>
      <c r="AB34" s="4">
        <v>2.1211011713046988E-2</v>
      </c>
      <c r="AC34" s="4">
        <v>2.0987064379726732E-2</v>
      </c>
      <c r="AD34" s="4">
        <v>2.0763117046406477E-2</v>
      </c>
      <c r="AE34" s="4">
        <v>2.0539169713086221E-2</v>
      </c>
      <c r="AF34" s="4">
        <v>2.0315222379765973E-2</v>
      </c>
      <c r="AG34" s="4">
        <v>2.0091275046445718E-2</v>
      </c>
      <c r="AH34" s="4">
        <v>1.9867327713125462E-2</v>
      </c>
      <c r="AI34" s="4">
        <v>1.9643380379805207E-2</v>
      </c>
      <c r="AJ34" s="4">
        <v>1.9419433046484951E-2</v>
      </c>
      <c r="AK34" s="103">
        <v>1.9195485713164699E-2</v>
      </c>
    </row>
    <row r="35" spans="9:37" x14ac:dyDescent="0.25">
      <c r="I35" s="102"/>
      <c r="AK35" s="103"/>
    </row>
    <row r="36" spans="9:37" x14ac:dyDescent="0.25">
      <c r="I36" s="102"/>
      <c r="AK36" s="103"/>
    </row>
    <row r="37" spans="9:37" x14ac:dyDescent="0.25">
      <c r="I37" s="102" t="s">
        <v>485</v>
      </c>
      <c r="AK37" s="103"/>
    </row>
    <row r="38" spans="9:37" x14ac:dyDescent="0.25">
      <c r="I38" s="102"/>
      <c r="J38" s="4">
        <v>2023</v>
      </c>
      <c r="K38" s="4">
        <v>2024</v>
      </c>
      <c r="L38" s="4">
        <v>2025</v>
      </c>
      <c r="M38" s="4">
        <v>2026</v>
      </c>
      <c r="N38" s="4">
        <v>2027</v>
      </c>
      <c r="O38" s="4">
        <v>2028</v>
      </c>
      <c r="P38" s="4">
        <v>2029</v>
      </c>
      <c r="Q38" s="4">
        <v>2030</v>
      </c>
      <c r="R38" s="4">
        <v>2031</v>
      </c>
      <c r="S38" s="4">
        <v>2032</v>
      </c>
      <c r="T38" s="4">
        <v>2033</v>
      </c>
      <c r="U38" s="4">
        <v>2034</v>
      </c>
      <c r="V38" s="4">
        <v>2035</v>
      </c>
      <c r="W38" s="4">
        <v>2036</v>
      </c>
      <c r="X38" s="4">
        <v>2037</v>
      </c>
      <c r="Y38" s="4">
        <v>2038</v>
      </c>
      <c r="Z38" s="4">
        <v>2039</v>
      </c>
      <c r="AA38" s="4">
        <v>2040</v>
      </c>
      <c r="AB38" s="4">
        <v>2041</v>
      </c>
      <c r="AC38" s="4">
        <v>2042</v>
      </c>
      <c r="AD38" s="4">
        <v>2043</v>
      </c>
      <c r="AE38" s="4">
        <v>2044</v>
      </c>
      <c r="AF38" s="4">
        <v>2045</v>
      </c>
      <c r="AG38" s="4">
        <v>2046</v>
      </c>
      <c r="AH38" s="4">
        <v>2047</v>
      </c>
      <c r="AI38" s="4">
        <v>2048</v>
      </c>
      <c r="AJ38" s="4">
        <v>2049</v>
      </c>
      <c r="AK38" s="103">
        <v>2050</v>
      </c>
    </row>
    <row r="39" spans="9:37" x14ac:dyDescent="0.25">
      <c r="I39" s="102" t="s">
        <v>409</v>
      </c>
      <c r="J39" s="4">
        <v>9.4166661249999992E-2</v>
      </c>
      <c r="K39" s="4">
        <v>9.4166661249999992E-2</v>
      </c>
      <c r="L39" s="4">
        <v>9.4166661249999992E-2</v>
      </c>
      <c r="M39" s="4">
        <v>9.4166661249999992E-2</v>
      </c>
      <c r="N39" s="4">
        <v>9.4166661249999992E-2</v>
      </c>
      <c r="O39" s="4">
        <v>9.4166661249999992E-2</v>
      </c>
      <c r="P39" s="4">
        <v>9.4166661249999992E-2</v>
      </c>
      <c r="Q39" s="4">
        <v>9.4166661249999992E-2</v>
      </c>
      <c r="R39" s="4">
        <v>9.5999994399999997E-2</v>
      </c>
      <c r="S39" s="4">
        <v>9.7833327550000002E-2</v>
      </c>
      <c r="T39" s="4">
        <v>9.9666660700000007E-2</v>
      </c>
      <c r="U39" s="4">
        <v>0.10149999385000001</v>
      </c>
      <c r="V39" s="4">
        <v>0.103333327</v>
      </c>
      <c r="W39" s="4">
        <v>0.1023333271</v>
      </c>
      <c r="X39" s="4">
        <v>0.10133332719999999</v>
      </c>
      <c r="Y39" s="4">
        <v>0.10033332729999998</v>
      </c>
      <c r="Z39" s="4">
        <v>9.9333327399999977E-2</v>
      </c>
      <c r="AA39" s="4">
        <v>9.8333327499999998E-2</v>
      </c>
      <c r="AB39" s="4">
        <v>9.7333327599999991E-2</v>
      </c>
      <c r="AC39" s="4">
        <v>9.6333327699999985E-2</v>
      </c>
      <c r="AD39" s="4">
        <v>9.5333327799999978E-2</v>
      </c>
      <c r="AE39" s="4">
        <v>9.4333327899999986E-2</v>
      </c>
      <c r="AF39" s="4">
        <v>9.3333328000000007E-2</v>
      </c>
      <c r="AG39" s="4">
        <v>9.2333328100000001E-2</v>
      </c>
      <c r="AH39" s="4">
        <v>9.1333328199999994E-2</v>
      </c>
      <c r="AI39" s="4">
        <v>9.0333328299999988E-2</v>
      </c>
      <c r="AJ39" s="4">
        <v>8.9333328399999981E-2</v>
      </c>
      <c r="AK39" s="103">
        <v>8.8333328500000016E-2</v>
      </c>
    </row>
    <row r="40" spans="9:37" x14ac:dyDescent="0.25">
      <c r="I40" s="102" t="s">
        <v>103</v>
      </c>
      <c r="J40" s="4">
        <v>0.19695917693522813</v>
      </c>
      <c r="K40" s="4">
        <v>0.1918445490889919</v>
      </c>
      <c r="L40" s="4">
        <v>0.1867299212427557</v>
      </c>
      <c r="M40" s="4">
        <v>0.18316543121930073</v>
      </c>
      <c r="N40" s="4">
        <v>0.1796009411958458</v>
      </c>
      <c r="O40" s="4">
        <v>0.17603645117239083</v>
      </c>
      <c r="P40" s="4">
        <v>0.17247196114893587</v>
      </c>
      <c r="Q40" s="4">
        <v>0.16890747112548093</v>
      </c>
      <c r="R40" s="4">
        <v>0.16876144856602932</v>
      </c>
      <c r="S40" s="4">
        <v>0.16861542600657767</v>
      </c>
      <c r="T40" s="4">
        <v>0.16846940344712602</v>
      </c>
      <c r="U40" s="4">
        <v>0.1683233808876744</v>
      </c>
      <c r="V40" s="4">
        <v>0.16817735832822278</v>
      </c>
      <c r="W40" s="4">
        <v>0.16448316805908789</v>
      </c>
      <c r="X40" s="4">
        <v>0.16078897778995299</v>
      </c>
      <c r="Y40" s="4">
        <v>0.15709478752081807</v>
      </c>
      <c r="Z40" s="4">
        <v>0.15340059725168312</v>
      </c>
      <c r="AA40" s="4">
        <v>0.1497064069825482</v>
      </c>
      <c r="AB40" s="4">
        <v>0.14627718374621171</v>
      </c>
      <c r="AC40" s="4">
        <v>0.14284796050987525</v>
      </c>
      <c r="AD40" s="4">
        <v>0.13941873727353876</v>
      </c>
      <c r="AE40" s="4">
        <v>0.13598951403720227</v>
      </c>
      <c r="AF40" s="4">
        <v>0.13256029080086582</v>
      </c>
      <c r="AG40" s="4">
        <v>0.12972417970496936</v>
      </c>
      <c r="AH40" s="4">
        <v>0.12688806860907287</v>
      </c>
      <c r="AI40" s="4">
        <v>0.12405195751317638</v>
      </c>
      <c r="AJ40" s="4">
        <v>0.12121584641727991</v>
      </c>
      <c r="AK40" s="103">
        <v>0.11837973532138339</v>
      </c>
    </row>
    <row r="41" spans="9:37" x14ac:dyDescent="0.25">
      <c r="I41" s="102" t="s">
        <v>186</v>
      </c>
      <c r="J41" s="4">
        <v>0.18104231880665794</v>
      </c>
      <c r="K41" s="4">
        <v>0.17732719010569079</v>
      </c>
      <c r="L41" s="4">
        <v>0.17361206140472354</v>
      </c>
      <c r="M41" s="4">
        <v>0.17118675002498271</v>
      </c>
      <c r="N41" s="4">
        <v>0.16876143864524187</v>
      </c>
      <c r="O41" s="4">
        <v>0.16633612726550104</v>
      </c>
      <c r="P41" s="4">
        <v>0.1639108158857602</v>
      </c>
      <c r="Q41" s="4">
        <v>0.16148550450601945</v>
      </c>
      <c r="R41" s="4">
        <v>0.1627875388918204</v>
      </c>
      <c r="S41" s="4">
        <v>0.16408957327762139</v>
      </c>
      <c r="T41" s="4">
        <v>0.16539160766342234</v>
      </c>
      <c r="U41" s="4">
        <v>0.16669364204922332</v>
      </c>
      <c r="V41" s="4">
        <v>0.16799567643502425</v>
      </c>
      <c r="W41" s="4">
        <v>0.16487244686609676</v>
      </c>
      <c r="X41" s="4">
        <v>0.16174921729716923</v>
      </c>
      <c r="Y41" s="4">
        <v>0.15862598772824177</v>
      </c>
      <c r="Z41" s="4">
        <v>0.15550275815931427</v>
      </c>
      <c r="AA41" s="4">
        <v>0.15237952859038681</v>
      </c>
      <c r="AB41" s="4">
        <v>0.14950198735980291</v>
      </c>
      <c r="AC41" s="4">
        <v>0.14662444612921899</v>
      </c>
      <c r="AD41" s="4">
        <v>0.14374690489863506</v>
      </c>
      <c r="AE41" s="4">
        <v>0.14086936366805117</v>
      </c>
      <c r="AF41" s="4">
        <v>0.13799182243746722</v>
      </c>
      <c r="AG41" s="4">
        <v>0.1352562604095163</v>
      </c>
      <c r="AH41" s="4">
        <v>0.13252069838156535</v>
      </c>
      <c r="AI41" s="4">
        <v>0.12978513635361441</v>
      </c>
      <c r="AJ41" s="4">
        <v>0.12704957432566347</v>
      </c>
      <c r="AK41" s="103">
        <v>0.12431401229771254</v>
      </c>
    </row>
    <row r="42" spans="9:37" x14ac:dyDescent="0.25">
      <c r="I42" s="102" t="s">
        <v>187</v>
      </c>
      <c r="J42" s="4">
        <v>0.36417427635318367</v>
      </c>
      <c r="K42" s="4">
        <v>0.34953957198802377</v>
      </c>
      <c r="L42" s="4">
        <v>0.33490486762286403</v>
      </c>
      <c r="M42" s="4">
        <v>0.32172366231345256</v>
      </c>
      <c r="N42" s="4">
        <v>0.30854245700404115</v>
      </c>
      <c r="O42" s="4">
        <v>0.29536125169462968</v>
      </c>
      <c r="P42" s="4">
        <v>0.28218004638521826</v>
      </c>
      <c r="Q42" s="4">
        <v>0.26899884107580674</v>
      </c>
      <c r="R42" s="4">
        <v>0.26271894785871058</v>
      </c>
      <c r="S42" s="4">
        <v>0.25643905464161443</v>
      </c>
      <c r="T42" s="4">
        <v>0.25015916142451827</v>
      </c>
      <c r="U42" s="4">
        <v>0.24387926820742209</v>
      </c>
      <c r="V42" s="4">
        <v>0.23759937499032585</v>
      </c>
      <c r="W42" s="4">
        <v>0.22988467822493394</v>
      </c>
      <c r="X42" s="4">
        <v>0.22216998145954203</v>
      </c>
      <c r="Y42" s="4">
        <v>0.21445528469415012</v>
      </c>
      <c r="Z42" s="4">
        <v>0.20674058792875821</v>
      </c>
      <c r="AA42" s="4">
        <v>0.19902589116336625</v>
      </c>
      <c r="AB42" s="4">
        <v>0.19368220926450147</v>
      </c>
      <c r="AC42" s="4">
        <v>0.18833852736563667</v>
      </c>
      <c r="AD42" s="4">
        <v>0.18299484546677189</v>
      </c>
      <c r="AE42" s="4">
        <v>0.17765116356790711</v>
      </c>
      <c r="AF42" s="4">
        <v>0.17230748166904239</v>
      </c>
      <c r="AG42" s="4">
        <v>0.16851782325418166</v>
      </c>
      <c r="AH42" s="4">
        <v>0.16472816483932096</v>
      </c>
      <c r="AI42" s="4">
        <v>0.16093850642446025</v>
      </c>
      <c r="AJ42" s="4">
        <v>0.15714884800959955</v>
      </c>
      <c r="AK42" s="103">
        <v>0.15335918959473879</v>
      </c>
    </row>
    <row r="43" spans="9:37" x14ac:dyDescent="0.25">
      <c r="I43" s="102" t="s">
        <v>11</v>
      </c>
      <c r="J43" s="4">
        <v>5.7951260504201685E-2</v>
      </c>
      <c r="K43" s="4">
        <v>5.3954621848739497E-2</v>
      </c>
      <c r="L43" s="4">
        <v>4.9957983193277315E-2</v>
      </c>
      <c r="M43" s="4">
        <v>4.5961344537815127E-2</v>
      </c>
      <c r="N43" s="4">
        <v>4.1964705882352946E-2</v>
      </c>
      <c r="O43" s="4">
        <v>3.7968067226890764E-2</v>
      </c>
      <c r="P43" s="4">
        <v>3.3971428571428583E-2</v>
      </c>
      <c r="Q43" s="4">
        <v>2.9974789915966391E-2</v>
      </c>
      <c r="R43" s="4">
        <v>2.9368157262905165E-2</v>
      </c>
      <c r="S43" s="4">
        <v>2.8761524609843939E-2</v>
      </c>
      <c r="T43" s="4">
        <v>2.8154891956782713E-2</v>
      </c>
      <c r="U43" s="4">
        <v>2.7548259303721487E-2</v>
      </c>
      <c r="V43" s="4">
        <v>2.6941626650660268E-2</v>
      </c>
      <c r="W43" s="4">
        <v>2.6334993997599043E-2</v>
      </c>
      <c r="X43" s="4">
        <v>2.5728361344537817E-2</v>
      </c>
      <c r="Y43" s="4">
        <v>2.5121728691476591E-2</v>
      </c>
      <c r="Z43" s="4">
        <v>2.4515096038415365E-2</v>
      </c>
      <c r="AA43" s="4">
        <v>2.3908463385354146E-2</v>
      </c>
      <c r="AB43" s="4">
        <v>2.330183073229292E-2</v>
      </c>
      <c r="AC43" s="4">
        <v>2.2695198079231694E-2</v>
      </c>
      <c r="AD43" s="4">
        <v>2.2088565426170468E-2</v>
      </c>
      <c r="AE43" s="4">
        <v>2.1481932773109242E-2</v>
      </c>
      <c r="AF43" s="4">
        <v>2.0875300120048023E-2</v>
      </c>
      <c r="AG43" s="4">
        <v>2.0268667466986797E-2</v>
      </c>
      <c r="AH43" s="4">
        <v>1.9662034813925571E-2</v>
      </c>
      <c r="AI43" s="4">
        <v>1.9055402160864345E-2</v>
      </c>
      <c r="AJ43" s="4">
        <v>1.8448769507803119E-2</v>
      </c>
      <c r="AK43" s="103">
        <v>1.78421368547419E-2</v>
      </c>
    </row>
    <row r="44" spans="9:37" x14ac:dyDescent="0.25">
      <c r="I44" s="102" t="s">
        <v>279</v>
      </c>
      <c r="J44" s="4">
        <v>5.7951260504201685E-2</v>
      </c>
      <c r="K44" s="4">
        <v>5.3954621848739497E-2</v>
      </c>
      <c r="L44" s="4">
        <v>4.9957983193277315E-2</v>
      </c>
      <c r="M44" s="4">
        <v>4.5961344537815127E-2</v>
      </c>
      <c r="N44" s="4">
        <v>4.1964705882352946E-2</v>
      </c>
      <c r="O44" s="4">
        <v>3.7968067226890764E-2</v>
      </c>
      <c r="P44" s="4">
        <v>3.3971428571428583E-2</v>
      </c>
      <c r="Q44" s="4">
        <v>2.9974789915966391E-2</v>
      </c>
      <c r="R44" s="4">
        <v>2.9368157262905165E-2</v>
      </c>
      <c r="S44" s="4">
        <v>2.8761524609843939E-2</v>
      </c>
      <c r="T44" s="4">
        <v>2.8154891956782713E-2</v>
      </c>
      <c r="U44" s="4">
        <v>2.7548259303721487E-2</v>
      </c>
      <c r="V44" s="4">
        <v>2.6941626650660268E-2</v>
      </c>
      <c r="W44" s="4">
        <v>2.6334993997599043E-2</v>
      </c>
      <c r="X44" s="4">
        <v>2.5728361344537817E-2</v>
      </c>
      <c r="Y44" s="4">
        <v>2.5121728691476591E-2</v>
      </c>
      <c r="Z44" s="4">
        <v>2.4515096038415365E-2</v>
      </c>
      <c r="AA44" s="4">
        <v>2.3908463385354146E-2</v>
      </c>
      <c r="AB44" s="4">
        <v>2.330183073229292E-2</v>
      </c>
      <c r="AC44" s="4">
        <v>2.2695198079231694E-2</v>
      </c>
      <c r="AD44" s="4">
        <v>2.2088565426170468E-2</v>
      </c>
      <c r="AE44" s="4">
        <v>2.1481932773109242E-2</v>
      </c>
      <c r="AF44" s="4">
        <v>2.0875300120048023E-2</v>
      </c>
      <c r="AG44" s="4">
        <v>2.0268667466986797E-2</v>
      </c>
      <c r="AH44" s="4">
        <v>1.9662034813925571E-2</v>
      </c>
      <c r="AI44" s="4">
        <v>1.9055402160864345E-2</v>
      </c>
      <c r="AJ44" s="4">
        <v>1.8448769507803119E-2</v>
      </c>
      <c r="AK44" s="103">
        <v>1.78421368547419E-2</v>
      </c>
    </row>
    <row r="45" spans="9:37" ht="15.75" thickBot="1" x14ac:dyDescent="0.3">
      <c r="I45" s="104" t="s">
        <v>280</v>
      </c>
      <c r="J45" s="105">
        <v>2.5977890665149557E-2</v>
      </c>
      <c r="K45" s="105">
        <v>2.418631199858752E-2</v>
      </c>
      <c r="L45" s="105">
        <v>2.2394733332025477E-2</v>
      </c>
      <c r="M45" s="105">
        <v>2.060315466546344E-2</v>
      </c>
      <c r="N45" s="105">
        <v>1.8811575998901403E-2</v>
      </c>
      <c r="O45" s="105">
        <v>1.7019997332339366E-2</v>
      </c>
      <c r="P45" s="105">
        <v>1.5228418665777328E-2</v>
      </c>
      <c r="Q45" s="105">
        <v>1.3436839999215288E-2</v>
      </c>
      <c r="R45" s="105">
        <v>1.3164903951612121E-2</v>
      </c>
      <c r="S45" s="105">
        <v>1.2892967904008954E-2</v>
      </c>
      <c r="T45" s="105">
        <v>1.2621031856405788E-2</v>
      </c>
      <c r="U45" s="105">
        <v>1.2349095808802621E-2</v>
      </c>
      <c r="V45" s="105">
        <v>1.2077159761199453E-2</v>
      </c>
      <c r="W45" s="105">
        <v>1.1805223713596286E-2</v>
      </c>
      <c r="X45" s="105">
        <v>1.153328766599312E-2</v>
      </c>
      <c r="Y45" s="105">
        <v>1.1261351618389953E-2</v>
      </c>
      <c r="Z45" s="105">
        <v>1.0989415570786787E-2</v>
      </c>
      <c r="AA45" s="105">
        <v>1.0717479523183622E-2</v>
      </c>
      <c r="AB45" s="105">
        <v>1.0445543475580455E-2</v>
      </c>
      <c r="AC45" s="105">
        <v>1.0173607427977288E-2</v>
      </c>
      <c r="AD45" s="105">
        <v>9.9016713803741219E-3</v>
      </c>
      <c r="AE45" s="105">
        <v>9.6297353327709553E-3</v>
      </c>
      <c r="AF45" s="105">
        <v>9.3577992851677887E-3</v>
      </c>
      <c r="AG45" s="105">
        <v>9.0858632375646221E-3</v>
      </c>
      <c r="AH45" s="105">
        <v>8.8139271899614555E-3</v>
      </c>
      <c r="AI45" s="105">
        <v>8.5419911423582889E-3</v>
      </c>
      <c r="AJ45" s="105">
        <v>8.2700550947551223E-3</v>
      </c>
      <c r="AK45" s="106">
        <v>7.9981190471519557E-3</v>
      </c>
    </row>
    <row r="49" spans="8:87" x14ac:dyDescent="0.25">
      <c r="I49" s="4" t="s">
        <v>494</v>
      </c>
    </row>
    <row r="50" spans="8:87" x14ac:dyDescent="0.25">
      <c r="I50" s="152" t="s">
        <v>504</v>
      </c>
    </row>
    <row r="51" spans="8:87" x14ac:dyDescent="0.25">
      <c r="I51" s="4" t="s">
        <v>495</v>
      </c>
    </row>
    <row r="52" spans="8:87" x14ac:dyDescent="0.25">
      <c r="I52" s="4" t="s">
        <v>496</v>
      </c>
      <c r="J52" s="4">
        <v>2023</v>
      </c>
      <c r="K52" s="4">
        <v>2024</v>
      </c>
      <c r="L52" s="4">
        <v>2025</v>
      </c>
      <c r="M52" s="4">
        <v>2026</v>
      </c>
      <c r="N52" s="4">
        <v>2027</v>
      </c>
      <c r="O52" s="4">
        <v>2028</v>
      </c>
      <c r="P52" s="4">
        <v>2029</v>
      </c>
      <c r="Q52" s="4">
        <v>2030</v>
      </c>
      <c r="R52" s="4">
        <v>2031</v>
      </c>
      <c r="S52" s="4">
        <v>2032</v>
      </c>
      <c r="T52" s="4">
        <v>2033</v>
      </c>
      <c r="U52" s="4">
        <v>2034</v>
      </c>
      <c r="V52" s="4">
        <v>2035</v>
      </c>
      <c r="W52" s="4">
        <v>2036</v>
      </c>
      <c r="X52" s="4">
        <v>2037</v>
      </c>
      <c r="Y52" s="4">
        <v>2038</v>
      </c>
      <c r="Z52" s="4">
        <v>2039</v>
      </c>
      <c r="AA52" s="4">
        <v>2040</v>
      </c>
      <c r="AB52" s="4">
        <v>2041</v>
      </c>
      <c r="AC52" s="4">
        <v>2042</v>
      </c>
      <c r="AD52" s="4">
        <v>2043</v>
      </c>
      <c r="AE52" s="4">
        <v>2044</v>
      </c>
      <c r="AF52" s="4">
        <v>2045</v>
      </c>
      <c r="AG52" s="4">
        <v>2046</v>
      </c>
      <c r="AH52" s="4">
        <v>2047</v>
      </c>
      <c r="AI52" s="4">
        <v>2048</v>
      </c>
      <c r="AJ52" s="4">
        <v>2049</v>
      </c>
      <c r="AK52" s="4">
        <v>2050</v>
      </c>
    </row>
    <row r="53" spans="8:87" x14ac:dyDescent="0.25">
      <c r="H53" s="152" t="s">
        <v>507</v>
      </c>
      <c r="I53" s="4" t="s">
        <v>420</v>
      </c>
      <c r="J53" s="4">
        <v>95.2</v>
      </c>
      <c r="K53" s="4">
        <v>113.5</v>
      </c>
      <c r="L53" s="4">
        <v>131.69999999999999</v>
      </c>
      <c r="M53" s="4">
        <v>150</v>
      </c>
      <c r="N53" s="4">
        <v>168.2</v>
      </c>
      <c r="O53" s="4">
        <v>186.5</v>
      </c>
      <c r="P53" s="4">
        <v>204.7</v>
      </c>
      <c r="Q53" s="4">
        <v>223</v>
      </c>
      <c r="R53" s="4">
        <v>223</v>
      </c>
      <c r="S53" s="4">
        <v>223</v>
      </c>
      <c r="T53" s="4">
        <v>223</v>
      </c>
      <c r="U53" s="4">
        <v>223</v>
      </c>
      <c r="V53" s="4">
        <v>223</v>
      </c>
      <c r="W53" s="4">
        <v>223</v>
      </c>
      <c r="X53" s="4">
        <v>223</v>
      </c>
      <c r="Y53" s="4">
        <v>223</v>
      </c>
      <c r="Z53" s="4">
        <v>223</v>
      </c>
      <c r="AA53" s="4">
        <v>223</v>
      </c>
      <c r="AB53" s="4">
        <v>223</v>
      </c>
      <c r="AC53" s="4">
        <v>223</v>
      </c>
      <c r="AD53" s="4">
        <v>223</v>
      </c>
      <c r="AE53" s="4">
        <v>223</v>
      </c>
      <c r="AF53" s="4">
        <v>223</v>
      </c>
      <c r="AG53" s="4">
        <v>223</v>
      </c>
      <c r="AH53" s="4">
        <v>223</v>
      </c>
      <c r="AI53" s="4">
        <v>223</v>
      </c>
      <c r="AJ53" s="4">
        <v>223</v>
      </c>
      <c r="AK53" s="4">
        <v>223</v>
      </c>
      <c r="AL53" s="4">
        <v>223</v>
      </c>
      <c r="AM53" s="4">
        <v>223</v>
      </c>
      <c r="AN53" s="4">
        <v>223</v>
      </c>
      <c r="AO53" s="4">
        <v>229.3</v>
      </c>
      <c r="AP53" s="4">
        <v>238.5</v>
      </c>
      <c r="AQ53" s="4">
        <v>248</v>
      </c>
      <c r="AR53" s="4">
        <v>257.89999999999998</v>
      </c>
      <c r="AS53" s="4">
        <v>268.2</v>
      </c>
      <c r="AT53" s="4">
        <v>279</v>
      </c>
      <c r="AU53" s="4">
        <v>290.10000000000002</v>
      </c>
      <c r="AV53" s="4">
        <v>301.7</v>
      </c>
      <c r="AW53" s="4">
        <v>313.8</v>
      </c>
      <c r="AX53" s="4">
        <v>326.39999999999998</v>
      </c>
      <c r="AY53" s="4">
        <v>336.1</v>
      </c>
      <c r="AZ53" s="4">
        <v>346.2</v>
      </c>
      <c r="BA53" s="4">
        <v>356.6</v>
      </c>
      <c r="BB53" s="4">
        <v>367.3</v>
      </c>
      <c r="BC53" s="4">
        <v>378.3</v>
      </c>
      <c r="BD53" s="4">
        <v>389.7</v>
      </c>
      <c r="BE53" s="4">
        <v>401.4</v>
      </c>
      <c r="BF53" s="4">
        <v>413.4</v>
      </c>
      <c r="BG53" s="4">
        <v>425.8</v>
      </c>
      <c r="BH53" s="4">
        <v>438.6</v>
      </c>
      <c r="BI53" s="4">
        <v>451.8</v>
      </c>
      <c r="BJ53" s="4">
        <v>465.3</v>
      </c>
      <c r="BK53" s="4">
        <v>479.3</v>
      </c>
      <c r="BL53" s="4">
        <v>493.6</v>
      </c>
      <c r="BM53" s="4">
        <v>508.4</v>
      </c>
      <c r="BN53" s="4">
        <v>523.70000000000005</v>
      </c>
      <c r="BO53" s="4">
        <v>539.4</v>
      </c>
      <c r="BP53" s="4">
        <v>555.6</v>
      </c>
      <c r="BQ53" s="4">
        <v>572.29999999999995</v>
      </c>
      <c r="BR53" s="4">
        <v>589.4</v>
      </c>
      <c r="BS53" s="4">
        <v>607.1</v>
      </c>
      <c r="BT53" s="4">
        <v>625.29999999999995</v>
      </c>
      <c r="BU53" s="4">
        <v>644.1</v>
      </c>
      <c r="BV53" s="4">
        <v>663.4</v>
      </c>
      <c r="BW53" s="4">
        <v>683.3</v>
      </c>
      <c r="BX53" s="4">
        <v>703.8</v>
      </c>
      <c r="BY53" s="4">
        <v>724.9</v>
      </c>
      <c r="BZ53" s="4">
        <v>746.7</v>
      </c>
      <c r="CA53" s="4">
        <v>769.1</v>
      </c>
      <c r="CB53" s="4">
        <v>792.1</v>
      </c>
      <c r="CC53" s="4">
        <v>808</v>
      </c>
      <c r="CD53" s="4">
        <v>824.2</v>
      </c>
      <c r="CE53" s="4">
        <v>840.6</v>
      </c>
      <c r="CF53" s="4">
        <v>857.4</v>
      </c>
      <c r="CG53" s="4">
        <v>874.6</v>
      </c>
      <c r="CH53" s="4">
        <v>892.1</v>
      </c>
      <c r="CI53" s="4">
        <v>909.9</v>
      </c>
    </row>
    <row r="54" spans="8:87" x14ac:dyDescent="0.25">
      <c r="H54" s="152" t="s">
        <v>497</v>
      </c>
      <c r="I54" s="4" t="s">
        <v>422</v>
      </c>
      <c r="J54" s="4">
        <v>59.8</v>
      </c>
      <c r="K54" s="4">
        <v>62.7</v>
      </c>
      <c r="L54" s="4">
        <v>65.400000000000006</v>
      </c>
      <c r="M54" s="4">
        <v>68.599999999999994</v>
      </c>
      <c r="N54" s="4">
        <v>70.3</v>
      </c>
      <c r="O54" s="4">
        <v>72.099999999999994</v>
      </c>
      <c r="P54" s="4">
        <v>73.900000000000006</v>
      </c>
      <c r="Q54" s="4">
        <v>75.7</v>
      </c>
      <c r="R54" s="4">
        <v>78.7</v>
      </c>
      <c r="S54" s="4">
        <v>81.900000000000006</v>
      </c>
      <c r="T54" s="4">
        <v>85.2</v>
      </c>
      <c r="U54" s="4">
        <v>88.6</v>
      </c>
      <c r="V54" s="4">
        <v>92.1</v>
      </c>
      <c r="W54" s="4">
        <v>95.8</v>
      </c>
      <c r="X54" s="4">
        <v>99.6</v>
      </c>
      <c r="Y54" s="4">
        <v>103.6</v>
      </c>
      <c r="Z54" s="4">
        <v>107.8</v>
      </c>
      <c r="AA54" s="4">
        <v>112.1</v>
      </c>
      <c r="AB54" s="4">
        <v>116.6</v>
      </c>
      <c r="AC54" s="4">
        <v>121.2</v>
      </c>
      <c r="AD54" s="4">
        <v>126.1</v>
      </c>
      <c r="AE54" s="4">
        <v>131.1</v>
      </c>
      <c r="AF54" s="4">
        <v>136.4</v>
      </c>
      <c r="AG54" s="4">
        <v>141.80000000000001</v>
      </c>
      <c r="AH54" s="4">
        <v>147.5</v>
      </c>
      <c r="AI54" s="4">
        <v>153.4</v>
      </c>
      <c r="AJ54" s="4">
        <v>159.5</v>
      </c>
      <c r="AK54" s="4">
        <v>165.9</v>
      </c>
    </row>
    <row r="55" spans="8:87" x14ac:dyDescent="0.25">
      <c r="H55" s="152" t="s">
        <v>498</v>
      </c>
      <c r="I55" s="4" t="s">
        <v>421</v>
      </c>
      <c r="J55" s="4">
        <v>147</v>
      </c>
      <c r="K55" s="4">
        <v>167.9</v>
      </c>
      <c r="L55" s="4">
        <v>191.8</v>
      </c>
      <c r="M55" s="4">
        <v>209.6</v>
      </c>
      <c r="N55" s="4">
        <v>229.1</v>
      </c>
      <c r="O55" s="4">
        <v>250.4</v>
      </c>
      <c r="P55" s="4">
        <v>273.60000000000002</v>
      </c>
      <c r="Q55" s="4">
        <v>299</v>
      </c>
      <c r="R55" s="4">
        <v>326.8</v>
      </c>
      <c r="S55" s="4">
        <v>357.2</v>
      </c>
      <c r="T55" s="4">
        <v>390.4</v>
      </c>
      <c r="U55" s="4">
        <v>426.7</v>
      </c>
      <c r="V55" s="4">
        <v>466.4</v>
      </c>
      <c r="W55" s="4">
        <v>509.8</v>
      </c>
      <c r="X55" s="4">
        <v>557.20000000000005</v>
      </c>
      <c r="Y55" s="4">
        <v>609.1</v>
      </c>
      <c r="Z55" s="4">
        <v>665.7</v>
      </c>
      <c r="AA55" s="4">
        <v>727.7</v>
      </c>
      <c r="AB55" s="4">
        <v>758.8</v>
      </c>
      <c r="AC55" s="4">
        <v>791.2</v>
      </c>
      <c r="AD55" s="4">
        <v>825</v>
      </c>
      <c r="AE55" s="4">
        <v>860.3</v>
      </c>
      <c r="AF55" s="4">
        <v>897.1</v>
      </c>
      <c r="AG55" s="4">
        <v>935.5</v>
      </c>
      <c r="AH55" s="4">
        <v>975.5</v>
      </c>
      <c r="AI55" s="4">
        <v>1017.2</v>
      </c>
      <c r="AJ55" s="4">
        <v>1060.7</v>
      </c>
      <c r="AK55" s="4">
        <v>1106</v>
      </c>
    </row>
    <row r="56" spans="8:87" x14ac:dyDescent="0.25">
      <c r="H56" s="152"/>
    </row>
    <row r="57" spans="8:87" x14ac:dyDescent="0.25">
      <c r="H57" s="152" t="s">
        <v>499</v>
      </c>
      <c r="I57" s="4" t="s">
        <v>500</v>
      </c>
    </row>
    <row r="58" spans="8:87" x14ac:dyDescent="0.25">
      <c r="H58" s="152"/>
      <c r="I58" s="4" t="s">
        <v>496</v>
      </c>
      <c r="J58" s="4">
        <v>2023</v>
      </c>
      <c r="K58" s="4">
        <v>2024</v>
      </c>
      <c r="L58" s="4">
        <v>2025</v>
      </c>
      <c r="M58" s="4">
        <v>2026</v>
      </c>
      <c r="N58" s="4">
        <v>2027</v>
      </c>
      <c r="O58" s="4">
        <v>2028</v>
      </c>
      <c r="P58" s="4">
        <v>2029</v>
      </c>
      <c r="Q58" s="4">
        <v>2030</v>
      </c>
      <c r="R58" s="4">
        <v>2031</v>
      </c>
      <c r="S58" s="4">
        <v>2032</v>
      </c>
      <c r="T58" s="4">
        <v>2033</v>
      </c>
      <c r="U58" s="4">
        <v>2034</v>
      </c>
      <c r="V58" s="4">
        <v>2035</v>
      </c>
      <c r="W58" s="4">
        <v>2036</v>
      </c>
      <c r="X58" s="4">
        <v>2037</v>
      </c>
      <c r="Y58" s="4">
        <v>2038</v>
      </c>
      <c r="Z58" s="4">
        <v>2039</v>
      </c>
      <c r="AA58" s="4">
        <v>2040</v>
      </c>
      <c r="AB58" s="4">
        <v>2041</v>
      </c>
      <c r="AC58" s="4">
        <v>2042</v>
      </c>
      <c r="AD58" s="4">
        <v>2043</v>
      </c>
      <c r="AE58" s="4">
        <v>2044</v>
      </c>
      <c r="AF58" s="4">
        <v>2045</v>
      </c>
      <c r="AG58" s="4">
        <v>2046</v>
      </c>
      <c r="AH58" s="4">
        <v>2047</v>
      </c>
      <c r="AI58" s="4">
        <v>2048</v>
      </c>
      <c r="AJ58" s="4">
        <v>2049</v>
      </c>
      <c r="AK58" s="4">
        <v>2050</v>
      </c>
    </row>
    <row r="59" spans="8:87" x14ac:dyDescent="0.25">
      <c r="H59" s="152" t="s">
        <v>501</v>
      </c>
      <c r="I59" s="4" t="s">
        <v>422</v>
      </c>
      <c r="J59" s="4">
        <v>90</v>
      </c>
      <c r="K59" s="4">
        <v>97.310924369747895</v>
      </c>
      <c r="L59" s="4">
        <v>104.62184873949579</v>
      </c>
      <c r="M59" s="4">
        <v>111.93277310924368</v>
      </c>
      <c r="N59" s="4">
        <v>119.24369747899158</v>
      </c>
      <c r="O59" s="4">
        <v>126.55462184873947</v>
      </c>
      <c r="P59" s="4">
        <v>133.86554621848737</v>
      </c>
      <c r="Q59" s="4">
        <v>141.1764705882353</v>
      </c>
      <c r="R59" s="4">
        <v>142.23529411764707</v>
      </c>
      <c r="S59" s="4">
        <v>143.29411764705884</v>
      </c>
      <c r="T59" s="4">
        <v>144.35294117647061</v>
      </c>
      <c r="U59" s="4">
        <v>145.41176470588238</v>
      </c>
      <c r="V59" s="4">
        <v>146.47058823529414</v>
      </c>
      <c r="W59" s="4">
        <v>147.52941176470591</v>
      </c>
      <c r="X59" s="4">
        <v>148.58823529411768</v>
      </c>
      <c r="Y59" s="4">
        <v>149.64705882352945</v>
      </c>
      <c r="Z59" s="4">
        <v>150.70588235294122</v>
      </c>
      <c r="AA59" s="4">
        <v>151.76470588235296</v>
      </c>
      <c r="AB59" s="4">
        <v>152.47058823529414</v>
      </c>
      <c r="AC59" s="4">
        <v>153.1764705882353</v>
      </c>
      <c r="AD59" s="4">
        <v>153.88235294117646</v>
      </c>
      <c r="AE59" s="4">
        <v>154.58823529411762</v>
      </c>
      <c r="AF59" s="4">
        <v>155.29411764705878</v>
      </c>
      <c r="AG59" s="4">
        <v>155.99999999999994</v>
      </c>
      <c r="AH59" s="4">
        <v>156.7058823529411</v>
      </c>
      <c r="AI59" s="4">
        <v>157.41176470588226</v>
      </c>
      <c r="AJ59" s="4">
        <v>158.11764705882342</v>
      </c>
      <c r="AK59" s="4">
        <v>158.8235294117647</v>
      </c>
    </row>
    <row r="60" spans="8:87" x14ac:dyDescent="0.25">
      <c r="H60" s="152" t="s">
        <v>502</v>
      </c>
      <c r="I60" s="4" t="s">
        <v>420</v>
      </c>
      <c r="J60" s="4">
        <v>90</v>
      </c>
      <c r="K60" s="4">
        <v>83.865546218487395</v>
      </c>
      <c r="L60" s="4">
        <v>77.731092436974791</v>
      </c>
      <c r="M60" s="4">
        <v>71.596638655462186</v>
      </c>
      <c r="N60" s="4">
        <v>65.462184873949582</v>
      </c>
      <c r="O60" s="4">
        <v>59.327731092436977</v>
      </c>
      <c r="P60" s="4">
        <v>53.193277310924373</v>
      </c>
      <c r="Q60" s="4">
        <v>47.058823529411768</v>
      </c>
      <c r="R60" s="4">
        <v>55.294117647058826</v>
      </c>
      <c r="S60" s="4">
        <v>63.529411764705884</v>
      </c>
      <c r="T60" s="4">
        <v>71.764705882352942</v>
      </c>
      <c r="U60" s="4">
        <v>80</v>
      </c>
      <c r="V60" s="4">
        <v>88.235294117647058</v>
      </c>
      <c r="W60" s="4">
        <v>96.470588235294116</v>
      </c>
      <c r="X60" s="4">
        <v>104.70588235294117</v>
      </c>
      <c r="Y60" s="4">
        <v>112.94117647058823</v>
      </c>
      <c r="Z60" s="4">
        <v>121.17647058823529</v>
      </c>
      <c r="AA60" s="4">
        <v>129.41176470588235</v>
      </c>
      <c r="AB60" s="4">
        <v>135.29411764705881</v>
      </c>
      <c r="AC60" s="4">
        <v>141.17647058823528</v>
      </c>
      <c r="AD60" s="4">
        <v>147.05882352941174</v>
      </c>
      <c r="AE60" s="4">
        <v>152.9411764705882</v>
      </c>
      <c r="AF60" s="4">
        <v>158.82352941176467</v>
      </c>
      <c r="AG60" s="4">
        <v>164.70588235294113</v>
      </c>
      <c r="AH60" s="4">
        <v>170.5882352941176</v>
      </c>
      <c r="AI60" s="4">
        <v>176.47058823529406</v>
      </c>
      <c r="AJ60" s="4">
        <v>182.35294117647052</v>
      </c>
      <c r="AK60" s="4">
        <v>188.23529411764707</v>
      </c>
    </row>
    <row r="61" spans="8:87" x14ac:dyDescent="0.25">
      <c r="H61" s="152" t="s">
        <v>503</v>
      </c>
      <c r="I61" s="4" t="s">
        <v>421</v>
      </c>
      <c r="J61" s="4">
        <v>90</v>
      </c>
      <c r="K61" s="4">
        <v>100.67226890756302</v>
      </c>
      <c r="L61" s="4">
        <v>111.34453781512605</v>
      </c>
      <c r="M61" s="4">
        <v>122.01680672268907</v>
      </c>
      <c r="N61" s="4">
        <v>132.68907563025209</v>
      </c>
      <c r="O61" s="4">
        <v>143.36134453781511</v>
      </c>
      <c r="P61" s="4">
        <v>154.03361344537814</v>
      </c>
      <c r="Q61" s="4">
        <v>164.70588235294119</v>
      </c>
      <c r="R61" s="4">
        <v>172.35294117647061</v>
      </c>
      <c r="S61" s="4">
        <v>180.00000000000003</v>
      </c>
      <c r="T61" s="4">
        <v>187.64705882352945</v>
      </c>
      <c r="U61" s="4">
        <v>195.29411764705887</v>
      </c>
      <c r="V61" s="4">
        <v>202.94117647058829</v>
      </c>
      <c r="W61" s="4">
        <v>210.58823529411771</v>
      </c>
      <c r="X61" s="4">
        <v>218.23529411764713</v>
      </c>
      <c r="Y61" s="4">
        <v>225.88235294117655</v>
      </c>
      <c r="Z61" s="4">
        <v>233.52941176470597</v>
      </c>
      <c r="AA61" s="4">
        <v>241.1764705882353</v>
      </c>
      <c r="AB61" s="4">
        <v>246.47058823529412</v>
      </c>
      <c r="AC61" s="4">
        <v>251.76470588235293</v>
      </c>
      <c r="AD61" s="4">
        <v>257.05882352941177</v>
      </c>
      <c r="AE61" s="4">
        <v>262.35294117647061</v>
      </c>
      <c r="AF61" s="4">
        <v>267.64705882352945</v>
      </c>
      <c r="AG61" s="4">
        <v>272.94117647058829</v>
      </c>
      <c r="AH61" s="4">
        <v>278.23529411764713</v>
      </c>
      <c r="AI61" s="4">
        <v>283.52941176470597</v>
      </c>
      <c r="AJ61" s="4">
        <v>288.82352941176481</v>
      </c>
      <c r="AK61" s="4">
        <v>294.11764705882354</v>
      </c>
    </row>
    <row r="70" spans="1:37" s="93" customFormat="1" ht="31.5" x14ac:dyDescent="0.5">
      <c r="A70" s="93" t="s">
        <v>263</v>
      </c>
      <c r="K70" s="93" t="s">
        <v>0</v>
      </c>
    </row>
    <row r="71" spans="1:37" x14ac:dyDescent="0.25">
      <c r="B71" s="4" t="s">
        <v>402</v>
      </c>
      <c r="C71" s="94">
        <v>0.75</v>
      </c>
      <c r="D71" s="162" t="s">
        <v>405</v>
      </c>
    </row>
    <row r="72" spans="1:37" x14ac:dyDescent="0.25">
      <c r="B72" s="4" t="s">
        <v>403</v>
      </c>
      <c r="C72" s="94">
        <f>1-C71</f>
        <v>0.25</v>
      </c>
      <c r="D72" s="162" t="s">
        <v>404</v>
      </c>
    </row>
    <row r="73" spans="1:37" x14ac:dyDescent="0.25">
      <c r="A73" s="95" t="s">
        <v>1</v>
      </c>
      <c r="B73" s="110"/>
    </row>
    <row r="74" spans="1:37" ht="15.75" thickBot="1" x14ac:dyDescent="0.3"/>
    <row r="75" spans="1:37" x14ac:dyDescent="0.25">
      <c r="E75" s="4" t="s">
        <v>2</v>
      </c>
      <c r="H75" s="4" t="s">
        <v>3</v>
      </c>
      <c r="O75" s="4" t="s">
        <v>2</v>
      </c>
      <c r="R75" s="4" t="s">
        <v>3</v>
      </c>
      <c r="W75" s="99" t="s">
        <v>4</v>
      </c>
      <c r="X75" s="100">
        <v>2023</v>
      </c>
      <c r="Y75" s="100">
        <v>2050</v>
      </c>
      <c r="Z75" s="101" t="s">
        <v>5</v>
      </c>
      <c r="AB75" s="99" t="s">
        <v>6</v>
      </c>
      <c r="AC75" s="100">
        <v>2023</v>
      </c>
      <c r="AD75" s="100">
        <v>2050</v>
      </c>
      <c r="AE75" s="101" t="s">
        <v>5</v>
      </c>
      <c r="AG75" s="99" t="s">
        <v>7</v>
      </c>
      <c r="AH75" s="100">
        <v>2023</v>
      </c>
      <c r="AI75" s="100">
        <v>2050</v>
      </c>
      <c r="AJ75" s="101" t="s">
        <v>5</v>
      </c>
    </row>
    <row r="76" spans="1:37" x14ac:dyDescent="0.25">
      <c r="A76" s="25" t="s">
        <v>267</v>
      </c>
      <c r="B76" s="4">
        <v>2023</v>
      </c>
      <c r="C76" s="4">
        <v>2050</v>
      </c>
      <c r="D76" s="4" t="s">
        <v>5</v>
      </c>
      <c r="E76" s="4" t="s">
        <v>8</v>
      </c>
      <c r="F76" s="4" t="s">
        <v>9</v>
      </c>
      <c r="G76" s="4" t="s">
        <v>10</v>
      </c>
      <c r="I76" s="117"/>
      <c r="K76" s="25" t="s">
        <v>264</v>
      </c>
      <c r="L76" s="4">
        <v>2023</v>
      </c>
      <c r="M76" s="4">
        <v>2050</v>
      </c>
      <c r="N76" s="4" t="s">
        <v>5</v>
      </c>
      <c r="O76" s="4" t="s">
        <v>8</v>
      </c>
      <c r="P76" s="4" t="s">
        <v>9</v>
      </c>
      <c r="Q76" s="4" t="s">
        <v>10</v>
      </c>
      <c r="S76" s="117"/>
      <c r="W76" s="102" t="s">
        <v>12</v>
      </c>
      <c r="X76" s="107">
        <f>$B$4</f>
        <v>0</v>
      </c>
      <c r="Y76" s="107">
        <f>$C$4</f>
        <v>0</v>
      </c>
      <c r="Z76" s="103" t="s">
        <v>13</v>
      </c>
      <c r="AB76" s="102" t="s">
        <v>12</v>
      </c>
      <c r="AC76" s="107">
        <f>$B$4</f>
        <v>0</v>
      </c>
      <c r="AD76" s="107">
        <f>$C$4</f>
        <v>0</v>
      </c>
      <c r="AE76" s="103" t="s">
        <v>13</v>
      </c>
      <c r="AG76" s="102" t="s">
        <v>12</v>
      </c>
      <c r="AH76" s="107">
        <f>$B$4</f>
        <v>0</v>
      </c>
      <c r="AI76" s="107">
        <f>$C$4</f>
        <v>0</v>
      </c>
      <c r="AJ76" s="103" t="s">
        <v>13</v>
      </c>
    </row>
    <row r="77" spans="1:37" x14ac:dyDescent="0.25">
      <c r="A77" s="4" t="s">
        <v>14</v>
      </c>
      <c r="B77" s="4">
        <v>40000</v>
      </c>
      <c r="C77" s="4">
        <v>40000</v>
      </c>
      <c r="D77" s="4" t="s">
        <v>15</v>
      </c>
      <c r="E77" s="4">
        <v>12</v>
      </c>
      <c r="F77" s="4">
        <v>0.9</v>
      </c>
      <c r="G77" s="4">
        <v>0.4</v>
      </c>
      <c r="H77" s="142" t="s">
        <v>261</v>
      </c>
      <c r="I77" s="118" t="s">
        <v>17</v>
      </c>
      <c r="K77" s="4" t="s">
        <v>18</v>
      </c>
      <c r="L77" s="4">
        <v>105000</v>
      </c>
      <c r="M77" s="4">
        <v>115000</v>
      </c>
      <c r="N77" s="4" t="s">
        <v>15</v>
      </c>
      <c r="O77" s="4">
        <v>12</v>
      </c>
      <c r="P77" s="4">
        <v>0.9</v>
      </c>
      <c r="Q77" s="4">
        <v>0.4</v>
      </c>
      <c r="R77" s="142" t="s">
        <v>9</v>
      </c>
      <c r="S77" s="120" t="s">
        <v>19</v>
      </c>
      <c r="W77" s="102" t="s">
        <v>20</v>
      </c>
      <c r="X77" s="195">
        <v>3.17</v>
      </c>
      <c r="Y77" s="195"/>
      <c r="Z77" s="103" t="s">
        <v>21</v>
      </c>
      <c r="AB77" s="102" t="s">
        <v>22</v>
      </c>
      <c r="AC77" s="4">
        <v>2.1999999999999999E-2</v>
      </c>
      <c r="AD77" s="4">
        <v>0</v>
      </c>
      <c r="AE77" s="4" t="s">
        <v>23</v>
      </c>
      <c r="AG77" s="102" t="s">
        <v>22</v>
      </c>
      <c r="AH77" s="4">
        <v>2.1999999999999999E-2</v>
      </c>
      <c r="AI77" s="4">
        <v>0</v>
      </c>
      <c r="AJ77" s="4" t="s">
        <v>23</v>
      </c>
      <c r="AK77" s="4" t="s">
        <v>24</v>
      </c>
    </row>
    <row r="78" spans="1:37" x14ac:dyDescent="0.25">
      <c r="A78" s="4" t="s">
        <v>25</v>
      </c>
      <c r="B78" s="4">
        <f>-B77*0.25</f>
        <v>-10000</v>
      </c>
      <c r="C78" s="4">
        <f>-C77*0.25</f>
        <v>-10000</v>
      </c>
      <c r="D78" s="4" t="s">
        <v>15</v>
      </c>
      <c r="E78" s="4">
        <v>12</v>
      </c>
      <c r="F78" s="4">
        <v>0.9</v>
      </c>
      <c r="G78" s="4">
        <v>0.4</v>
      </c>
      <c r="H78" s="142" t="s">
        <v>26</v>
      </c>
      <c r="I78" s="119" t="s">
        <v>27</v>
      </c>
      <c r="K78" s="4" t="s">
        <v>28</v>
      </c>
      <c r="L78" s="4">
        <f>-L77*0.25</f>
        <v>-26250</v>
      </c>
      <c r="M78" s="4">
        <f>-M77*0.15</f>
        <v>-17250</v>
      </c>
      <c r="N78" s="4" t="s">
        <v>15</v>
      </c>
      <c r="O78" s="4">
        <v>12</v>
      </c>
      <c r="P78" s="4">
        <v>0.9</v>
      </c>
      <c r="Q78" s="4">
        <v>0.4</v>
      </c>
      <c r="R78" s="142" t="s">
        <v>29</v>
      </c>
      <c r="S78" s="121" t="s">
        <v>30</v>
      </c>
      <c r="W78" s="102" t="s">
        <v>31</v>
      </c>
      <c r="X78" s="195">
        <v>11.89</v>
      </c>
      <c r="Y78" s="195"/>
      <c r="Z78" s="103" t="s">
        <v>32</v>
      </c>
      <c r="AB78" s="102" t="s">
        <v>33</v>
      </c>
      <c r="AC78" s="94">
        <v>0.61</v>
      </c>
      <c r="AD78" s="94">
        <v>0.7</v>
      </c>
      <c r="AE78" s="103" t="s">
        <v>34</v>
      </c>
      <c r="AG78" s="102" t="s">
        <v>35</v>
      </c>
      <c r="AH78" s="94">
        <v>0.95</v>
      </c>
      <c r="AI78" s="94">
        <v>0.95</v>
      </c>
      <c r="AJ78" s="103" t="s">
        <v>34</v>
      </c>
      <c r="AK78" s="4" t="s">
        <v>36</v>
      </c>
    </row>
    <row r="79" spans="1:37" x14ac:dyDescent="0.25">
      <c r="A79" s="4" t="s">
        <v>37</v>
      </c>
      <c r="B79" s="4">
        <v>70000</v>
      </c>
      <c r="C79" s="4">
        <v>70000</v>
      </c>
      <c r="D79" s="4" t="s">
        <v>38</v>
      </c>
      <c r="E79" s="4">
        <v>12</v>
      </c>
      <c r="F79" s="4">
        <v>0.9</v>
      </c>
      <c r="G79" s="4">
        <v>0.4</v>
      </c>
      <c r="H79" s="142" t="s">
        <v>39</v>
      </c>
      <c r="I79" s="118" t="s">
        <v>40</v>
      </c>
      <c r="K79" s="4" t="s">
        <v>41</v>
      </c>
      <c r="L79" s="4">
        <v>8</v>
      </c>
      <c r="M79" s="4">
        <v>8</v>
      </c>
      <c r="N79" s="4" t="s">
        <v>42</v>
      </c>
      <c r="O79" s="4">
        <v>12</v>
      </c>
      <c r="P79" s="4">
        <v>0.9</v>
      </c>
      <c r="Q79" s="4">
        <v>0.4</v>
      </c>
      <c r="R79" s="142" t="s">
        <v>43</v>
      </c>
      <c r="S79" s="117" t="s">
        <v>44</v>
      </c>
      <c r="W79" s="102" t="s">
        <v>45</v>
      </c>
      <c r="X79" s="196">
        <f>X77/X78</f>
        <v>0.26661059714045415</v>
      </c>
      <c r="Y79" s="196"/>
      <c r="Z79" s="103" t="s">
        <v>46</v>
      </c>
      <c r="AB79" s="102" t="s">
        <v>47</v>
      </c>
      <c r="AC79" s="109">
        <f>AC77/AC78</f>
        <v>3.6065573770491799E-2</v>
      </c>
      <c r="AD79" s="109">
        <f>AD77/AD78</f>
        <v>0</v>
      </c>
      <c r="AE79" s="103" t="s">
        <v>46</v>
      </c>
      <c r="AG79" s="102" t="s">
        <v>22</v>
      </c>
      <c r="AH79" s="109">
        <f>AH77/AH78</f>
        <v>2.3157894736842106E-2</v>
      </c>
      <c r="AI79" s="109">
        <f>AI77/AI78</f>
        <v>0</v>
      </c>
      <c r="AJ79" s="103" t="s">
        <v>46</v>
      </c>
    </row>
    <row r="80" spans="1:37" x14ac:dyDescent="0.25">
      <c r="A80" s="4" t="s">
        <v>48</v>
      </c>
      <c r="B80" s="4">
        <v>25</v>
      </c>
      <c r="C80" s="4">
        <v>25</v>
      </c>
      <c r="D80" s="4" t="s">
        <v>49</v>
      </c>
      <c r="E80" s="4">
        <v>12</v>
      </c>
      <c r="F80" s="4">
        <v>0.9</v>
      </c>
      <c r="G80" s="4">
        <v>0.4</v>
      </c>
      <c r="H80" s="142" t="s">
        <v>50</v>
      </c>
      <c r="I80" s="118" t="s">
        <v>51</v>
      </c>
      <c r="K80" s="4" t="s">
        <v>52</v>
      </c>
      <c r="L80" s="4">
        <v>20000</v>
      </c>
      <c r="M80" s="4">
        <v>20000</v>
      </c>
      <c r="N80" s="4" t="s">
        <v>38</v>
      </c>
      <c r="O80" s="4">
        <v>12</v>
      </c>
      <c r="P80" s="4">
        <v>0.9</v>
      </c>
      <c r="Q80" s="4">
        <v>0.4</v>
      </c>
      <c r="R80" s="142" t="s">
        <v>9</v>
      </c>
      <c r="S80" s="118" t="s">
        <v>53</v>
      </c>
      <c r="W80" s="102" t="s">
        <v>54</v>
      </c>
      <c r="X80" s="4">
        <f>L81*X79</f>
        <v>0.77317073170731698</v>
      </c>
      <c r="Y80" s="4">
        <f>M81*X79</f>
        <v>0.63986543313708999</v>
      </c>
      <c r="Z80" s="103" t="s">
        <v>55</v>
      </c>
      <c r="AB80" s="102" t="s">
        <v>54</v>
      </c>
      <c r="AC80" s="4">
        <f>AC79*L105</f>
        <v>9.1245901639344248E-2</v>
      </c>
      <c r="AD80" s="4">
        <f>AD79*M105</f>
        <v>0</v>
      </c>
      <c r="AE80" s="103" t="s">
        <v>55</v>
      </c>
      <c r="AG80" s="102" t="s">
        <v>54</v>
      </c>
      <c r="AH80" s="4">
        <f>AH79*L93</f>
        <v>3.5200000000000002E-2</v>
      </c>
      <c r="AI80" s="4">
        <f>AI79*M93</f>
        <v>0</v>
      </c>
      <c r="AJ80" s="103" t="s">
        <v>55</v>
      </c>
    </row>
    <row r="81" spans="1:36" ht="15.75" thickBot="1" x14ac:dyDescent="0.3">
      <c r="A81" s="4" t="s">
        <v>56</v>
      </c>
      <c r="B81" s="150">
        <f>42%/C71</f>
        <v>0.55999999999999994</v>
      </c>
      <c r="C81" s="150">
        <f>42%/C71</f>
        <v>0.55999999999999994</v>
      </c>
      <c r="D81" s="4" t="s">
        <v>57</v>
      </c>
      <c r="E81" s="4">
        <v>12</v>
      </c>
      <c r="F81" s="4">
        <v>0.9</v>
      </c>
      <c r="G81" s="4">
        <v>0.4</v>
      </c>
      <c r="H81" s="142" t="s">
        <v>16</v>
      </c>
      <c r="I81" s="118" t="s">
        <v>58</v>
      </c>
      <c r="K81" s="4" t="s">
        <v>59</v>
      </c>
      <c r="L81" s="4">
        <v>2.9</v>
      </c>
      <c r="M81" s="4">
        <v>2.4</v>
      </c>
      <c r="N81" s="4" t="s">
        <v>60</v>
      </c>
      <c r="O81" s="4">
        <v>12</v>
      </c>
      <c r="P81" s="4">
        <v>0.9</v>
      </c>
      <c r="Q81" s="4">
        <v>0.4</v>
      </c>
      <c r="R81" s="142" t="s">
        <v>9</v>
      </c>
      <c r="S81" s="118" t="s">
        <v>61</v>
      </c>
      <c r="W81" s="104" t="s">
        <v>62</v>
      </c>
      <c r="X81" s="105">
        <f>X76/1000*X80</f>
        <v>0</v>
      </c>
      <c r="Y81" s="105">
        <f>Y80/1000*Y76</f>
        <v>0</v>
      </c>
      <c r="Z81" s="106" t="s">
        <v>63</v>
      </c>
      <c r="AB81" s="104" t="s">
        <v>62</v>
      </c>
      <c r="AC81" s="105">
        <f>AC76/1000*AC80</f>
        <v>0</v>
      </c>
      <c r="AD81" s="105">
        <f>AD80/1000*AD76</f>
        <v>0</v>
      </c>
      <c r="AE81" s="106" t="s">
        <v>63</v>
      </c>
      <c r="AG81" s="104" t="s">
        <v>62</v>
      </c>
      <c r="AH81" s="105">
        <f>AH76/1000*AH80</f>
        <v>0</v>
      </c>
      <c r="AI81" s="105">
        <f>AI80/1000*AI76</f>
        <v>0</v>
      </c>
      <c r="AJ81" s="106" t="s">
        <v>63</v>
      </c>
    </row>
    <row r="82" spans="1:36" x14ac:dyDescent="0.25">
      <c r="A82" s="4" t="s">
        <v>64</v>
      </c>
      <c r="B82" s="4">
        <v>55000</v>
      </c>
      <c r="C82" s="4">
        <v>55000</v>
      </c>
      <c r="D82" s="4" t="s">
        <v>65</v>
      </c>
      <c r="E82" s="4">
        <v>12</v>
      </c>
      <c r="F82" s="4">
        <v>0.9</v>
      </c>
      <c r="G82" s="4">
        <v>0.4</v>
      </c>
      <c r="H82" s="142" t="s">
        <v>16</v>
      </c>
      <c r="I82" s="118" t="s">
        <v>66</v>
      </c>
      <c r="K82" s="4" t="s">
        <v>67</v>
      </c>
      <c r="L82" s="4">
        <f>B5</f>
        <v>0.1</v>
      </c>
      <c r="M82" s="4">
        <f>C5</f>
        <v>0.1</v>
      </c>
      <c r="N82" s="4" t="s">
        <v>68</v>
      </c>
      <c r="O82" s="4">
        <f>E5</f>
        <v>12</v>
      </c>
      <c r="P82" s="4">
        <f>F5</f>
        <v>0.9</v>
      </c>
      <c r="Q82" s="4">
        <f>G5</f>
        <v>0.4</v>
      </c>
      <c r="R82" s="142" t="s">
        <v>251</v>
      </c>
      <c r="S82" s="124" t="s">
        <v>253</v>
      </c>
    </row>
    <row r="83" spans="1:36" x14ac:dyDescent="0.25">
      <c r="A83" s="4" t="s">
        <v>70</v>
      </c>
      <c r="B83" s="4">
        <v>10</v>
      </c>
      <c r="C83" s="4">
        <v>10</v>
      </c>
      <c r="D83" s="4" t="s">
        <v>42</v>
      </c>
      <c r="E83" s="4">
        <v>12</v>
      </c>
      <c r="F83" s="4">
        <v>0.9</v>
      </c>
      <c r="G83" s="4">
        <v>0.4</v>
      </c>
      <c r="H83" s="142" t="s">
        <v>71</v>
      </c>
      <c r="I83" s="118" t="s">
        <v>72</v>
      </c>
      <c r="K83" s="4" t="s">
        <v>73</v>
      </c>
      <c r="L83" s="150">
        <v>0</v>
      </c>
      <c r="M83" s="150">
        <v>0</v>
      </c>
      <c r="N83" s="4" t="s">
        <v>57</v>
      </c>
      <c r="O83" s="4">
        <v>12</v>
      </c>
      <c r="P83" s="4">
        <v>0.9</v>
      </c>
      <c r="Q83" s="4">
        <v>0.4</v>
      </c>
      <c r="R83" s="142" t="s">
        <v>50</v>
      </c>
      <c r="S83" s="118" t="s">
        <v>74</v>
      </c>
    </row>
    <row r="84" spans="1:36" x14ac:dyDescent="0.25">
      <c r="A84" s="4" t="s">
        <v>262</v>
      </c>
      <c r="B84" s="4">
        <v>0.11</v>
      </c>
      <c r="C84" s="4">
        <v>0.11</v>
      </c>
      <c r="D84" s="4" t="s">
        <v>76</v>
      </c>
      <c r="E84" s="4">
        <v>12</v>
      </c>
      <c r="F84" s="4">
        <v>0.9</v>
      </c>
      <c r="G84" s="4">
        <v>0.4</v>
      </c>
      <c r="H84" s="142" t="s">
        <v>77</v>
      </c>
      <c r="I84" s="118" t="s">
        <v>78</v>
      </c>
      <c r="K84" s="4" t="s">
        <v>79</v>
      </c>
      <c r="L84" s="150">
        <v>0.06</v>
      </c>
      <c r="M84" s="150">
        <v>0.06</v>
      </c>
      <c r="N84" s="4" t="s">
        <v>57</v>
      </c>
      <c r="O84" s="4">
        <v>12</v>
      </c>
      <c r="P84" s="4">
        <v>0.9</v>
      </c>
      <c r="Q84" s="4">
        <v>0.4</v>
      </c>
      <c r="R84" s="142" t="s">
        <v>77</v>
      </c>
      <c r="S84" s="122" t="s">
        <v>74</v>
      </c>
      <c r="W84" s="4" t="s">
        <v>26</v>
      </c>
      <c r="X84" s="4" t="s">
        <v>80</v>
      </c>
    </row>
    <row r="85" spans="1:36" x14ac:dyDescent="0.25">
      <c r="I85" s="118"/>
      <c r="K85" s="4" t="s">
        <v>81</v>
      </c>
      <c r="L85" s="4">
        <f>X81</f>
        <v>0</v>
      </c>
      <c r="M85" s="4">
        <f>Y81</f>
        <v>0</v>
      </c>
      <c r="N85" s="4" t="s">
        <v>76</v>
      </c>
      <c r="O85" s="4">
        <v>17</v>
      </c>
      <c r="P85" s="4">
        <f>$F$4</f>
        <v>0.9</v>
      </c>
      <c r="Q85" s="4">
        <f>$G$4</f>
        <v>0.4</v>
      </c>
      <c r="R85" s="142" t="s">
        <v>254</v>
      </c>
      <c r="S85" s="118" t="s">
        <v>83</v>
      </c>
      <c r="W85" s="4" t="s">
        <v>9</v>
      </c>
      <c r="X85" s="4" t="s">
        <v>84</v>
      </c>
    </row>
    <row r="86" spans="1:36" x14ac:dyDescent="0.25">
      <c r="I86" s="118"/>
      <c r="S86" s="118"/>
      <c r="W86" s="4" t="s">
        <v>16</v>
      </c>
      <c r="X86" s="4" t="s">
        <v>85</v>
      </c>
    </row>
    <row r="87" spans="1:36" x14ac:dyDescent="0.25">
      <c r="E87" s="4" t="s">
        <v>2</v>
      </c>
      <c r="H87" s="4" t="s">
        <v>3</v>
      </c>
      <c r="I87" s="118"/>
      <c r="O87" s="4" t="s">
        <v>2</v>
      </c>
      <c r="R87" s="4" t="s">
        <v>3</v>
      </c>
      <c r="S87" s="118"/>
      <c r="W87" s="4" t="s">
        <v>43</v>
      </c>
      <c r="X87" s="4" t="s">
        <v>86</v>
      </c>
    </row>
    <row r="88" spans="1:36" x14ac:dyDescent="0.25">
      <c r="A88" s="25" t="s">
        <v>268</v>
      </c>
      <c r="B88" s="4">
        <v>2023</v>
      </c>
      <c r="C88" s="4">
        <v>2050</v>
      </c>
      <c r="D88" s="4" t="s">
        <v>5</v>
      </c>
      <c r="E88" s="4" t="s">
        <v>8</v>
      </c>
      <c r="F88" s="4" t="s">
        <v>9</v>
      </c>
      <c r="G88" s="4" t="s">
        <v>10</v>
      </c>
      <c r="I88" s="118"/>
      <c r="K88" s="25" t="s">
        <v>265</v>
      </c>
      <c r="L88" s="4">
        <v>2023</v>
      </c>
      <c r="M88" s="4">
        <v>2050</v>
      </c>
      <c r="N88" s="4" t="s">
        <v>5</v>
      </c>
      <c r="O88" s="4" t="s">
        <v>8</v>
      </c>
      <c r="P88" s="4" t="s">
        <v>9</v>
      </c>
      <c r="Q88" s="4" t="s">
        <v>10</v>
      </c>
      <c r="S88" s="118"/>
      <c r="W88" s="4" t="s">
        <v>77</v>
      </c>
      <c r="X88" s="4" t="s">
        <v>88</v>
      </c>
    </row>
    <row r="89" spans="1:36" x14ac:dyDescent="0.25">
      <c r="A89" s="4" t="s">
        <v>14</v>
      </c>
      <c r="B89" s="4">
        <v>60000</v>
      </c>
      <c r="C89" s="4">
        <v>60000</v>
      </c>
      <c r="D89" s="4" t="s">
        <v>15</v>
      </c>
      <c r="E89" s="4">
        <v>12</v>
      </c>
      <c r="F89" s="4">
        <v>0.9</v>
      </c>
      <c r="G89" s="4">
        <v>0.4</v>
      </c>
      <c r="H89" s="142" t="s">
        <v>261</v>
      </c>
      <c r="I89" s="118" t="s">
        <v>17</v>
      </c>
      <c r="K89" s="4" t="s">
        <v>18</v>
      </c>
      <c r="L89" s="4">
        <v>400000</v>
      </c>
      <c r="M89" s="4">
        <v>145000</v>
      </c>
      <c r="N89" s="4" t="s">
        <v>15</v>
      </c>
      <c r="O89" s="4">
        <v>8</v>
      </c>
      <c r="P89" s="4">
        <v>0.9</v>
      </c>
      <c r="Q89" s="4">
        <v>0.4</v>
      </c>
      <c r="R89" s="142" t="s">
        <v>9</v>
      </c>
      <c r="S89" s="118" t="s">
        <v>89</v>
      </c>
      <c r="W89" s="4" t="s">
        <v>71</v>
      </c>
      <c r="X89" s="4" t="s">
        <v>90</v>
      </c>
    </row>
    <row r="90" spans="1:36" x14ac:dyDescent="0.25">
      <c r="A90" s="4" t="s">
        <v>25</v>
      </c>
      <c r="B90" s="4">
        <f>-B89*0.25</f>
        <v>-15000</v>
      </c>
      <c r="C90" s="4">
        <f>-C89*0.25</f>
        <v>-15000</v>
      </c>
      <c r="D90" s="4" t="s">
        <v>15</v>
      </c>
      <c r="E90" s="4">
        <v>12</v>
      </c>
      <c r="F90" s="4">
        <v>0.9</v>
      </c>
      <c r="G90" s="4">
        <v>0.4</v>
      </c>
      <c r="H90" s="142" t="s">
        <v>26</v>
      </c>
      <c r="I90" s="119" t="s">
        <v>27</v>
      </c>
      <c r="K90" s="4" t="s">
        <v>28</v>
      </c>
      <c r="L90" s="4">
        <f>-L89*0.15</f>
        <v>-60000</v>
      </c>
      <c r="M90" s="4">
        <f>-M89*0.25</f>
        <v>-36250</v>
      </c>
      <c r="N90" s="4" t="s">
        <v>15</v>
      </c>
      <c r="O90" s="4">
        <v>8</v>
      </c>
      <c r="P90" s="4">
        <v>0.9</v>
      </c>
      <c r="Q90" s="4">
        <v>0.4</v>
      </c>
      <c r="R90" s="142" t="s">
        <v>29</v>
      </c>
      <c r="S90" s="121" t="s">
        <v>91</v>
      </c>
      <c r="W90" s="4" t="s">
        <v>50</v>
      </c>
      <c r="X90" s="4" t="s">
        <v>92</v>
      </c>
    </row>
    <row r="91" spans="1:36" x14ac:dyDescent="0.25">
      <c r="A91" s="4" t="s">
        <v>37</v>
      </c>
      <c r="B91" s="4">
        <v>70000</v>
      </c>
      <c r="C91" s="4">
        <v>70000</v>
      </c>
      <c r="D91" s="4" t="s">
        <v>38</v>
      </c>
      <c r="E91" s="4">
        <v>12</v>
      </c>
      <c r="F91" s="4">
        <v>0.9</v>
      </c>
      <c r="G91" s="4">
        <v>0.4</v>
      </c>
      <c r="H91" s="142" t="s">
        <v>39</v>
      </c>
      <c r="I91" s="118" t="s">
        <v>40</v>
      </c>
      <c r="K91" s="4" t="s">
        <v>41</v>
      </c>
      <c r="L91" s="4">
        <v>8</v>
      </c>
      <c r="M91" s="4">
        <v>8</v>
      </c>
      <c r="N91" s="4" t="s">
        <v>42</v>
      </c>
      <c r="O91" s="4">
        <v>8</v>
      </c>
      <c r="P91" s="4">
        <v>0.9</v>
      </c>
      <c r="Q91" s="4">
        <v>0.4</v>
      </c>
      <c r="R91" s="142" t="s">
        <v>43</v>
      </c>
      <c r="S91" s="117" t="s">
        <v>44</v>
      </c>
      <c r="W91" s="4" t="s">
        <v>82</v>
      </c>
      <c r="X91" s="4" t="s">
        <v>93</v>
      </c>
    </row>
    <row r="92" spans="1:36" x14ac:dyDescent="0.25">
      <c r="A92" s="4" t="s">
        <v>48</v>
      </c>
      <c r="B92" s="4">
        <v>25</v>
      </c>
      <c r="C92" s="4">
        <v>25</v>
      </c>
      <c r="D92" s="4" t="s">
        <v>49</v>
      </c>
      <c r="E92" s="4">
        <v>12</v>
      </c>
      <c r="F92" s="4">
        <v>0.9</v>
      </c>
      <c r="G92" s="4">
        <v>0.4</v>
      </c>
      <c r="H92" s="142" t="s">
        <v>50</v>
      </c>
      <c r="I92" s="118" t="s">
        <v>51</v>
      </c>
      <c r="K92" s="4" t="s">
        <v>52</v>
      </c>
      <c r="L92" s="4">
        <v>15000</v>
      </c>
      <c r="M92" s="4">
        <v>15000</v>
      </c>
      <c r="N92" s="4" t="s">
        <v>38</v>
      </c>
      <c r="O92" s="4">
        <v>8</v>
      </c>
      <c r="P92" s="4">
        <v>0.9</v>
      </c>
      <c r="Q92" s="4">
        <v>0.4</v>
      </c>
      <c r="R92" s="142" t="s">
        <v>9</v>
      </c>
      <c r="S92" s="118" t="s">
        <v>94</v>
      </c>
      <c r="W92" s="4" t="s">
        <v>95</v>
      </c>
      <c r="X92" s="110" t="s">
        <v>24</v>
      </c>
      <c r="AI92" s="25"/>
    </row>
    <row r="93" spans="1:36" x14ac:dyDescent="0.25">
      <c r="A93" s="4" t="s">
        <v>56</v>
      </c>
      <c r="B93" s="150">
        <f>48%/C71</f>
        <v>0.64</v>
      </c>
      <c r="C93" s="150">
        <f>48%/C71</f>
        <v>0.64</v>
      </c>
      <c r="D93" s="4" t="s">
        <v>57</v>
      </c>
      <c r="E93" s="4">
        <v>12</v>
      </c>
      <c r="F93" s="4">
        <v>0.9</v>
      </c>
      <c r="G93" s="4">
        <v>0.4</v>
      </c>
      <c r="H93" s="142" t="s">
        <v>16</v>
      </c>
      <c r="I93" s="118" t="s">
        <v>96</v>
      </c>
      <c r="K93" s="4" t="s">
        <v>59</v>
      </c>
      <c r="L93" s="4">
        <v>1.52</v>
      </c>
      <c r="M93" s="4">
        <v>1.1499999999999999</v>
      </c>
      <c r="N93" s="4" t="s">
        <v>60</v>
      </c>
      <c r="O93" s="4">
        <v>8</v>
      </c>
      <c r="P93" s="4">
        <v>0.9</v>
      </c>
      <c r="Q93" s="4">
        <v>0.4</v>
      </c>
      <c r="R93" s="142" t="s">
        <v>9</v>
      </c>
      <c r="S93" s="118" t="s">
        <v>74</v>
      </c>
      <c r="W93" s="4" t="s">
        <v>97</v>
      </c>
      <c r="X93" s="4" t="s">
        <v>36</v>
      </c>
    </row>
    <row r="94" spans="1:36" x14ac:dyDescent="0.25">
      <c r="A94" s="4" t="s">
        <v>64</v>
      </c>
      <c r="B94" s="4">
        <v>110000</v>
      </c>
      <c r="C94" s="4">
        <v>110000</v>
      </c>
      <c r="D94" s="4" t="s">
        <v>65</v>
      </c>
      <c r="E94" s="4">
        <v>12</v>
      </c>
      <c r="F94" s="4">
        <v>0.9</v>
      </c>
      <c r="G94" s="4">
        <v>0.4</v>
      </c>
      <c r="H94" s="142" t="s">
        <v>16</v>
      </c>
      <c r="I94" s="118" t="s">
        <v>98</v>
      </c>
      <c r="K94" s="4" t="s">
        <v>67</v>
      </c>
      <c r="L94" s="65">
        <f t="shared" ref="L94:Q94" si="0">B8</f>
        <v>0.13371034051801745</v>
      </c>
      <c r="M94" s="65">
        <f t="shared" si="0"/>
        <v>8.7585019329602734E-2</v>
      </c>
      <c r="N94" s="65" t="str">
        <f t="shared" si="0"/>
        <v>[€/kWh]</v>
      </c>
      <c r="O94" s="65">
        <f t="shared" si="0"/>
        <v>12</v>
      </c>
      <c r="P94" s="65">
        <f t="shared" si="0"/>
        <v>0.9</v>
      </c>
      <c r="Q94" s="65">
        <f t="shared" si="0"/>
        <v>0.4</v>
      </c>
      <c r="R94" s="142" t="s">
        <v>77</v>
      </c>
      <c r="S94" s="118" t="s">
        <v>291</v>
      </c>
      <c r="W94" s="4" t="s">
        <v>69</v>
      </c>
      <c r="X94" s="4" t="s">
        <v>99</v>
      </c>
    </row>
    <row r="95" spans="1:36" x14ac:dyDescent="0.25">
      <c r="A95" s="4" t="s">
        <v>70</v>
      </c>
      <c r="B95" s="4">
        <v>10</v>
      </c>
      <c r="C95" s="4">
        <v>10</v>
      </c>
      <c r="D95" s="4" t="s">
        <v>42</v>
      </c>
      <c r="E95" s="4">
        <v>12</v>
      </c>
      <c r="F95" s="4">
        <v>0.9</v>
      </c>
      <c r="G95" s="4">
        <v>0.4</v>
      </c>
      <c r="H95" s="142" t="s">
        <v>71</v>
      </c>
      <c r="I95" s="118" t="s">
        <v>72</v>
      </c>
      <c r="K95" s="4" t="s">
        <v>73</v>
      </c>
      <c r="L95" s="150">
        <v>0.1</v>
      </c>
      <c r="M95" s="150">
        <v>0.05</v>
      </c>
      <c r="N95" s="4" t="s">
        <v>57</v>
      </c>
      <c r="O95" s="4">
        <v>12</v>
      </c>
      <c r="P95" s="4">
        <v>0.9</v>
      </c>
      <c r="Q95" s="4">
        <v>0.4</v>
      </c>
      <c r="R95" s="142" t="s">
        <v>257</v>
      </c>
      <c r="S95" s="118" t="s">
        <v>100</v>
      </c>
      <c r="W95" s="4" t="s">
        <v>10</v>
      </c>
      <c r="X95" s="4" t="s">
        <v>101</v>
      </c>
    </row>
    <row r="96" spans="1:36" x14ac:dyDescent="0.25">
      <c r="A96" s="4" t="s">
        <v>262</v>
      </c>
      <c r="B96" s="4">
        <v>0.11</v>
      </c>
      <c r="C96" s="4">
        <v>0.11</v>
      </c>
      <c r="D96" s="4" t="s">
        <v>76</v>
      </c>
      <c r="E96" s="4">
        <v>12</v>
      </c>
      <c r="F96" s="4">
        <v>0.9</v>
      </c>
      <c r="G96" s="4">
        <v>0.4</v>
      </c>
      <c r="H96" s="142" t="s">
        <v>77</v>
      </c>
      <c r="I96" s="118" t="s">
        <v>78</v>
      </c>
      <c r="K96" s="4" t="s">
        <v>79</v>
      </c>
      <c r="L96" s="150">
        <v>0.06</v>
      </c>
      <c r="M96" s="150">
        <v>0.06</v>
      </c>
      <c r="N96" s="4" t="s">
        <v>57</v>
      </c>
      <c r="O96" s="4">
        <v>12</v>
      </c>
      <c r="P96" s="4">
        <v>0.9</v>
      </c>
      <c r="Q96" s="4">
        <v>0.4</v>
      </c>
      <c r="R96" s="142" t="s">
        <v>77</v>
      </c>
      <c r="S96" s="122" t="s">
        <v>74</v>
      </c>
      <c r="W96" s="4" t="s">
        <v>251</v>
      </c>
      <c r="X96" s="4" t="s">
        <v>252</v>
      </c>
    </row>
    <row r="97" spans="1:24" x14ac:dyDescent="0.25">
      <c r="I97" s="118"/>
      <c r="K97" s="4" t="s">
        <v>81</v>
      </c>
      <c r="L97" s="4">
        <f>AH81</f>
        <v>0</v>
      </c>
      <c r="M97" s="4">
        <f>AI81</f>
        <v>0</v>
      </c>
      <c r="N97" s="4" t="s">
        <v>76</v>
      </c>
      <c r="O97" s="4">
        <f>$E$4</f>
        <v>17</v>
      </c>
      <c r="P97" s="4">
        <f>$F$4</f>
        <v>0.9</v>
      </c>
      <c r="Q97" s="4">
        <f>$G$4</f>
        <v>0.4</v>
      </c>
      <c r="R97" s="142" t="s">
        <v>319</v>
      </c>
      <c r="S97" s="118" t="s">
        <v>102</v>
      </c>
      <c r="W97" s="4" t="s">
        <v>255</v>
      </c>
      <c r="X97" s="4" t="s">
        <v>256</v>
      </c>
    </row>
    <row r="98" spans="1:24" x14ac:dyDescent="0.25">
      <c r="I98" s="118"/>
      <c r="S98" s="118"/>
      <c r="W98" s="4" t="s">
        <v>260</v>
      </c>
      <c r="X98" s="4" t="s">
        <v>259</v>
      </c>
    </row>
    <row r="99" spans="1:24" x14ac:dyDescent="0.25">
      <c r="I99" s="118"/>
      <c r="O99" s="4" t="s">
        <v>2</v>
      </c>
      <c r="R99" s="4" t="s">
        <v>3</v>
      </c>
      <c r="S99" s="118"/>
    </row>
    <row r="100" spans="1:24" x14ac:dyDescent="0.25">
      <c r="E100" s="4" t="s">
        <v>2</v>
      </c>
      <c r="H100" s="4" t="s">
        <v>3</v>
      </c>
      <c r="I100" s="118"/>
      <c r="K100" s="25" t="s">
        <v>266</v>
      </c>
      <c r="L100" s="4">
        <v>2023</v>
      </c>
      <c r="M100" s="4">
        <v>2050</v>
      </c>
      <c r="N100" s="4" t="s">
        <v>5</v>
      </c>
      <c r="O100" s="4" t="s">
        <v>8</v>
      </c>
      <c r="P100" s="4" t="s">
        <v>9</v>
      </c>
      <c r="Q100" s="4" t="s">
        <v>10</v>
      </c>
      <c r="S100" s="118"/>
    </row>
    <row r="101" spans="1:24" x14ac:dyDescent="0.25">
      <c r="A101" s="25" t="s">
        <v>269</v>
      </c>
      <c r="B101" s="4">
        <v>2023</v>
      </c>
      <c r="C101" s="4">
        <v>2050</v>
      </c>
      <c r="D101" s="4" t="s">
        <v>5</v>
      </c>
      <c r="E101" s="4" t="s">
        <v>8</v>
      </c>
      <c r="F101" s="4" t="s">
        <v>9</v>
      </c>
      <c r="G101" s="4" t="s">
        <v>10</v>
      </c>
      <c r="I101" s="118"/>
      <c r="K101" s="4" t="s">
        <v>18</v>
      </c>
      <c r="L101" s="4">
        <v>390000</v>
      </c>
      <c r="M101" s="4">
        <v>155000</v>
      </c>
      <c r="N101" s="4" t="s">
        <v>15</v>
      </c>
      <c r="O101" s="4">
        <v>9</v>
      </c>
      <c r="P101" s="4">
        <v>0.9</v>
      </c>
      <c r="Q101" s="4">
        <v>0.4</v>
      </c>
      <c r="R101" s="142" t="s">
        <v>9</v>
      </c>
      <c r="S101" s="118" t="s">
        <v>104</v>
      </c>
    </row>
    <row r="102" spans="1:24" x14ac:dyDescent="0.25">
      <c r="A102" s="4" t="s">
        <v>14</v>
      </c>
      <c r="B102" s="4">
        <v>30000</v>
      </c>
      <c r="C102" s="4">
        <v>30000</v>
      </c>
      <c r="D102" s="4" t="s">
        <v>15</v>
      </c>
      <c r="E102" s="4">
        <v>12</v>
      </c>
      <c r="F102" s="4">
        <v>0.9</v>
      </c>
      <c r="G102" s="4">
        <v>0.4</v>
      </c>
      <c r="H102" s="142" t="s">
        <v>261</v>
      </c>
      <c r="I102" s="118" t="s">
        <v>17</v>
      </c>
      <c r="K102" s="4" t="s">
        <v>28</v>
      </c>
      <c r="L102" s="4">
        <f>-L101*0.15</f>
        <v>-58500</v>
      </c>
      <c r="M102" s="4">
        <f>-M101*0.25</f>
        <v>-38750</v>
      </c>
      <c r="N102" s="4" t="s">
        <v>15</v>
      </c>
      <c r="O102" s="4">
        <v>9</v>
      </c>
      <c r="P102" s="4">
        <v>0.9</v>
      </c>
      <c r="Q102" s="4">
        <v>0.4</v>
      </c>
      <c r="R102" s="142" t="s">
        <v>29</v>
      </c>
      <c r="S102" s="121" t="s">
        <v>91</v>
      </c>
    </row>
    <row r="103" spans="1:24" x14ac:dyDescent="0.25">
      <c r="A103" s="4" t="s">
        <v>25</v>
      </c>
      <c r="B103" s="4">
        <f>-B102*0.25</f>
        <v>-7500</v>
      </c>
      <c r="C103" s="4">
        <f>-C102*0.25</f>
        <v>-7500</v>
      </c>
      <c r="D103" s="4" t="s">
        <v>15</v>
      </c>
      <c r="E103" s="4">
        <v>12</v>
      </c>
      <c r="F103" s="4">
        <v>0.9</v>
      </c>
      <c r="G103" s="4">
        <v>0.4</v>
      </c>
      <c r="H103" s="142" t="s">
        <v>26</v>
      </c>
      <c r="I103" s="119" t="s">
        <v>27</v>
      </c>
      <c r="K103" s="4" t="s">
        <v>41</v>
      </c>
      <c r="L103" s="4">
        <v>8</v>
      </c>
      <c r="M103" s="4">
        <v>8</v>
      </c>
      <c r="N103" s="4" t="s">
        <v>42</v>
      </c>
      <c r="O103" s="4">
        <v>9</v>
      </c>
      <c r="P103" s="4">
        <v>0.9</v>
      </c>
      <c r="Q103" s="4">
        <v>0.4</v>
      </c>
      <c r="R103" s="142" t="s">
        <v>43</v>
      </c>
      <c r="S103" s="117" t="s">
        <v>44</v>
      </c>
    </row>
    <row r="104" spans="1:24" x14ac:dyDescent="0.25">
      <c r="A104" s="4" t="s">
        <v>37</v>
      </c>
      <c r="B104" s="4">
        <v>70000</v>
      </c>
      <c r="C104" s="4">
        <v>70000</v>
      </c>
      <c r="D104" s="4" t="s">
        <v>38</v>
      </c>
      <c r="E104" s="4">
        <v>12</v>
      </c>
      <c r="F104" s="4">
        <v>0.9</v>
      </c>
      <c r="G104" s="4">
        <v>0.4</v>
      </c>
      <c r="H104" s="142" t="s">
        <v>39</v>
      </c>
      <c r="I104" s="118" t="s">
        <v>40</v>
      </c>
      <c r="K104" s="4" t="s">
        <v>52</v>
      </c>
      <c r="L104" s="4">
        <v>26000</v>
      </c>
      <c r="M104" s="4">
        <v>18000</v>
      </c>
      <c r="N104" s="4" t="s">
        <v>38</v>
      </c>
      <c r="O104" s="4">
        <v>9</v>
      </c>
      <c r="P104" s="4">
        <v>0.9</v>
      </c>
      <c r="Q104" s="4">
        <v>0.4</v>
      </c>
      <c r="R104" s="142" t="s">
        <v>9</v>
      </c>
      <c r="S104" s="118" t="s">
        <v>105</v>
      </c>
    </row>
    <row r="105" spans="1:24" x14ac:dyDescent="0.25">
      <c r="A105" s="4" t="s">
        <v>48</v>
      </c>
      <c r="B105" s="4">
        <v>25</v>
      </c>
      <c r="C105" s="4">
        <v>25</v>
      </c>
      <c r="D105" s="4" t="s">
        <v>49</v>
      </c>
      <c r="E105" s="4">
        <v>12</v>
      </c>
      <c r="F105" s="4">
        <v>0.9</v>
      </c>
      <c r="G105" s="4">
        <v>0.4</v>
      </c>
      <c r="H105" s="142" t="s">
        <v>50</v>
      </c>
      <c r="I105" s="118" t="s">
        <v>51</v>
      </c>
      <c r="K105" s="4" t="s">
        <v>59</v>
      </c>
      <c r="L105" s="4">
        <v>2.5299999999999998</v>
      </c>
      <c r="M105" s="4">
        <v>1.79</v>
      </c>
      <c r="N105" s="4" t="s">
        <v>60</v>
      </c>
      <c r="O105" s="4">
        <v>9</v>
      </c>
      <c r="P105" s="4">
        <v>0.9</v>
      </c>
      <c r="Q105" s="4">
        <v>0.4</v>
      </c>
      <c r="R105" s="142" t="s">
        <v>9</v>
      </c>
      <c r="S105" s="118" t="s">
        <v>106</v>
      </c>
    </row>
    <row r="106" spans="1:24" x14ac:dyDescent="0.25">
      <c r="A106" s="4" t="s">
        <v>56</v>
      </c>
      <c r="B106" s="150">
        <f>46%/C71</f>
        <v>0.6133333333333334</v>
      </c>
      <c r="C106" s="150">
        <f>46%/C71</f>
        <v>0.6133333333333334</v>
      </c>
      <c r="D106" s="4" t="s">
        <v>57</v>
      </c>
      <c r="E106" s="4">
        <v>12</v>
      </c>
      <c r="F106" s="4">
        <v>0.9</v>
      </c>
      <c r="G106" s="4">
        <v>0.4</v>
      </c>
      <c r="H106" s="142" t="s">
        <v>16</v>
      </c>
      <c r="I106" s="118" t="s">
        <v>107</v>
      </c>
      <c r="K106" s="4" t="s">
        <v>67</v>
      </c>
      <c r="L106" s="65">
        <f t="shared" ref="L106:Q106" si="1">B9</f>
        <v>0.2544561408768215</v>
      </c>
      <c r="M106" s="65">
        <f t="shared" si="1"/>
        <v>0.10949010032952979</v>
      </c>
      <c r="N106" s="65" t="str">
        <f t="shared" si="1"/>
        <v>[€/kWh]</v>
      </c>
      <c r="O106" s="65">
        <f t="shared" si="1"/>
        <v>12</v>
      </c>
      <c r="P106" s="65">
        <f t="shared" si="1"/>
        <v>0.9</v>
      </c>
      <c r="Q106" s="65">
        <f t="shared" si="1"/>
        <v>0.4</v>
      </c>
      <c r="R106" s="142" t="s">
        <v>77</v>
      </c>
      <c r="S106" s="118" t="s">
        <v>290</v>
      </c>
    </row>
    <row r="107" spans="1:24" x14ac:dyDescent="0.25">
      <c r="A107" s="4" t="s">
        <v>64</v>
      </c>
      <c r="B107" s="4">
        <v>105000</v>
      </c>
      <c r="C107" s="4">
        <v>105000</v>
      </c>
      <c r="D107" s="4" t="s">
        <v>65</v>
      </c>
      <c r="E107" s="4">
        <v>12</v>
      </c>
      <c r="F107" s="4">
        <v>0.9</v>
      </c>
      <c r="G107" s="4">
        <v>0.4</v>
      </c>
      <c r="H107" s="142" t="s">
        <v>16</v>
      </c>
      <c r="I107" s="118" t="s">
        <v>108</v>
      </c>
      <c r="K107" s="4" t="s">
        <v>73</v>
      </c>
      <c r="L107" s="150">
        <v>0.05</v>
      </c>
      <c r="M107" s="150">
        <v>0.02</v>
      </c>
      <c r="N107" s="4" t="s">
        <v>57</v>
      </c>
      <c r="O107" s="4">
        <v>12</v>
      </c>
      <c r="P107" s="4">
        <v>0.9</v>
      </c>
      <c r="Q107" s="4">
        <v>0.4</v>
      </c>
      <c r="R107" s="142" t="s">
        <v>50</v>
      </c>
      <c r="S107" s="118" t="s">
        <v>258</v>
      </c>
    </row>
    <row r="108" spans="1:24" x14ac:dyDescent="0.25">
      <c r="A108" s="4" t="s">
        <v>70</v>
      </c>
      <c r="B108" s="4">
        <v>10</v>
      </c>
      <c r="C108" s="4">
        <v>10</v>
      </c>
      <c r="D108" s="4" t="s">
        <v>42</v>
      </c>
      <c r="E108" s="4">
        <v>12</v>
      </c>
      <c r="F108" s="4">
        <v>0.9</v>
      </c>
      <c r="G108" s="4">
        <v>0.4</v>
      </c>
      <c r="H108" s="142" t="s">
        <v>71</v>
      </c>
      <c r="I108" s="118" t="s">
        <v>72</v>
      </c>
      <c r="K108" s="4" t="s">
        <v>79</v>
      </c>
      <c r="L108" s="150">
        <v>0.06</v>
      </c>
      <c r="M108" s="150">
        <v>0.06</v>
      </c>
      <c r="N108" s="4" t="s">
        <v>57</v>
      </c>
      <c r="O108" s="4">
        <v>12</v>
      </c>
      <c r="P108" s="4">
        <v>0.9</v>
      </c>
      <c r="Q108" s="4">
        <v>0.4</v>
      </c>
      <c r="R108" s="142" t="s">
        <v>77</v>
      </c>
      <c r="S108" s="122" t="s">
        <v>74</v>
      </c>
    </row>
    <row r="109" spans="1:24" x14ac:dyDescent="0.25">
      <c r="A109" s="4" t="s">
        <v>262</v>
      </c>
      <c r="B109" s="4">
        <v>0.11</v>
      </c>
      <c r="C109" s="4">
        <v>0.11</v>
      </c>
      <c r="D109" s="4" t="s">
        <v>76</v>
      </c>
      <c r="E109" s="4">
        <v>12</v>
      </c>
      <c r="F109" s="4">
        <v>0.9</v>
      </c>
      <c r="G109" s="4">
        <v>0.4</v>
      </c>
      <c r="H109" s="142" t="s">
        <v>77</v>
      </c>
      <c r="I109" s="118" t="s">
        <v>78</v>
      </c>
      <c r="K109" s="4" t="s">
        <v>81</v>
      </c>
      <c r="L109" s="4">
        <f>AC81</f>
        <v>0</v>
      </c>
      <c r="M109" s="4">
        <f>AD81</f>
        <v>0</v>
      </c>
      <c r="N109" s="4" t="s">
        <v>76</v>
      </c>
      <c r="O109" s="4">
        <f>$E$4</f>
        <v>17</v>
      </c>
      <c r="P109" s="4">
        <f>$F$4</f>
        <v>0.9</v>
      </c>
      <c r="Q109" s="4">
        <f>$G$4</f>
        <v>0.4</v>
      </c>
      <c r="R109" s="142" t="s">
        <v>318</v>
      </c>
      <c r="S109" s="118" t="s">
        <v>288</v>
      </c>
    </row>
    <row r="110" spans="1:24" x14ac:dyDescent="0.25">
      <c r="I110" s="118"/>
      <c r="S110" s="117"/>
    </row>
    <row r="111" spans="1:24" x14ac:dyDescent="0.25">
      <c r="I111" s="118"/>
    </row>
    <row r="112" spans="1:24" x14ac:dyDescent="0.25">
      <c r="I112" s="118"/>
    </row>
    <row r="113" spans="1:9" x14ac:dyDescent="0.25">
      <c r="E113" s="4" t="s">
        <v>2</v>
      </c>
      <c r="H113" s="4" t="s">
        <v>3</v>
      </c>
      <c r="I113" s="118"/>
    </row>
    <row r="114" spans="1:9" x14ac:dyDescent="0.25">
      <c r="A114" s="25" t="s">
        <v>270</v>
      </c>
      <c r="B114" s="4">
        <v>2023</v>
      </c>
      <c r="C114" s="4">
        <v>2050</v>
      </c>
      <c r="D114" s="4" t="s">
        <v>5</v>
      </c>
      <c r="E114" s="4" t="s">
        <v>8</v>
      </c>
      <c r="F114" s="4" t="s">
        <v>9</v>
      </c>
      <c r="G114" s="4" t="s">
        <v>10</v>
      </c>
      <c r="I114" s="118"/>
    </row>
    <row r="115" spans="1:9" x14ac:dyDescent="0.25">
      <c r="A115" s="4" t="s">
        <v>14</v>
      </c>
      <c r="B115" s="4">
        <v>40000</v>
      </c>
      <c r="C115" s="4">
        <v>40000</v>
      </c>
      <c r="D115" s="4" t="s">
        <v>15</v>
      </c>
      <c r="E115" s="4">
        <v>12</v>
      </c>
      <c r="F115" s="4">
        <v>0.9</v>
      </c>
      <c r="G115" s="4">
        <v>0.4</v>
      </c>
      <c r="H115" s="142" t="s">
        <v>261</v>
      </c>
      <c r="I115" s="118" t="s">
        <v>17</v>
      </c>
    </row>
    <row r="116" spans="1:9" x14ac:dyDescent="0.25">
      <c r="A116" s="4" t="s">
        <v>25</v>
      </c>
      <c r="B116" s="4">
        <f>-B115*0.25</f>
        <v>-10000</v>
      </c>
      <c r="C116" s="4">
        <f>-C115*0.25</f>
        <v>-10000</v>
      </c>
      <c r="D116" s="4" t="s">
        <v>15</v>
      </c>
      <c r="E116" s="4">
        <v>12</v>
      </c>
      <c r="F116" s="4">
        <v>0.9</v>
      </c>
      <c r="G116" s="4">
        <v>0.4</v>
      </c>
      <c r="H116" s="142" t="s">
        <v>26</v>
      </c>
      <c r="I116" s="119" t="s">
        <v>27</v>
      </c>
    </row>
    <row r="117" spans="1:9" x14ac:dyDescent="0.25">
      <c r="A117" s="4" t="s">
        <v>37</v>
      </c>
      <c r="B117" s="4">
        <v>70000</v>
      </c>
      <c r="C117" s="4">
        <v>70000</v>
      </c>
      <c r="D117" s="4" t="s">
        <v>38</v>
      </c>
      <c r="E117" s="4">
        <v>12</v>
      </c>
      <c r="F117" s="4">
        <v>0.9</v>
      </c>
      <c r="G117" s="4">
        <v>0.4</v>
      </c>
      <c r="H117" s="142" t="s">
        <v>39</v>
      </c>
      <c r="I117" s="118" t="s">
        <v>40</v>
      </c>
    </row>
    <row r="118" spans="1:9" x14ac:dyDescent="0.25">
      <c r="A118" s="4" t="s">
        <v>48</v>
      </c>
      <c r="B118" s="4">
        <v>25</v>
      </c>
      <c r="C118" s="4">
        <v>25</v>
      </c>
      <c r="D118" s="4" t="s">
        <v>49</v>
      </c>
      <c r="E118" s="4">
        <v>12</v>
      </c>
      <c r="F118" s="4">
        <v>0.9</v>
      </c>
      <c r="G118" s="4">
        <v>0.4</v>
      </c>
      <c r="H118" s="142" t="s">
        <v>50</v>
      </c>
      <c r="I118" s="118" t="s">
        <v>51</v>
      </c>
    </row>
    <row r="119" spans="1:9" x14ac:dyDescent="0.25">
      <c r="A119" s="4" t="s">
        <v>56</v>
      </c>
      <c r="B119" s="150">
        <f>46%/C71</f>
        <v>0.6133333333333334</v>
      </c>
      <c r="C119" s="150">
        <f>46%/C71</f>
        <v>0.6133333333333334</v>
      </c>
      <c r="D119" s="4" t="s">
        <v>57</v>
      </c>
      <c r="E119" s="4">
        <v>12</v>
      </c>
      <c r="F119" s="4">
        <v>0.9</v>
      </c>
      <c r="G119" s="4">
        <v>0.4</v>
      </c>
      <c r="H119" s="142" t="s">
        <v>16</v>
      </c>
      <c r="I119" s="118" t="s">
        <v>109</v>
      </c>
    </row>
    <row r="120" spans="1:9" x14ac:dyDescent="0.25">
      <c r="A120" s="4" t="s">
        <v>64</v>
      </c>
      <c r="B120" s="4">
        <v>78000</v>
      </c>
      <c r="C120" s="4">
        <v>78000</v>
      </c>
      <c r="D120" s="4" t="s">
        <v>65</v>
      </c>
      <c r="E120" s="4">
        <v>12</v>
      </c>
      <c r="F120" s="4">
        <v>0.9</v>
      </c>
      <c r="G120" s="4">
        <v>0.4</v>
      </c>
      <c r="H120" s="142" t="s">
        <v>16</v>
      </c>
      <c r="I120" s="118" t="s">
        <v>110</v>
      </c>
    </row>
    <row r="121" spans="1:9" x14ac:dyDescent="0.25">
      <c r="A121" s="4" t="s">
        <v>70</v>
      </c>
      <c r="B121" s="4">
        <v>10</v>
      </c>
      <c r="C121" s="4">
        <v>10</v>
      </c>
      <c r="D121" s="4" t="s">
        <v>42</v>
      </c>
      <c r="E121" s="4">
        <v>12</v>
      </c>
      <c r="F121" s="4">
        <v>0.9</v>
      </c>
      <c r="G121" s="4">
        <v>0.4</v>
      </c>
      <c r="H121" s="142" t="s">
        <v>71</v>
      </c>
      <c r="I121" s="118" t="s">
        <v>72</v>
      </c>
    </row>
    <row r="122" spans="1:9" x14ac:dyDescent="0.25">
      <c r="A122" s="4" t="s">
        <v>262</v>
      </c>
      <c r="B122" s="4">
        <v>0.11</v>
      </c>
      <c r="C122" s="4">
        <v>0.11</v>
      </c>
      <c r="D122" s="4" t="s">
        <v>76</v>
      </c>
      <c r="E122" s="4">
        <v>12</v>
      </c>
      <c r="F122" s="4">
        <v>0.9</v>
      </c>
      <c r="G122" s="4">
        <v>0.4</v>
      </c>
      <c r="H122" s="142" t="s">
        <v>77</v>
      </c>
      <c r="I122" s="118" t="s">
        <v>78</v>
      </c>
    </row>
    <row r="123" spans="1:9" x14ac:dyDescent="0.25">
      <c r="I123" s="118"/>
    </row>
    <row r="124" spans="1:9" x14ac:dyDescent="0.25">
      <c r="I124" s="118"/>
    </row>
    <row r="125" spans="1:9" x14ac:dyDescent="0.25">
      <c r="I125" s="118"/>
    </row>
    <row r="126" spans="1:9" x14ac:dyDescent="0.25">
      <c r="I126" s="118"/>
    </row>
    <row r="127" spans="1:9" x14ac:dyDescent="0.25">
      <c r="E127" s="4" t="s">
        <v>2</v>
      </c>
      <c r="H127" s="4" t="s">
        <v>3</v>
      </c>
      <c r="I127" s="118"/>
    </row>
    <row r="128" spans="1:9" x14ac:dyDescent="0.25">
      <c r="A128" s="25" t="s">
        <v>271</v>
      </c>
      <c r="B128" s="4">
        <v>2023</v>
      </c>
      <c r="C128" s="4">
        <v>2050</v>
      </c>
      <c r="D128" s="4" t="s">
        <v>5</v>
      </c>
      <c r="E128" s="4" t="s">
        <v>8</v>
      </c>
      <c r="F128" s="4" t="s">
        <v>9</v>
      </c>
      <c r="G128" s="4" t="s">
        <v>10</v>
      </c>
      <c r="I128" s="118"/>
    </row>
    <row r="129" spans="1:11" x14ac:dyDescent="0.25">
      <c r="A129" s="4" t="s">
        <v>14</v>
      </c>
      <c r="B129" s="4">
        <v>35000</v>
      </c>
      <c r="C129" s="4">
        <v>35000</v>
      </c>
      <c r="D129" s="4" t="s">
        <v>15</v>
      </c>
      <c r="E129" s="4">
        <v>12</v>
      </c>
      <c r="F129" s="4">
        <v>0.9</v>
      </c>
      <c r="G129" s="4">
        <v>0.4</v>
      </c>
      <c r="H129" s="142" t="s">
        <v>261</v>
      </c>
      <c r="I129" s="118" t="s">
        <v>17</v>
      </c>
    </row>
    <row r="130" spans="1:11" x14ac:dyDescent="0.25">
      <c r="A130" s="4" t="s">
        <v>25</v>
      </c>
      <c r="B130" s="4">
        <f>-B129*0.25</f>
        <v>-8750</v>
      </c>
      <c r="C130" s="4">
        <f>-C129*0.25</f>
        <v>-8750</v>
      </c>
      <c r="D130" s="4" t="s">
        <v>15</v>
      </c>
      <c r="E130" s="4">
        <v>12</v>
      </c>
      <c r="F130" s="4">
        <v>0.9</v>
      </c>
      <c r="G130" s="4">
        <v>0.4</v>
      </c>
      <c r="H130" s="142" t="s">
        <v>26</v>
      </c>
      <c r="I130" s="119" t="s">
        <v>27</v>
      </c>
    </row>
    <row r="131" spans="1:11" x14ac:dyDescent="0.25">
      <c r="A131" s="4" t="s">
        <v>37</v>
      </c>
      <c r="B131" s="4">
        <v>70000</v>
      </c>
      <c r="C131" s="4">
        <v>70000</v>
      </c>
      <c r="D131" s="4" t="s">
        <v>38</v>
      </c>
      <c r="E131" s="4">
        <v>12</v>
      </c>
      <c r="F131" s="4">
        <v>0.9</v>
      </c>
      <c r="G131" s="4">
        <v>0.4</v>
      </c>
      <c r="H131" s="142" t="s">
        <v>39</v>
      </c>
      <c r="I131" s="118" t="s">
        <v>40</v>
      </c>
    </row>
    <row r="132" spans="1:11" x14ac:dyDescent="0.25">
      <c r="A132" s="4" t="s">
        <v>48</v>
      </c>
      <c r="B132" s="4">
        <v>25</v>
      </c>
      <c r="C132" s="4">
        <v>25</v>
      </c>
      <c r="D132" s="4" t="s">
        <v>49</v>
      </c>
      <c r="E132" s="4">
        <v>12</v>
      </c>
      <c r="F132" s="4">
        <v>0.9</v>
      </c>
      <c r="G132" s="4">
        <v>0.4</v>
      </c>
      <c r="H132" s="142" t="s">
        <v>50</v>
      </c>
      <c r="I132" s="118" t="s">
        <v>51</v>
      </c>
    </row>
    <row r="133" spans="1:11" x14ac:dyDescent="0.25">
      <c r="A133" s="4" t="s">
        <v>56</v>
      </c>
      <c r="B133" s="150">
        <f>48%/C71</f>
        <v>0.64</v>
      </c>
      <c r="C133" s="150">
        <f>48%/C71</f>
        <v>0.64</v>
      </c>
      <c r="D133" s="4" t="s">
        <v>57</v>
      </c>
      <c r="E133" s="4">
        <v>12</v>
      </c>
      <c r="F133" s="4">
        <v>0.9</v>
      </c>
      <c r="G133" s="4">
        <v>0.4</v>
      </c>
      <c r="H133" s="142" t="s">
        <v>16</v>
      </c>
      <c r="I133" s="118" t="s">
        <v>111</v>
      </c>
    </row>
    <row r="134" spans="1:11" x14ac:dyDescent="0.25">
      <c r="A134" s="4" t="s">
        <v>64</v>
      </c>
      <c r="B134" s="4">
        <v>90000</v>
      </c>
      <c r="C134" s="4">
        <v>90000</v>
      </c>
      <c r="D134" s="4" t="s">
        <v>65</v>
      </c>
      <c r="E134" s="4">
        <v>12</v>
      </c>
      <c r="F134" s="4">
        <v>0.9</v>
      </c>
      <c r="G134" s="4">
        <v>0.4</v>
      </c>
      <c r="H134" s="142" t="s">
        <v>16</v>
      </c>
      <c r="I134" s="118" t="s">
        <v>112</v>
      </c>
    </row>
    <row r="135" spans="1:11" x14ac:dyDescent="0.25">
      <c r="A135" s="4" t="s">
        <v>70</v>
      </c>
      <c r="B135" s="4">
        <v>10</v>
      </c>
      <c r="C135" s="4">
        <v>10</v>
      </c>
      <c r="D135" s="4" t="s">
        <v>42</v>
      </c>
      <c r="E135" s="4">
        <v>12</v>
      </c>
      <c r="F135" s="4">
        <v>0.9</v>
      </c>
      <c r="G135" s="4">
        <v>0.4</v>
      </c>
      <c r="H135" s="142" t="s">
        <v>71</v>
      </c>
      <c r="I135" s="118" t="s">
        <v>72</v>
      </c>
    </row>
    <row r="136" spans="1:11" x14ac:dyDescent="0.25">
      <c r="A136" s="4" t="s">
        <v>262</v>
      </c>
      <c r="B136" s="4">
        <v>0.11</v>
      </c>
      <c r="C136" s="4">
        <v>0.11</v>
      </c>
      <c r="D136" s="4" t="s">
        <v>76</v>
      </c>
      <c r="E136" s="4">
        <v>12</v>
      </c>
      <c r="F136" s="4">
        <v>0.9</v>
      </c>
      <c r="G136" s="4">
        <v>0.4</v>
      </c>
      <c r="H136" s="142" t="s">
        <v>77</v>
      </c>
      <c r="I136" s="118" t="s">
        <v>78</v>
      </c>
    </row>
    <row r="137" spans="1:11" x14ac:dyDescent="0.25">
      <c r="I137" s="117"/>
    </row>
    <row r="139" spans="1:11" s="93" customFormat="1" ht="31.5" x14ac:dyDescent="0.5">
      <c r="A139" s="93" t="s">
        <v>263</v>
      </c>
      <c r="K139" s="93" t="s">
        <v>0</v>
      </c>
    </row>
    <row r="140" spans="1:11" s="96" customFormat="1" ht="15.6" customHeight="1" x14ac:dyDescent="0.5">
      <c r="B140" s="4" t="s">
        <v>402</v>
      </c>
      <c r="C140" s="94">
        <v>0.75</v>
      </c>
      <c r="D140" s="162" t="s">
        <v>405</v>
      </c>
    </row>
    <row r="141" spans="1:11" s="96" customFormat="1" ht="15.6" customHeight="1" x14ac:dyDescent="0.5">
      <c r="B141" s="4" t="s">
        <v>403</v>
      </c>
      <c r="C141" s="94">
        <f>1-C140</f>
        <v>0.25</v>
      </c>
      <c r="D141" s="162" t="s">
        <v>404</v>
      </c>
    </row>
    <row r="142" spans="1:11" x14ac:dyDescent="0.25">
      <c r="B142" s="152" t="s">
        <v>148</v>
      </c>
      <c r="C142" s="152"/>
      <c r="D142" s="152"/>
      <c r="E142" s="152">
        <v>28</v>
      </c>
      <c r="F142" s="144" t="s">
        <v>9</v>
      </c>
    </row>
    <row r="143" spans="1:11" x14ac:dyDescent="0.25">
      <c r="A143" s="95" t="s">
        <v>113</v>
      </c>
      <c r="B143" s="152" t="s">
        <v>151</v>
      </c>
      <c r="C143" s="152"/>
      <c r="D143" s="152" t="s">
        <v>152</v>
      </c>
      <c r="E143" s="152">
        <f>2800/35</f>
        <v>80</v>
      </c>
      <c r="F143" s="144" t="s">
        <v>9</v>
      </c>
    </row>
    <row r="144" spans="1:11" ht="15.75" thickBot="1" x14ac:dyDescent="0.3"/>
    <row r="145" spans="1:42" x14ac:dyDescent="0.25">
      <c r="E145" s="4" t="s">
        <v>2</v>
      </c>
      <c r="H145" s="4" t="s">
        <v>3</v>
      </c>
      <c r="I145" s="117"/>
      <c r="O145" s="4" t="s">
        <v>2</v>
      </c>
      <c r="R145" s="4" t="s">
        <v>3</v>
      </c>
      <c r="S145" s="117"/>
      <c r="W145" s="99" t="s">
        <v>114</v>
      </c>
      <c r="X145" s="100">
        <v>2023</v>
      </c>
      <c r="Y145" s="100">
        <v>2050</v>
      </c>
      <c r="Z145" s="101" t="s">
        <v>5</v>
      </c>
      <c r="AB145" s="99" t="s">
        <v>115</v>
      </c>
      <c r="AC145" s="100">
        <v>2023</v>
      </c>
      <c r="AD145" s="100">
        <v>2050</v>
      </c>
      <c r="AE145" s="101" t="s">
        <v>5</v>
      </c>
      <c r="AG145" s="99" t="s">
        <v>116</v>
      </c>
      <c r="AH145" s="100">
        <v>2023</v>
      </c>
      <c r="AI145" s="100">
        <v>2050</v>
      </c>
      <c r="AJ145" s="101" t="s">
        <v>5</v>
      </c>
      <c r="AL145" s="99" t="s">
        <v>117</v>
      </c>
      <c r="AM145" s="100">
        <v>2023</v>
      </c>
      <c r="AN145" s="100">
        <v>2050</v>
      </c>
      <c r="AO145" s="101" t="s">
        <v>5</v>
      </c>
    </row>
    <row r="146" spans="1:42" x14ac:dyDescent="0.25">
      <c r="A146" s="25" t="s">
        <v>272</v>
      </c>
      <c r="B146" s="4">
        <v>2023</v>
      </c>
      <c r="C146" s="4">
        <v>2050</v>
      </c>
      <c r="D146" s="4" t="s">
        <v>5</v>
      </c>
      <c r="E146" s="4" t="s">
        <v>8</v>
      </c>
      <c r="F146" s="4" t="s">
        <v>9</v>
      </c>
      <c r="G146" s="4" t="s">
        <v>10</v>
      </c>
      <c r="I146" s="117"/>
      <c r="K146" s="25" t="s">
        <v>11</v>
      </c>
      <c r="L146" s="4">
        <v>2023</v>
      </c>
      <c r="M146" s="4">
        <v>2050</v>
      </c>
      <c r="N146" s="4" t="s">
        <v>5</v>
      </c>
      <c r="O146" s="4" t="s">
        <v>8</v>
      </c>
      <c r="P146" s="4" t="s">
        <v>9</v>
      </c>
      <c r="Q146" s="4" t="s">
        <v>10</v>
      </c>
      <c r="S146" s="34"/>
      <c r="W146" s="102" t="s">
        <v>12</v>
      </c>
      <c r="X146" s="107">
        <f>$B$4</f>
        <v>0</v>
      </c>
      <c r="Y146" s="107">
        <f>$C$4</f>
        <v>0</v>
      </c>
      <c r="Z146" s="103" t="s">
        <v>13</v>
      </c>
      <c r="AB146" s="102" t="s">
        <v>12</v>
      </c>
      <c r="AC146" s="107">
        <f>$B$4</f>
        <v>0</v>
      </c>
      <c r="AD146" s="107">
        <f>$C$4</f>
        <v>0</v>
      </c>
      <c r="AE146" s="103" t="s">
        <v>13</v>
      </c>
      <c r="AG146" s="102" t="s">
        <v>12</v>
      </c>
      <c r="AH146" s="107">
        <f>$B$4</f>
        <v>0</v>
      </c>
      <c r="AI146" s="107">
        <f>$C$4</f>
        <v>0</v>
      </c>
      <c r="AJ146" s="103" t="s">
        <v>13</v>
      </c>
      <c r="AL146" s="102" t="s">
        <v>12</v>
      </c>
      <c r="AM146" s="107">
        <f>$B$4</f>
        <v>0</v>
      </c>
      <c r="AN146" s="107">
        <f>$C$4</f>
        <v>0</v>
      </c>
      <c r="AO146" s="103" t="s">
        <v>13</v>
      </c>
    </row>
    <row r="147" spans="1:42" x14ac:dyDescent="0.25">
      <c r="A147" s="4" t="s">
        <v>14</v>
      </c>
      <c r="B147" s="113">
        <f>150000*$E$142</f>
        <v>4200000</v>
      </c>
      <c r="C147" s="4">
        <f>150000*$E$142</f>
        <v>4200000</v>
      </c>
      <c r="D147" s="4" t="s">
        <v>15</v>
      </c>
      <c r="E147" s="4">
        <v>12</v>
      </c>
      <c r="F147" s="4">
        <v>0.9</v>
      </c>
      <c r="G147" s="4">
        <v>0.4</v>
      </c>
      <c r="H147" s="144" t="s">
        <v>118</v>
      </c>
      <c r="I147" s="118" t="s">
        <v>119</v>
      </c>
      <c r="K147" s="4" t="s">
        <v>18</v>
      </c>
      <c r="L147" s="4">
        <v>3500000</v>
      </c>
      <c r="M147" s="4">
        <v>3500000</v>
      </c>
      <c r="N147" s="4" t="s">
        <v>15</v>
      </c>
      <c r="O147" s="4">
        <v>12</v>
      </c>
      <c r="P147" s="4">
        <v>0.9</v>
      </c>
      <c r="Q147" s="4">
        <v>0.4</v>
      </c>
      <c r="R147" s="144" t="s">
        <v>9</v>
      </c>
      <c r="S147" s="118" t="s">
        <v>120</v>
      </c>
      <c r="W147" s="102" t="s">
        <v>20</v>
      </c>
      <c r="X147" s="195">
        <v>3.17</v>
      </c>
      <c r="Y147" s="195"/>
      <c r="Z147" s="103" t="s">
        <v>21</v>
      </c>
      <c r="AB147" s="102" t="s">
        <v>22</v>
      </c>
      <c r="AC147" s="4">
        <v>2.1999999999999999E-2</v>
      </c>
      <c r="AD147" s="4">
        <v>0</v>
      </c>
      <c r="AE147" s="4" t="s">
        <v>23</v>
      </c>
      <c r="AG147" s="102" t="s">
        <v>22</v>
      </c>
      <c r="AH147" s="4">
        <v>2.1999999999999999E-2</v>
      </c>
      <c r="AI147" s="4">
        <v>0</v>
      </c>
      <c r="AJ147" s="4" t="s">
        <v>23</v>
      </c>
      <c r="AL147" s="102" t="s">
        <v>22</v>
      </c>
      <c r="AM147" s="4">
        <v>2.1999999999999999E-2</v>
      </c>
      <c r="AN147" s="4">
        <v>0</v>
      </c>
      <c r="AO147" s="4" t="s">
        <v>23</v>
      </c>
      <c r="AP147" s="4" t="s">
        <v>24</v>
      </c>
    </row>
    <row r="148" spans="1:42" x14ac:dyDescent="0.25">
      <c r="A148" s="4" t="s">
        <v>25</v>
      </c>
      <c r="B148" s="4">
        <f>-B147*0.05</f>
        <v>-210000</v>
      </c>
      <c r="C148" s="4">
        <f>-C147*0.05</f>
        <v>-210000</v>
      </c>
      <c r="D148" s="4" t="s">
        <v>15</v>
      </c>
      <c r="E148" s="4">
        <v>12</v>
      </c>
      <c r="F148" s="4">
        <v>0.9</v>
      </c>
      <c r="G148" s="4">
        <v>0.4</v>
      </c>
      <c r="H148" s="144" t="s">
        <v>26</v>
      </c>
      <c r="I148" s="117" t="s">
        <v>121</v>
      </c>
      <c r="K148" s="4" t="s">
        <v>28</v>
      </c>
      <c r="L148" s="4">
        <f>-L147*0.15</f>
        <v>-525000</v>
      </c>
      <c r="M148" s="4">
        <f>-M147*0.05</f>
        <v>-175000</v>
      </c>
      <c r="N148" s="4" t="s">
        <v>15</v>
      </c>
      <c r="O148" s="4">
        <v>12</v>
      </c>
      <c r="P148" s="4">
        <v>0.9</v>
      </c>
      <c r="Q148" s="4">
        <v>0.4</v>
      </c>
      <c r="R148" s="144" t="s">
        <v>26</v>
      </c>
      <c r="S148" s="117" t="s">
        <v>122</v>
      </c>
      <c r="W148" s="102" t="s">
        <v>31</v>
      </c>
      <c r="X148" s="195">
        <v>11.89</v>
      </c>
      <c r="Y148" s="195"/>
      <c r="Z148" s="103" t="s">
        <v>32</v>
      </c>
      <c r="AB148" s="102" t="s">
        <v>33</v>
      </c>
      <c r="AC148" s="94">
        <v>0.61</v>
      </c>
      <c r="AD148" s="94">
        <v>0.7</v>
      </c>
      <c r="AE148" s="103" t="s">
        <v>34</v>
      </c>
      <c r="AG148" s="102" t="s">
        <v>35</v>
      </c>
      <c r="AH148" s="94">
        <v>0.95</v>
      </c>
      <c r="AI148" s="94">
        <v>0.95</v>
      </c>
      <c r="AJ148" s="103" t="s">
        <v>34</v>
      </c>
      <c r="AL148" s="102" t="s">
        <v>35</v>
      </c>
      <c r="AM148" s="94">
        <v>0.95</v>
      </c>
      <c r="AN148" s="94">
        <v>0.95</v>
      </c>
      <c r="AO148" s="103" t="s">
        <v>34</v>
      </c>
      <c r="AP148" s="4" t="s">
        <v>36</v>
      </c>
    </row>
    <row r="149" spans="1:42" x14ac:dyDescent="0.25">
      <c r="A149" s="4" t="s">
        <v>37</v>
      </c>
      <c r="B149" s="113">
        <v>650000</v>
      </c>
      <c r="C149" s="4">
        <v>650000</v>
      </c>
      <c r="D149" s="4" t="s">
        <v>38</v>
      </c>
      <c r="E149" s="4">
        <v>12</v>
      </c>
      <c r="F149" s="4">
        <v>0.9</v>
      </c>
      <c r="G149" s="4">
        <v>0.4</v>
      </c>
      <c r="H149" s="144" t="s">
        <v>16</v>
      </c>
      <c r="I149" s="117" t="s">
        <v>123</v>
      </c>
      <c r="K149" s="4" t="s">
        <v>41</v>
      </c>
      <c r="L149" s="4">
        <v>20</v>
      </c>
      <c r="M149" s="4">
        <v>20</v>
      </c>
      <c r="N149" s="4" t="s">
        <v>42</v>
      </c>
      <c r="O149" s="4">
        <v>12</v>
      </c>
      <c r="P149" s="4">
        <v>0.9</v>
      </c>
      <c r="Q149" s="4">
        <v>0.4</v>
      </c>
      <c r="R149" s="144" t="s">
        <v>9</v>
      </c>
      <c r="S149" s="117" t="s">
        <v>124</v>
      </c>
      <c r="W149" s="102" t="s">
        <v>45</v>
      </c>
      <c r="X149" s="196">
        <f>X147/X148</f>
        <v>0.26661059714045415</v>
      </c>
      <c r="Y149" s="196"/>
      <c r="Z149" s="103" t="s">
        <v>46</v>
      </c>
      <c r="AB149" s="102" t="s">
        <v>47</v>
      </c>
      <c r="AC149" s="109">
        <f>AC147/AC148</f>
        <v>3.6065573770491799E-2</v>
      </c>
      <c r="AD149" s="109">
        <f>AD147/AD148</f>
        <v>0</v>
      </c>
      <c r="AE149" s="103" t="s">
        <v>46</v>
      </c>
      <c r="AG149" s="102" t="s">
        <v>22</v>
      </c>
      <c r="AH149" s="109">
        <f>AH147/AH148</f>
        <v>2.3157894736842106E-2</v>
      </c>
      <c r="AI149" s="109">
        <f>AI147/AI148</f>
        <v>0</v>
      </c>
      <c r="AJ149" s="103" t="s">
        <v>46</v>
      </c>
      <c r="AL149" s="102" t="s">
        <v>22</v>
      </c>
      <c r="AM149" s="109">
        <f>AM147/AM148</f>
        <v>2.3157894736842106E-2</v>
      </c>
      <c r="AN149" s="109">
        <f>AN147/AN148</f>
        <v>0</v>
      </c>
      <c r="AO149" s="103" t="s">
        <v>46</v>
      </c>
    </row>
    <row r="150" spans="1:42" x14ac:dyDescent="0.25">
      <c r="A150" s="4" t="s">
        <v>48</v>
      </c>
      <c r="B150" s="4">
        <f>$E$142*$E$143</f>
        <v>2240</v>
      </c>
      <c r="C150" s="4">
        <f>$E$142*$E$143</f>
        <v>2240</v>
      </c>
      <c r="D150" s="4" t="s">
        <v>49</v>
      </c>
      <c r="E150" s="4">
        <v>12</v>
      </c>
      <c r="F150" s="4">
        <v>0.9</v>
      </c>
      <c r="G150" s="4">
        <v>0.4</v>
      </c>
      <c r="H150" s="144" t="s">
        <v>125</v>
      </c>
      <c r="I150" s="118" t="s">
        <v>126</v>
      </c>
      <c r="K150" s="4" t="s">
        <v>52</v>
      </c>
      <c r="L150" s="112">
        <f>L147*0.3</f>
        <v>1050000</v>
      </c>
      <c r="M150" s="112">
        <f>M147*0.3</f>
        <v>1050000</v>
      </c>
      <c r="N150" s="4" t="s">
        <v>38</v>
      </c>
      <c r="O150" s="4">
        <v>12</v>
      </c>
      <c r="P150" s="4">
        <v>0.9</v>
      </c>
      <c r="Q150" s="4">
        <v>0.4</v>
      </c>
      <c r="R150" s="144" t="s">
        <v>9</v>
      </c>
      <c r="S150" s="118" t="s">
        <v>127</v>
      </c>
      <c r="W150" s="102" t="s">
        <v>54</v>
      </c>
      <c r="X150" s="4">
        <f>L151*X149</f>
        <v>20.469721783010932</v>
      </c>
      <c r="Y150" s="4">
        <f>M151*X149</f>
        <v>20.469721783010932</v>
      </c>
      <c r="Z150" s="103" t="s">
        <v>55</v>
      </c>
      <c r="AB150" s="102" t="s">
        <v>54</v>
      </c>
      <c r="AC150" s="4">
        <f>AC149*L187</f>
        <v>1.7621088524590158</v>
      </c>
      <c r="AD150" s="4">
        <f>AD149*M187</f>
        <v>0</v>
      </c>
      <c r="AE150" s="103" t="s">
        <v>55</v>
      </c>
      <c r="AG150" s="102" t="s">
        <v>54</v>
      </c>
      <c r="AH150" s="4">
        <f>AH149*L163</f>
        <v>0.73212076780185753</v>
      </c>
      <c r="AI150" s="4">
        <f>AI149*M163</f>
        <v>0</v>
      </c>
      <c r="AJ150" s="103" t="s">
        <v>55</v>
      </c>
      <c r="AL150" s="102" t="s">
        <v>54</v>
      </c>
      <c r="AM150" s="4">
        <f>AM149*L175</f>
        <v>0.77787831578947364</v>
      </c>
      <c r="AN150" s="4">
        <f>AN149*M175</f>
        <v>0</v>
      </c>
      <c r="AO150" s="103" t="s">
        <v>55</v>
      </c>
    </row>
    <row r="151" spans="1:42" ht="15.75" thickBot="1" x14ac:dyDescent="0.3">
      <c r="A151" s="4" t="s">
        <v>56</v>
      </c>
      <c r="B151" s="150">
        <f>48%/C140</f>
        <v>0.64</v>
      </c>
      <c r="C151" s="150">
        <f>48%/C140</f>
        <v>0.64</v>
      </c>
      <c r="D151" s="4" t="s">
        <v>57</v>
      </c>
      <c r="E151" s="4">
        <v>12</v>
      </c>
      <c r="F151" s="4">
        <v>0.9</v>
      </c>
      <c r="G151" s="4">
        <v>0.4</v>
      </c>
      <c r="H151" s="144" t="s">
        <v>16</v>
      </c>
      <c r="I151" s="117" t="s">
        <v>128</v>
      </c>
      <c r="K151" s="4" t="s">
        <v>59</v>
      </c>
      <c r="L151" s="4">
        <f>(1.8*$B152+0.0041*$B152*$B150*$B151)*10/$B152</f>
        <v>76.777599999999993</v>
      </c>
      <c r="M151" s="4">
        <f>(1.8*$B152+0.0041*$B152*$B150*$B151)*10/$B152</f>
        <v>76.777599999999993</v>
      </c>
      <c r="N151" s="4" t="s">
        <v>60</v>
      </c>
      <c r="O151" s="4">
        <v>12</v>
      </c>
      <c r="P151" s="4">
        <v>0.9</v>
      </c>
      <c r="Q151" s="4">
        <v>0.4</v>
      </c>
      <c r="R151" s="144" t="s">
        <v>43</v>
      </c>
      <c r="S151" s="117" t="s">
        <v>129</v>
      </c>
      <c r="W151" s="104" t="s">
        <v>62</v>
      </c>
      <c r="X151" s="105">
        <f>X146/1000*X150</f>
        <v>0</v>
      </c>
      <c r="Y151" s="105">
        <f>Y150/1000*Y146</f>
        <v>0</v>
      </c>
      <c r="Z151" s="106" t="s">
        <v>63</v>
      </c>
      <c r="AB151" s="104" t="s">
        <v>62</v>
      </c>
      <c r="AC151" s="105">
        <f>AC146/1000*AC150</f>
        <v>0</v>
      </c>
      <c r="AD151" s="105">
        <f>AD150/1000*AD146</f>
        <v>0</v>
      </c>
      <c r="AE151" s="106" t="s">
        <v>63</v>
      </c>
      <c r="AG151" s="104" t="s">
        <v>62</v>
      </c>
      <c r="AH151" s="105">
        <f>AH146/1000*AH150</f>
        <v>0</v>
      </c>
      <c r="AI151" s="105">
        <f>AI150/1000*AI146</f>
        <v>0</v>
      </c>
      <c r="AJ151" s="106" t="s">
        <v>63</v>
      </c>
      <c r="AL151" s="104" t="s">
        <v>62</v>
      </c>
      <c r="AM151" s="105">
        <f>AM146/1000*AM150</f>
        <v>0</v>
      </c>
      <c r="AN151" s="105">
        <f>AN150/1000*AN146</f>
        <v>0</v>
      </c>
      <c r="AO151" s="106" t="s">
        <v>63</v>
      </c>
    </row>
    <row r="152" spans="1:42" x14ac:dyDescent="0.25">
      <c r="A152" s="4" t="s">
        <v>64</v>
      </c>
      <c r="B152" s="4">
        <v>178500</v>
      </c>
      <c r="C152" s="4">
        <v>178500</v>
      </c>
      <c r="D152" s="4" t="s">
        <v>65</v>
      </c>
      <c r="E152" s="4">
        <v>12</v>
      </c>
      <c r="F152" s="4">
        <v>0.9</v>
      </c>
      <c r="G152" s="4">
        <v>0.4</v>
      </c>
      <c r="H152" s="144" t="s">
        <v>16</v>
      </c>
      <c r="I152" s="118" t="s">
        <v>130</v>
      </c>
      <c r="K152" s="4" t="s">
        <v>67</v>
      </c>
      <c r="L152" s="4">
        <v>0.1</v>
      </c>
      <c r="M152" s="4">
        <v>0.1</v>
      </c>
      <c r="N152" s="4" t="s">
        <v>68</v>
      </c>
      <c r="O152" s="4">
        <v>12</v>
      </c>
      <c r="P152" s="4">
        <v>0.9</v>
      </c>
      <c r="Q152" s="4">
        <v>0.4</v>
      </c>
      <c r="R152" s="144" t="s">
        <v>69</v>
      </c>
      <c r="S152" s="117" t="s">
        <v>253</v>
      </c>
    </row>
    <row r="153" spans="1:42" x14ac:dyDescent="0.25">
      <c r="A153" s="4" t="s">
        <v>70</v>
      </c>
      <c r="B153" s="4">
        <v>30</v>
      </c>
      <c r="C153" s="4">
        <v>30</v>
      </c>
      <c r="D153" s="4" t="s">
        <v>42</v>
      </c>
      <c r="E153" s="4">
        <v>12</v>
      </c>
      <c r="F153" s="4">
        <v>0.9</v>
      </c>
      <c r="G153" s="4">
        <v>0.4</v>
      </c>
      <c r="H153" s="144" t="s">
        <v>131</v>
      </c>
      <c r="I153" s="117" t="s">
        <v>132</v>
      </c>
      <c r="K153" s="4" t="s">
        <v>73</v>
      </c>
      <c r="L153" s="150">
        <v>0</v>
      </c>
      <c r="M153" s="150">
        <v>0</v>
      </c>
      <c r="N153" s="4" t="s">
        <v>57</v>
      </c>
      <c r="O153" s="4">
        <v>12</v>
      </c>
      <c r="P153" s="4">
        <v>0.9</v>
      </c>
      <c r="Q153" s="4">
        <v>0.4</v>
      </c>
      <c r="R153" s="144" t="s">
        <v>9</v>
      </c>
      <c r="S153" s="117" t="s">
        <v>74</v>
      </c>
      <c r="W153" s="4" t="s">
        <v>26</v>
      </c>
      <c r="X153" s="4" t="s">
        <v>80</v>
      </c>
    </row>
    <row r="154" spans="1:42" x14ac:dyDescent="0.25">
      <c r="A154" s="4" t="s">
        <v>277</v>
      </c>
      <c r="B154" s="114">
        <v>3.9215686274509802</v>
      </c>
      <c r="C154" s="114">
        <v>3.9215686274509802</v>
      </c>
      <c r="D154" s="4" t="s">
        <v>76</v>
      </c>
      <c r="E154" s="4">
        <v>12</v>
      </c>
      <c r="F154" s="4">
        <v>0.9</v>
      </c>
      <c r="G154" s="4">
        <v>0.4</v>
      </c>
      <c r="H154" s="144" t="s">
        <v>16</v>
      </c>
      <c r="I154" s="118" t="s">
        <v>133</v>
      </c>
      <c r="K154" s="4" t="s">
        <v>79</v>
      </c>
      <c r="L154" s="150">
        <v>0.06</v>
      </c>
      <c r="M154" s="150">
        <v>0.06</v>
      </c>
      <c r="N154" s="4" t="s">
        <v>57</v>
      </c>
      <c r="O154" s="4">
        <v>12</v>
      </c>
      <c r="P154" s="4">
        <v>0.9</v>
      </c>
      <c r="Q154" s="4">
        <v>0.4</v>
      </c>
      <c r="R154" s="144" t="s">
        <v>97</v>
      </c>
      <c r="S154" s="122" t="s">
        <v>74</v>
      </c>
      <c r="W154" s="4" t="s">
        <v>9</v>
      </c>
      <c r="X154" s="4" t="s">
        <v>99</v>
      </c>
    </row>
    <row r="155" spans="1:42" x14ac:dyDescent="0.25">
      <c r="I155" s="117"/>
      <c r="K155" s="4" t="s">
        <v>81</v>
      </c>
      <c r="L155" s="4">
        <f>X151</f>
        <v>0</v>
      </c>
      <c r="M155" s="4">
        <f>Y151</f>
        <v>0</v>
      </c>
      <c r="N155" s="4" t="s">
        <v>76</v>
      </c>
      <c r="O155" s="4">
        <v>17</v>
      </c>
      <c r="P155" s="4">
        <v>0.9</v>
      </c>
      <c r="Q155" s="4">
        <v>0.4</v>
      </c>
      <c r="R155" s="144" t="s">
        <v>317</v>
      </c>
      <c r="S155" s="118" t="s">
        <v>83</v>
      </c>
      <c r="W155" s="4" t="s">
        <v>16</v>
      </c>
      <c r="X155" s="4" t="s">
        <v>85</v>
      </c>
    </row>
    <row r="156" spans="1:42" x14ac:dyDescent="0.25">
      <c r="I156" s="117"/>
      <c r="S156" s="117"/>
      <c r="W156" s="4" t="s">
        <v>43</v>
      </c>
      <c r="X156" s="4" t="s">
        <v>134</v>
      </c>
      <c r="AF156" s="111"/>
      <c r="AG156" s="113"/>
    </row>
    <row r="157" spans="1:42" x14ac:dyDescent="0.25">
      <c r="E157" s="4" t="s">
        <v>2</v>
      </c>
      <c r="H157" s="4" t="s">
        <v>3</v>
      </c>
      <c r="I157" s="117"/>
      <c r="O157" s="4" t="s">
        <v>2</v>
      </c>
      <c r="R157" s="4" t="s">
        <v>3</v>
      </c>
      <c r="S157" s="117"/>
      <c r="W157" s="4" t="s">
        <v>77</v>
      </c>
      <c r="X157" s="4" t="s">
        <v>135</v>
      </c>
    </row>
    <row r="158" spans="1:42" x14ac:dyDescent="0.25">
      <c r="A158" s="25" t="s">
        <v>273</v>
      </c>
      <c r="B158" s="4">
        <v>2023</v>
      </c>
      <c r="C158" s="4">
        <v>2050</v>
      </c>
      <c r="D158" s="4" t="s">
        <v>5</v>
      </c>
      <c r="E158" s="4" t="s">
        <v>8</v>
      </c>
      <c r="F158" s="4" t="s">
        <v>9</v>
      </c>
      <c r="G158" s="4" t="s">
        <v>10</v>
      </c>
      <c r="I158" s="117"/>
      <c r="K158" s="25" t="s">
        <v>136</v>
      </c>
      <c r="L158" s="4">
        <v>2023</v>
      </c>
      <c r="M158" s="4">
        <v>2050</v>
      </c>
      <c r="N158" s="4" t="s">
        <v>5</v>
      </c>
      <c r="O158" s="4" t="s">
        <v>8</v>
      </c>
      <c r="P158" s="4" t="s">
        <v>9</v>
      </c>
      <c r="Q158" s="4" t="s">
        <v>10</v>
      </c>
      <c r="S158" s="117"/>
      <c r="W158" s="4" t="s">
        <v>71</v>
      </c>
      <c r="X158" s="4" t="s">
        <v>137</v>
      </c>
    </row>
    <row r="159" spans="1:42" x14ac:dyDescent="0.25">
      <c r="A159" s="4" t="s">
        <v>14</v>
      </c>
      <c r="B159" s="4">
        <f>200000*$E$142</f>
        <v>5600000</v>
      </c>
      <c r="C159" s="4">
        <f>200000*$E$142</f>
        <v>5600000</v>
      </c>
      <c r="D159" s="4" t="s">
        <v>15</v>
      </c>
      <c r="E159" s="4">
        <v>12</v>
      </c>
      <c r="F159" s="4">
        <v>0.9</v>
      </c>
      <c r="G159" s="4">
        <v>0.4</v>
      </c>
      <c r="H159" s="144" t="s">
        <v>118</v>
      </c>
      <c r="I159" s="118" t="s">
        <v>138</v>
      </c>
      <c r="K159" s="4" t="s">
        <v>18</v>
      </c>
      <c r="L159" s="4">
        <v>5000000</v>
      </c>
      <c r="M159" s="4">
        <v>5000000</v>
      </c>
      <c r="N159" s="4" t="s">
        <v>15</v>
      </c>
      <c r="O159" s="4">
        <v>12</v>
      </c>
      <c r="P159" s="4">
        <v>0.9</v>
      </c>
      <c r="Q159" s="4">
        <v>0.4</v>
      </c>
      <c r="R159" s="144" t="s">
        <v>9</v>
      </c>
      <c r="S159" s="118" t="s">
        <v>139</v>
      </c>
      <c r="W159" s="4" t="s">
        <v>50</v>
      </c>
      <c r="X159" s="4" t="s">
        <v>24</v>
      </c>
    </row>
    <row r="160" spans="1:42" x14ac:dyDescent="0.25">
      <c r="A160" s="4" t="s">
        <v>25</v>
      </c>
      <c r="B160" s="4">
        <f>-B159*0.05</f>
        <v>-280000</v>
      </c>
      <c r="C160" s="4">
        <f>-C159*0.05</f>
        <v>-280000</v>
      </c>
      <c r="D160" s="4" t="s">
        <v>15</v>
      </c>
      <c r="E160" s="4">
        <v>12</v>
      </c>
      <c r="F160" s="4">
        <v>0.9</v>
      </c>
      <c r="G160" s="4">
        <v>0.4</v>
      </c>
      <c r="H160" s="144" t="s">
        <v>26</v>
      </c>
      <c r="I160" s="117" t="s">
        <v>121</v>
      </c>
      <c r="K160" s="4" t="s">
        <v>28</v>
      </c>
      <c r="L160" s="4">
        <f>-L159*0.15</f>
        <v>-750000</v>
      </c>
      <c r="M160" s="4">
        <f>-M159*0.15</f>
        <v>-750000</v>
      </c>
      <c r="N160" s="4" t="s">
        <v>15</v>
      </c>
      <c r="O160" s="4">
        <v>12</v>
      </c>
      <c r="P160" s="4">
        <v>0.9</v>
      </c>
      <c r="Q160" s="4">
        <v>0.4</v>
      </c>
      <c r="R160" s="144" t="s">
        <v>26</v>
      </c>
      <c r="S160" s="117" t="s">
        <v>140</v>
      </c>
      <c r="W160" s="4" t="s">
        <v>82</v>
      </c>
      <c r="X160" s="4" t="s">
        <v>36</v>
      </c>
    </row>
    <row r="161" spans="1:24" x14ac:dyDescent="0.25">
      <c r="A161" s="4" t="s">
        <v>37</v>
      </c>
      <c r="B161" s="4">
        <f>250000+370000</f>
        <v>620000</v>
      </c>
      <c r="C161" s="4">
        <f>250000+370000</f>
        <v>620000</v>
      </c>
      <c r="D161" s="4" t="s">
        <v>38</v>
      </c>
      <c r="E161" s="4">
        <v>12</v>
      </c>
      <c r="F161" s="4">
        <v>0.9</v>
      </c>
      <c r="G161" s="4">
        <v>0.4</v>
      </c>
      <c r="H161" s="144" t="s">
        <v>16</v>
      </c>
      <c r="I161" s="117" t="s">
        <v>141</v>
      </c>
      <c r="K161" s="4" t="s">
        <v>41</v>
      </c>
      <c r="L161" s="4">
        <v>20</v>
      </c>
      <c r="M161" s="4">
        <v>20</v>
      </c>
      <c r="N161" s="4" t="s">
        <v>42</v>
      </c>
      <c r="O161" s="4">
        <v>12</v>
      </c>
      <c r="P161" s="4">
        <v>0.9</v>
      </c>
      <c r="Q161" s="4">
        <v>0.4</v>
      </c>
      <c r="R161" s="144" t="s">
        <v>9</v>
      </c>
      <c r="S161" s="117" t="s">
        <v>124</v>
      </c>
      <c r="W161" s="4" t="s">
        <v>95</v>
      </c>
      <c r="X161" s="4" t="s">
        <v>101</v>
      </c>
    </row>
    <row r="162" spans="1:24" x14ac:dyDescent="0.25">
      <c r="A162" s="4" t="s">
        <v>48</v>
      </c>
      <c r="B162" s="4">
        <f>$E$142*$E$143</f>
        <v>2240</v>
      </c>
      <c r="C162" s="4">
        <f>$E$142*$E$143</f>
        <v>2240</v>
      </c>
      <c r="D162" s="4" t="s">
        <v>49</v>
      </c>
      <c r="E162" s="4">
        <v>12</v>
      </c>
      <c r="F162" s="4">
        <v>0.9</v>
      </c>
      <c r="G162" s="4">
        <v>0.4</v>
      </c>
      <c r="H162" s="144" t="s">
        <v>125</v>
      </c>
      <c r="I162" s="118" t="s">
        <v>126</v>
      </c>
      <c r="K162" s="4" t="s">
        <v>52</v>
      </c>
      <c r="L162" s="4">
        <f>L159*0.13</f>
        <v>650000</v>
      </c>
      <c r="M162" s="4">
        <f>M159*0.13</f>
        <v>650000</v>
      </c>
      <c r="N162" s="4" t="s">
        <v>38</v>
      </c>
      <c r="O162" s="4">
        <v>12</v>
      </c>
      <c r="P162" s="4">
        <v>0.9</v>
      </c>
      <c r="Q162" s="4">
        <v>0.4</v>
      </c>
      <c r="R162" s="144" t="s">
        <v>9</v>
      </c>
      <c r="S162" s="118" t="s">
        <v>142</v>
      </c>
      <c r="W162" s="4" t="s">
        <v>97</v>
      </c>
      <c r="X162" s="4" t="s">
        <v>88</v>
      </c>
    </row>
    <row r="163" spans="1:24" x14ac:dyDescent="0.25">
      <c r="A163" s="4" t="s">
        <v>56</v>
      </c>
      <c r="B163" s="150">
        <f>32%/C140</f>
        <v>0.42666666666666669</v>
      </c>
      <c r="C163" s="150">
        <f>32%/C140</f>
        <v>0.42666666666666669</v>
      </c>
      <c r="D163" s="4" t="s">
        <v>57</v>
      </c>
      <c r="E163" s="4">
        <v>12</v>
      </c>
      <c r="F163" s="4">
        <v>0.9</v>
      </c>
      <c r="G163" s="4">
        <v>0.4</v>
      </c>
      <c r="H163" s="144" t="s">
        <v>16</v>
      </c>
      <c r="I163" s="117" t="s">
        <v>143</v>
      </c>
      <c r="K163" s="4" t="s">
        <v>59</v>
      </c>
      <c r="L163" s="114">
        <f>L151*0.35/0.85</f>
        <v>31.614305882352937</v>
      </c>
      <c r="M163" s="114">
        <f>M151*0.35/0.85</f>
        <v>31.614305882352937</v>
      </c>
      <c r="N163" s="4" t="s">
        <v>60</v>
      </c>
      <c r="O163" s="4">
        <v>12</v>
      </c>
      <c r="P163" s="4">
        <v>0.9</v>
      </c>
      <c r="Q163" s="4">
        <v>0.4</v>
      </c>
      <c r="R163" s="144" t="s">
        <v>9</v>
      </c>
      <c r="S163" s="118" t="s">
        <v>144</v>
      </c>
      <c r="W163" s="4" t="s">
        <v>69</v>
      </c>
      <c r="X163" s="4" t="s">
        <v>252</v>
      </c>
    </row>
    <row r="164" spans="1:24" x14ac:dyDescent="0.25">
      <c r="A164" s="4" t="s">
        <v>64</v>
      </c>
      <c r="B164" s="4">
        <v>178500</v>
      </c>
      <c r="C164" s="4">
        <v>178500</v>
      </c>
      <c r="D164" s="4" t="s">
        <v>65</v>
      </c>
      <c r="E164" s="4">
        <v>12</v>
      </c>
      <c r="F164" s="4">
        <v>0.9</v>
      </c>
      <c r="G164" s="4">
        <v>0.4</v>
      </c>
      <c r="H164" s="144" t="s">
        <v>16</v>
      </c>
      <c r="I164" s="117" t="s">
        <v>143</v>
      </c>
      <c r="K164" s="4" t="s">
        <v>67</v>
      </c>
      <c r="L164" s="65">
        <f t="shared" ref="L164:Q164" si="2">B8</f>
        <v>0.13371034051801745</v>
      </c>
      <c r="M164" s="65">
        <f t="shared" si="2"/>
        <v>8.7585019329602734E-2</v>
      </c>
      <c r="N164" s="65" t="str">
        <f t="shared" si="2"/>
        <v>[€/kWh]</v>
      </c>
      <c r="O164" s="65">
        <f t="shared" si="2"/>
        <v>12</v>
      </c>
      <c r="P164" s="65">
        <f t="shared" si="2"/>
        <v>0.9</v>
      </c>
      <c r="Q164" s="65">
        <f t="shared" si="2"/>
        <v>0.4</v>
      </c>
      <c r="R164" s="144" t="s">
        <v>97</v>
      </c>
      <c r="S164" s="118" t="s">
        <v>291</v>
      </c>
      <c r="W164" s="4" t="s">
        <v>10</v>
      </c>
      <c r="X164" s="4" t="s">
        <v>36</v>
      </c>
    </row>
    <row r="165" spans="1:24" x14ac:dyDescent="0.25">
      <c r="A165" s="4" t="s">
        <v>70</v>
      </c>
      <c r="B165" s="4">
        <v>30</v>
      </c>
      <c r="C165" s="4">
        <v>30</v>
      </c>
      <c r="D165" s="4" t="s">
        <v>42</v>
      </c>
      <c r="E165" s="4">
        <v>12</v>
      </c>
      <c r="F165" s="4">
        <v>0.9</v>
      </c>
      <c r="G165" s="4">
        <v>0.4</v>
      </c>
      <c r="H165" s="144" t="s">
        <v>131</v>
      </c>
      <c r="I165" s="117" t="s">
        <v>132</v>
      </c>
      <c r="K165" s="4" t="s">
        <v>73</v>
      </c>
      <c r="L165" s="150">
        <v>0</v>
      </c>
      <c r="M165" s="150">
        <v>0</v>
      </c>
      <c r="N165" s="4" t="s">
        <v>57</v>
      </c>
      <c r="O165" s="4">
        <v>12</v>
      </c>
      <c r="P165" s="4">
        <v>0.9</v>
      </c>
      <c r="Q165" s="4">
        <v>0.4</v>
      </c>
      <c r="R165" s="144" t="s">
        <v>9</v>
      </c>
      <c r="S165" s="117" t="s">
        <v>74</v>
      </c>
      <c r="W165" s="4" t="s">
        <v>251</v>
      </c>
      <c r="X165" s="4" t="s">
        <v>314</v>
      </c>
    </row>
    <row r="166" spans="1:24" x14ac:dyDescent="0.25">
      <c r="A166" s="4" t="s">
        <v>277</v>
      </c>
      <c r="B166" s="114">
        <v>3.6414565826330532</v>
      </c>
      <c r="C166" s="114">
        <v>3.6414565826330532</v>
      </c>
      <c r="D166" s="4" t="s">
        <v>76</v>
      </c>
      <c r="E166" s="4">
        <v>12</v>
      </c>
      <c r="F166" s="4">
        <v>0.9</v>
      </c>
      <c r="G166" s="4">
        <v>0.4</v>
      </c>
      <c r="H166" s="144" t="s">
        <v>16</v>
      </c>
      <c r="I166" s="118" t="s">
        <v>146</v>
      </c>
      <c r="K166" s="4" t="s">
        <v>79</v>
      </c>
      <c r="L166" s="150">
        <v>0.06</v>
      </c>
      <c r="M166" s="150">
        <v>0.06</v>
      </c>
      <c r="N166" s="4" t="s">
        <v>57</v>
      </c>
      <c r="O166" s="4">
        <v>12</v>
      </c>
      <c r="P166" s="4">
        <v>0.9</v>
      </c>
      <c r="Q166" s="4">
        <v>0.4</v>
      </c>
      <c r="R166" s="144" t="s">
        <v>97</v>
      </c>
      <c r="S166" s="122" t="s">
        <v>147</v>
      </c>
    </row>
    <row r="167" spans="1:24" x14ac:dyDescent="0.25">
      <c r="I167" s="117"/>
      <c r="K167" s="4" t="s">
        <v>81</v>
      </c>
      <c r="L167" s="4">
        <f>AH151</f>
        <v>0</v>
      </c>
      <c r="M167" s="4">
        <f>AI151</f>
        <v>0</v>
      </c>
      <c r="N167" s="4" t="s">
        <v>76</v>
      </c>
      <c r="O167" s="4">
        <f>$E$4</f>
        <v>17</v>
      </c>
      <c r="P167" s="4">
        <f>$F$4</f>
        <v>0.9</v>
      </c>
      <c r="Q167" s="4">
        <f>$G$4</f>
        <v>0.4</v>
      </c>
      <c r="R167" s="144" t="s">
        <v>316</v>
      </c>
      <c r="S167" s="118" t="s">
        <v>102</v>
      </c>
    </row>
    <row r="168" spans="1:24" x14ac:dyDescent="0.25">
      <c r="I168" s="117"/>
      <c r="S168" s="117"/>
    </row>
    <row r="169" spans="1:24" x14ac:dyDescent="0.25">
      <c r="E169" s="4" t="s">
        <v>2</v>
      </c>
      <c r="H169" s="4" t="s">
        <v>3</v>
      </c>
      <c r="I169" s="117"/>
      <c r="O169" s="4" t="s">
        <v>2</v>
      </c>
      <c r="R169" s="4" t="s">
        <v>3</v>
      </c>
      <c r="S169" s="117"/>
    </row>
    <row r="170" spans="1:24" x14ac:dyDescent="0.25">
      <c r="A170" s="25" t="s">
        <v>274</v>
      </c>
      <c r="B170" s="4">
        <v>2023</v>
      </c>
      <c r="C170" s="4">
        <v>2050</v>
      </c>
      <c r="D170" s="4" t="s">
        <v>5</v>
      </c>
      <c r="E170" s="4" t="s">
        <v>8</v>
      </c>
      <c r="F170" s="4" t="s">
        <v>9</v>
      </c>
      <c r="G170" s="4" t="s">
        <v>10</v>
      </c>
      <c r="I170" s="117"/>
      <c r="K170" s="25" t="s">
        <v>87</v>
      </c>
      <c r="L170" s="4">
        <v>2023</v>
      </c>
      <c r="M170" s="4">
        <v>2050</v>
      </c>
      <c r="N170" s="4" t="s">
        <v>5</v>
      </c>
      <c r="O170" s="4" t="s">
        <v>8</v>
      </c>
      <c r="P170" s="4" t="s">
        <v>9</v>
      </c>
      <c r="Q170" s="4" t="s">
        <v>10</v>
      </c>
      <c r="S170" s="117"/>
    </row>
    <row r="171" spans="1:24" x14ac:dyDescent="0.25">
      <c r="A171" s="4" t="s">
        <v>14</v>
      </c>
      <c r="B171" s="4">
        <f>100000*$E$142</f>
        <v>2800000</v>
      </c>
      <c r="C171" s="4">
        <f>100000*$E$142</f>
        <v>2800000</v>
      </c>
      <c r="D171" s="4" t="s">
        <v>15</v>
      </c>
      <c r="E171" s="4">
        <v>12</v>
      </c>
      <c r="F171" s="4">
        <v>0.9</v>
      </c>
      <c r="G171" s="4">
        <v>0.4</v>
      </c>
      <c r="H171" s="144" t="s">
        <v>118</v>
      </c>
      <c r="I171" s="118" t="s">
        <v>149</v>
      </c>
      <c r="K171" s="4" t="s">
        <v>18</v>
      </c>
      <c r="L171" s="4">
        <f>L159*2</f>
        <v>10000000</v>
      </c>
      <c r="M171" s="4">
        <f>M159*1.25</f>
        <v>6250000</v>
      </c>
      <c r="N171" s="4" t="s">
        <v>15</v>
      </c>
      <c r="O171" s="4">
        <v>12</v>
      </c>
      <c r="P171" s="4">
        <v>0.9</v>
      </c>
      <c r="Q171" s="4">
        <v>0.4</v>
      </c>
      <c r="R171" s="144" t="s">
        <v>292</v>
      </c>
      <c r="S171" s="117"/>
    </row>
    <row r="172" spans="1:24" x14ac:dyDescent="0.25">
      <c r="A172" s="4" t="s">
        <v>25</v>
      </c>
      <c r="B172" s="4">
        <f>-B171*0.05</f>
        <v>-140000</v>
      </c>
      <c r="C172" s="4">
        <f>-C171*0.05</f>
        <v>-140000</v>
      </c>
      <c r="D172" s="4" t="s">
        <v>15</v>
      </c>
      <c r="E172" s="4">
        <v>12</v>
      </c>
      <c r="F172" s="4">
        <v>0.9</v>
      </c>
      <c r="G172" s="4">
        <v>0.4</v>
      </c>
      <c r="H172" s="144" t="s">
        <v>26</v>
      </c>
      <c r="I172" s="117" t="s">
        <v>121</v>
      </c>
      <c r="K172" s="4" t="s">
        <v>28</v>
      </c>
      <c r="L172" s="4">
        <f>-L171*0.05</f>
        <v>-500000</v>
      </c>
      <c r="M172" s="4">
        <f>-M171*0.15</f>
        <v>-937500</v>
      </c>
      <c r="N172" s="4" t="s">
        <v>15</v>
      </c>
      <c r="O172" s="4">
        <v>12</v>
      </c>
      <c r="P172" s="4">
        <v>0.9</v>
      </c>
      <c r="Q172" s="4">
        <v>0.4</v>
      </c>
      <c r="R172" s="144" t="s">
        <v>26</v>
      </c>
      <c r="S172" s="117" t="s">
        <v>150</v>
      </c>
    </row>
    <row r="173" spans="1:24" x14ac:dyDescent="0.25">
      <c r="A173" s="4" t="s">
        <v>37</v>
      </c>
      <c r="B173" s="4">
        <f>250000+360000</f>
        <v>610000</v>
      </c>
      <c r="C173" s="4">
        <f>250000+360000</f>
        <v>610000</v>
      </c>
      <c r="D173" s="4" t="s">
        <v>38</v>
      </c>
      <c r="E173" s="4">
        <v>12</v>
      </c>
      <c r="F173" s="4">
        <v>0.9</v>
      </c>
      <c r="G173" s="4">
        <v>0.4</v>
      </c>
      <c r="H173" s="144" t="s">
        <v>16</v>
      </c>
      <c r="I173" s="117" t="s">
        <v>153</v>
      </c>
      <c r="K173" s="4" t="s">
        <v>41</v>
      </c>
      <c r="L173" s="4">
        <v>20</v>
      </c>
      <c r="M173" s="4">
        <v>20</v>
      </c>
      <c r="N173" s="4" t="s">
        <v>42</v>
      </c>
      <c r="O173" s="4">
        <v>12</v>
      </c>
      <c r="P173" s="4">
        <v>0.9</v>
      </c>
      <c r="Q173" s="4">
        <v>0.4</v>
      </c>
      <c r="R173" s="144" t="s">
        <v>9</v>
      </c>
      <c r="S173" s="117" t="s">
        <v>124</v>
      </c>
    </row>
    <row r="174" spans="1:24" x14ac:dyDescent="0.25">
      <c r="A174" s="4" t="s">
        <v>48</v>
      </c>
      <c r="B174" s="4">
        <f>$E$142*$E$143</f>
        <v>2240</v>
      </c>
      <c r="C174" s="4">
        <f>$E$142*$E$143</f>
        <v>2240</v>
      </c>
      <c r="D174" s="4" t="s">
        <v>49</v>
      </c>
      <c r="E174" s="4">
        <v>12</v>
      </c>
      <c r="F174" s="4">
        <v>0.9</v>
      </c>
      <c r="G174" s="4">
        <v>0.4</v>
      </c>
      <c r="H174" s="144" t="s">
        <v>125</v>
      </c>
      <c r="I174" s="118" t="s">
        <v>126</v>
      </c>
      <c r="K174" s="4" t="s">
        <v>52</v>
      </c>
      <c r="L174" s="113">
        <f>L171*0.13</f>
        <v>1300000</v>
      </c>
      <c r="M174" s="4">
        <f>M171*0.13</f>
        <v>812500</v>
      </c>
      <c r="N174" s="4" t="s">
        <v>38</v>
      </c>
      <c r="O174" s="4">
        <v>12</v>
      </c>
      <c r="P174" s="4">
        <v>0.9</v>
      </c>
      <c r="Q174" s="4">
        <v>0.4</v>
      </c>
      <c r="R174" s="144" t="s">
        <v>154</v>
      </c>
      <c r="S174" s="118" t="s">
        <v>155</v>
      </c>
    </row>
    <row r="175" spans="1:24" x14ac:dyDescent="0.25">
      <c r="A175" s="4" t="s">
        <v>56</v>
      </c>
      <c r="B175" s="150">
        <f>32%/C140</f>
        <v>0.42666666666666669</v>
      </c>
      <c r="C175" s="150">
        <f>32%/C140</f>
        <v>0.42666666666666669</v>
      </c>
      <c r="D175" s="4" t="s">
        <v>57</v>
      </c>
      <c r="E175" s="4">
        <v>12</v>
      </c>
      <c r="F175" s="4">
        <v>0.9</v>
      </c>
      <c r="G175" s="4">
        <v>0.4</v>
      </c>
      <c r="H175" s="144" t="s">
        <v>16</v>
      </c>
      <c r="I175" s="117" t="s">
        <v>156</v>
      </c>
      <c r="K175" s="4" t="s">
        <v>59</v>
      </c>
      <c r="L175" s="4">
        <f>L151*0.35/0.8</f>
        <v>33.590199999999996</v>
      </c>
      <c r="M175" s="4">
        <f>M151*0.35/0.8</f>
        <v>33.590199999999996</v>
      </c>
      <c r="N175" s="4" t="s">
        <v>60</v>
      </c>
      <c r="O175" s="4">
        <v>12</v>
      </c>
      <c r="P175" s="4">
        <v>0.9</v>
      </c>
      <c r="Q175" s="4">
        <v>0.4</v>
      </c>
      <c r="R175" s="144" t="s">
        <v>9</v>
      </c>
      <c r="S175" s="118" t="s">
        <v>157</v>
      </c>
    </row>
    <row r="176" spans="1:24" x14ac:dyDescent="0.25">
      <c r="A176" s="4" t="s">
        <v>64</v>
      </c>
      <c r="B176" s="4">
        <v>178500</v>
      </c>
      <c r="C176" s="4">
        <v>178500</v>
      </c>
      <c r="D176" s="4" t="s">
        <v>65</v>
      </c>
      <c r="E176" s="4">
        <v>12</v>
      </c>
      <c r="F176" s="4">
        <v>0.9</v>
      </c>
      <c r="G176" s="4">
        <v>0.4</v>
      </c>
      <c r="H176" s="144" t="s">
        <v>16</v>
      </c>
      <c r="I176" s="117" t="s">
        <v>156</v>
      </c>
      <c r="K176" s="4" t="s">
        <v>67</v>
      </c>
      <c r="L176" s="65">
        <f t="shared" ref="L176:Q176" si="3">B8</f>
        <v>0.13371034051801745</v>
      </c>
      <c r="M176" s="65">
        <f t="shared" si="3"/>
        <v>8.7585019329602734E-2</v>
      </c>
      <c r="N176" s="65" t="str">
        <f t="shared" si="3"/>
        <v>[€/kWh]</v>
      </c>
      <c r="O176" s="65">
        <f t="shared" si="3"/>
        <v>12</v>
      </c>
      <c r="P176" s="65">
        <f t="shared" si="3"/>
        <v>0.9</v>
      </c>
      <c r="Q176" s="65">
        <f t="shared" si="3"/>
        <v>0.4</v>
      </c>
      <c r="R176" s="144" t="s">
        <v>97</v>
      </c>
      <c r="S176" s="118" t="s">
        <v>291</v>
      </c>
    </row>
    <row r="177" spans="1:32" x14ac:dyDescent="0.25">
      <c r="A177" s="4" t="s">
        <v>70</v>
      </c>
      <c r="B177" s="4">
        <v>30</v>
      </c>
      <c r="C177" s="4">
        <v>30</v>
      </c>
      <c r="D177" s="4" t="s">
        <v>42</v>
      </c>
      <c r="E177" s="4">
        <v>12</v>
      </c>
      <c r="F177" s="4">
        <v>0.9</v>
      </c>
      <c r="G177" s="4">
        <v>0.4</v>
      </c>
      <c r="H177" s="144" t="s">
        <v>131</v>
      </c>
      <c r="I177" s="117" t="s">
        <v>132</v>
      </c>
      <c r="K177" s="4" t="s">
        <v>73</v>
      </c>
      <c r="L177" s="123">
        <f>1/E142</f>
        <v>3.5714285714285712E-2</v>
      </c>
      <c r="M177" s="123">
        <f>0.5/E142</f>
        <v>1.7857142857142856E-2</v>
      </c>
      <c r="N177" s="4" t="s">
        <v>57</v>
      </c>
      <c r="O177" s="4">
        <v>12</v>
      </c>
      <c r="P177" s="4">
        <v>0.9</v>
      </c>
      <c r="Q177" s="4">
        <v>0.4</v>
      </c>
      <c r="R177" s="144" t="s">
        <v>154</v>
      </c>
      <c r="S177" s="117" t="s">
        <v>158</v>
      </c>
    </row>
    <row r="178" spans="1:32" x14ac:dyDescent="0.25">
      <c r="A178" s="4" t="s">
        <v>277</v>
      </c>
      <c r="B178" s="114">
        <v>3.6414565826330532</v>
      </c>
      <c r="C178" s="114">
        <v>3.6414565826330532</v>
      </c>
      <c r="D178" s="4" t="s">
        <v>76</v>
      </c>
      <c r="E178" s="4">
        <v>12</v>
      </c>
      <c r="F178" s="4">
        <v>0.9</v>
      </c>
      <c r="G178" s="4">
        <v>0.4</v>
      </c>
      <c r="H178" s="144" t="s">
        <v>16</v>
      </c>
      <c r="I178" s="118" t="s">
        <v>146</v>
      </c>
      <c r="K178" s="4" t="s">
        <v>79</v>
      </c>
      <c r="L178" s="150">
        <v>0.06</v>
      </c>
      <c r="M178" s="150">
        <v>0.06</v>
      </c>
      <c r="N178" s="4" t="s">
        <v>57</v>
      </c>
      <c r="O178" s="4">
        <v>12</v>
      </c>
      <c r="P178" s="4">
        <v>0.9</v>
      </c>
      <c r="Q178" s="4">
        <v>0.4</v>
      </c>
      <c r="R178" s="144" t="s">
        <v>97</v>
      </c>
      <c r="S178" s="122" t="s">
        <v>74</v>
      </c>
    </row>
    <row r="179" spans="1:32" x14ac:dyDescent="0.25">
      <c r="I179" s="117"/>
      <c r="K179" s="4" t="s">
        <v>81</v>
      </c>
      <c r="L179" s="4">
        <f>AM151</f>
        <v>0</v>
      </c>
      <c r="M179" s="4">
        <f>AN151</f>
        <v>0</v>
      </c>
      <c r="N179" s="4" t="s">
        <v>76</v>
      </c>
      <c r="O179" s="4">
        <f>$E$4</f>
        <v>17</v>
      </c>
      <c r="P179" s="4">
        <f>$F$4</f>
        <v>0.9</v>
      </c>
      <c r="Q179" s="4">
        <f>$G$4</f>
        <v>0.4</v>
      </c>
      <c r="R179" s="144" t="s">
        <v>315</v>
      </c>
      <c r="S179" s="118" t="s">
        <v>102</v>
      </c>
    </row>
    <row r="180" spans="1:32" x14ac:dyDescent="0.25">
      <c r="I180" s="117"/>
      <c r="S180" s="117"/>
    </row>
    <row r="181" spans="1:32" x14ac:dyDescent="0.25">
      <c r="E181" s="4" t="s">
        <v>2</v>
      </c>
      <c r="H181" s="4" t="s">
        <v>3</v>
      </c>
      <c r="I181" s="117"/>
      <c r="O181" s="4" t="s">
        <v>2</v>
      </c>
      <c r="R181" s="4" t="s">
        <v>3</v>
      </c>
      <c r="S181" s="117"/>
      <c r="AE181" s="4">
        <f>L151*0.35</f>
        <v>26.872159999999997</v>
      </c>
      <c r="AF181" s="4">
        <f>AE181/0.85</f>
        <v>31.614305882352937</v>
      </c>
    </row>
    <row r="182" spans="1:32" x14ac:dyDescent="0.25">
      <c r="A182" s="25" t="s">
        <v>275</v>
      </c>
      <c r="B182" s="4">
        <v>2023</v>
      </c>
      <c r="C182" s="4">
        <v>2050</v>
      </c>
      <c r="D182" s="4" t="s">
        <v>5</v>
      </c>
      <c r="E182" s="4" t="s">
        <v>8</v>
      </c>
      <c r="F182" s="4" t="s">
        <v>9</v>
      </c>
      <c r="G182" s="4" t="s">
        <v>10</v>
      </c>
      <c r="I182" s="117"/>
      <c r="K182" s="25" t="s">
        <v>103</v>
      </c>
      <c r="L182" s="4">
        <v>2023</v>
      </c>
      <c r="M182" s="4">
        <v>2050</v>
      </c>
      <c r="N182" s="4" t="s">
        <v>5</v>
      </c>
      <c r="O182" s="4" t="s">
        <v>8</v>
      </c>
      <c r="P182" s="4" t="s">
        <v>9</v>
      </c>
      <c r="Q182" s="4" t="s">
        <v>10</v>
      </c>
      <c r="S182" s="117"/>
    </row>
    <row r="183" spans="1:32" x14ac:dyDescent="0.25">
      <c r="A183" s="4" t="s">
        <v>14</v>
      </c>
      <c r="B183" s="4">
        <f>150000*$E$142</f>
        <v>4200000</v>
      </c>
      <c r="C183" s="4">
        <f>150000*$E$142</f>
        <v>4200000</v>
      </c>
      <c r="D183" s="4" t="s">
        <v>15</v>
      </c>
      <c r="E183" s="4">
        <v>12</v>
      </c>
      <c r="F183" s="4">
        <v>0.9</v>
      </c>
      <c r="G183" s="4">
        <v>0.4</v>
      </c>
      <c r="H183" s="144" t="s">
        <v>118</v>
      </c>
      <c r="I183" s="118" t="s">
        <v>119</v>
      </c>
      <c r="K183" s="4" t="s">
        <v>18</v>
      </c>
      <c r="L183" s="4">
        <f>L159*2</f>
        <v>10000000</v>
      </c>
      <c r="M183" s="4">
        <f>M159*0.8</f>
        <v>4000000</v>
      </c>
      <c r="N183" s="4" t="s">
        <v>15</v>
      </c>
      <c r="O183" s="4">
        <v>12</v>
      </c>
      <c r="P183" s="4">
        <v>0.9</v>
      </c>
      <c r="Q183" s="4">
        <v>0.4</v>
      </c>
      <c r="R183" s="144" t="s">
        <v>292</v>
      </c>
      <c r="S183" s="117"/>
    </row>
    <row r="184" spans="1:32" x14ac:dyDescent="0.25">
      <c r="A184" s="4" t="s">
        <v>25</v>
      </c>
      <c r="B184" s="4">
        <f>-B183*0.05</f>
        <v>-210000</v>
      </c>
      <c r="C184" s="4">
        <f>-C183*0.05</f>
        <v>-210000</v>
      </c>
      <c r="D184" s="4" t="s">
        <v>15</v>
      </c>
      <c r="E184" s="4">
        <v>12</v>
      </c>
      <c r="F184" s="4">
        <v>0.9</v>
      </c>
      <c r="G184" s="4">
        <v>0.4</v>
      </c>
      <c r="H184" s="144" t="s">
        <v>26</v>
      </c>
      <c r="I184" s="117" t="s">
        <v>121</v>
      </c>
      <c r="K184" s="4" t="s">
        <v>28</v>
      </c>
      <c r="L184" s="4">
        <f>-L183*0.05</f>
        <v>-500000</v>
      </c>
      <c r="M184" s="4">
        <f>-M183*0.15</f>
        <v>-600000</v>
      </c>
      <c r="N184" s="4" t="s">
        <v>15</v>
      </c>
      <c r="O184" s="4">
        <v>12</v>
      </c>
      <c r="P184" s="4">
        <v>0.9</v>
      </c>
      <c r="Q184" s="4">
        <v>0.4</v>
      </c>
      <c r="R184" s="144" t="s">
        <v>26</v>
      </c>
      <c r="S184" s="117" t="s">
        <v>150</v>
      </c>
    </row>
    <row r="185" spans="1:32" x14ac:dyDescent="0.25">
      <c r="A185" s="4" t="s">
        <v>37</v>
      </c>
      <c r="B185" s="4">
        <f>600000+850000</f>
        <v>1450000</v>
      </c>
      <c r="C185" s="4">
        <f>600000+850000</f>
        <v>1450000</v>
      </c>
      <c r="D185" s="4" t="s">
        <v>38</v>
      </c>
      <c r="E185" s="4">
        <v>12</v>
      </c>
      <c r="F185" s="4">
        <v>0.9</v>
      </c>
      <c r="G185" s="4">
        <v>0.4</v>
      </c>
      <c r="H185" s="144" t="s">
        <v>16</v>
      </c>
      <c r="I185" s="117" t="s">
        <v>159</v>
      </c>
      <c r="K185" s="4" t="s">
        <v>41</v>
      </c>
      <c r="L185" s="4">
        <v>20</v>
      </c>
      <c r="M185" s="4">
        <v>20</v>
      </c>
      <c r="N185" s="4" t="s">
        <v>42</v>
      </c>
      <c r="O185" s="4">
        <v>12</v>
      </c>
      <c r="P185" s="4">
        <v>0.9</v>
      </c>
      <c r="Q185" s="4">
        <v>0.4</v>
      </c>
      <c r="R185" s="144" t="s">
        <v>9</v>
      </c>
      <c r="S185" s="117" t="s">
        <v>124</v>
      </c>
    </row>
    <row r="186" spans="1:32" x14ac:dyDescent="0.25">
      <c r="A186" s="4" t="s">
        <v>48</v>
      </c>
      <c r="B186" s="4">
        <f>$E$142*$E$143</f>
        <v>2240</v>
      </c>
      <c r="C186" s="4">
        <f>$E$142*$E$143</f>
        <v>2240</v>
      </c>
      <c r="D186" s="4" t="s">
        <v>49</v>
      </c>
      <c r="E186" s="4">
        <v>12</v>
      </c>
      <c r="F186" s="4">
        <v>0.9</v>
      </c>
      <c r="G186" s="4">
        <v>0.4</v>
      </c>
      <c r="H186" s="144" t="s">
        <v>125</v>
      </c>
      <c r="I186" s="118" t="s">
        <v>126</v>
      </c>
      <c r="K186" s="4" t="s">
        <v>52</v>
      </c>
      <c r="L186" s="4">
        <f>L183*0.14</f>
        <v>1400000.0000000002</v>
      </c>
      <c r="M186" s="4">
        <f>M183*0.14</f>
        <v>560000</v>
      </c>
      <c r="N186" s="4" t="s">
        <v>38</v>
      </c>
      <c r="O186" s="4">
        <v>12</v>
      </c>
      <c r="P186" s="4">
        <v>0.9</v>
      </c>
      <c r="Q186" s="4">
        <v>0.4</v>
      </c>
      <c r="R186" s="144" t="s">
        <v>154</v>
      </c>
      <c r="S186" s="118" t="s">
        <v>155</v>
      </c>
    </row>
    <row r="187" spans="1:32" x14ac:dyDescent="0.25">
      <c r="A187" s="4" t="s">
        <v>56</v>
      </c>
      <c r="B187" s="150">
        <f>54%/C140</f>
        <v>0.72000000000000008</v>
      </c>
      <c r="C187" s="150">
        <f>54%/C140</f>
        <v>0.72000000000000008</v>
      </c>
      <c r="D187" s="4" t="s">
        <v>57</v>
      </c>
      <c r="E187" s="4">
        <v>12</v>
      </c>
      <c r="F187" s="4">
        <v>0.9</v>
      </c>
      <c r="G187" s="4">
        <v>0.4</v>
      </c>
      <c r="H187" s="144" t="s">
        <v>16</v>
      </c>
      <c r="I187" s="117" t="s">
        <v>160</v>
      </c>
      <c r="K187" s="4" t="s">
        <v>59</v>
      </c>
      <c r="L187" s="4">
        <f>L151*0.35/0.55</f>
        <v>48.858472727272719</v>
      </c>
      <c r="M187" s="4">
        <f>M151*0.35/0.65</f>
        <v>41.341784615384611</v>
      </c>
      <c r="N187" s="4" t="s">
        <v>60</v>
      </c>
      <c r="O187" s="4">
        <v>12</v>
      </c>
      <c r="P187" s="4">
        <v>0.9</v>
      </c>
      <c r="Q187" s="4">
        <v>0.4</v>
      </c>
      <c r="R187" s="144" t="s">
        <v>9</v>
      </c>
      <c r="S187" s="118" t="s">
        <v>161</v>
      </c>
    </row>
    <row r="188" spans="1:32" x14ac:dyDescent="0.25">
      <c r="A188" s="4" t="s">
        <v>64</v>
      </c>
      <c r="B188" s="4">
        <v>178500</v>
      </c>
      <c r="C188" s="4">
        <v>178500</v>
      </c>
      <c r="D188" s="4" t="s">
        <v>65</v>
      </c>
      <c r="E188" s="4">
        <v>12</v>
      </c>
      <c r="F188" s="4">
        <v>0.9</v>
      </c>
      <c r="G188" s="4">
        <v>0.4</v>
      </c>
      <c r="H188" s="144" t="s">
        <v>16</v>
      </c>
      <c r="I188" s="117" t="s">
        <v>160</v>
      </c>
      <c r="K188" s="4" t="s">
        <v>67</v>
      </c>
      <c r="L188" s="65">
        <f t="shared" ref="L188:Q188" si="4">B9</f>
        <v>0.2544561408768215</v>
      </c>
      <c r="M188" s="65">
        <f t="shared" si="4"/>
        <v>0.10949010032952979</v>
      </c>
      <c r="N188" s="65" t="str">
        <f t="shared" si="4"/>
        <v>[€/kWh]</v>
      </c>
      <c r="O188" s="65">
        <f t="shared" si="4"/>
        <v>12</v>
      </c>
      <c r="P188" s="65">
        <f t="shared" si="4"/>
        <v>0.9</v>
      </c>
      <c r="Q188" s="65">
        <f t="shared" si="4"/>
        <v>0.4</v>
      </c>
      <c r="R188" s="144" t="s">
        <v>97</v>
      </c>
      <c r="S188" s="118" t="s">
        <v>290</v>
      </c>
    </row>
    <row r="189" spans="1:32" x14ac:dyDescent="0.25">
      <c r="A189" s="4" t="s">
        <v>70</v>
      </c>
      <c r="B189" s="4">
        <v>30</v>
      </c>
      <c r="C189" s="4">
        <v>30</v>
      </c>
      <c r="D189" s="4" t="s">
        <v>42</v>
      </c>
      <c r="E189" s="4">
        <v>12</v>
      </c>
      <c r="F189" s="4">
        <v>0.9</v>
      </c>
      <c r="G189" s="4">
        <v>0.4</v>
      </c>
      <c r="H189" s="144" t="s">
        <v>131</v>
      </c>
      <c r="I189" s="117" t="s">
        <v>132</v>
      </c>
      <c r="K189" s="4" t="s">
        <v>73</v>
      </c>
      <c r="L189" s="123">
        <f>0.5/E142</f>
        <v>1.7857142857142856E-2</v>
      </c>
      <c r="M189" s="123">
        <f>0.5/E142</f>
        <v>1.7857142857142856E-2</v>
      </c>
      <c r="N189" s="4" t="s">
        <v>57</v>
      </c>
      <c r="O189" s="4">
        <v>12</v>
      </c>
      <c r="P189" s="4">
        <v>0.9</v>
      </c>
      <c r="Q189" s="4">
        <v>0.4</v>
      </c>
      <c r="R189" s="144" t="s">
        <v>154</v>
      </c>
      <c r="S189" s="117" t="s">
        <v>162</v>
      </c>
    </row>
    <row r="190" spans="1:32" x14ac:dyDescent="0.25">
      <c r="A190" s="4" t="s">
        <v>277</v>
      </c>
      <c r="B190" s="4">
        <v>8.9635854341736696</v>
      </c>
      <c r="C190" s="4">
        <v>8.9635854341736696</v>
      </c>
      <c r="D190" s="4" t="s">
        <v>76</v>
      </c>
      <c r="E190" s="4">
        <v>12</v>
      </c>
      <c r="F190" s="4">
        <v>0.9</v>
      </c>
      <c r="G190" s="4">
        <v>0.4</v>
      </c>
      <c r="H190" s="144" t="s">
        <v>16</v>
      </c>
      <c r="I190" s="118" t="s">
        <v>163</v>
      </c>
      <c r="K190" s="4" t="s">
        <v>79</v>
      </c>
      <c r="L190" s="150">
        <v>0.06</v>
      </c>
      <c r="M190" s="150">
        <v>0.06</v>
      </c>
      <c r="N190" s="4" t="s">
        <v>57</v>
      </c>
      <c r="O190" s="4">
        <v>12</v>
      </c>
      <c r="P190" s="4">
        <v>0.9</v>
      </c>
      <c r="Q190" s="4">
        <v>0.4</v>
      </c>
      <c r="R190" s="144" t="s">
        <v>97</v>
      </c>
      <c r="S190" s="122" t="s">
        <v>74</v>
      </c>
    </row>
    <row r="191" spans="1:32" x14ac:dyDescent="0.25">
      <c r="I191" s="117"/>
      <c r="K191" s="4" t="s">
        <v>81</v>
      </c>
      <c r="L191" s="4">
        <f>AC151</f>
        <v>0</v>
      </c>
      <c r="M191" s="4">
        <f>AD151</f>
        <v>0</v>
      </c>
      <c r="N191" s="4" t="s">
        <v>76</v>
      </c>
      <c r="O191" s="4">
        <f>$E$4</f>
        <v>17</v>
      </c>
      <c r="P191" s="4">
        <f>$F$4</f>
        <v>0.9</v>
      </c>
      <c r="Q191" s="4">
        <f>$G$4</f>
        <v>0.4</v>
      </c>
      <c r="R191" s="144" t="s">
        <v>315</v>
      </c>
      <c r="S191" s="118" t="s">
        <v>289</v>
      </c>
    </row>
    <row r="192" spans="1:32" x14ac:dyDescent="0.25">
      <c r="E192" s="4" t="s">
        <v>2</v>
      </c>
      <c r="I192" s="117"/>
      <c r="S192" s="117"/>
    </row>
    <row r="193" spans="1:19" x14ac:dyDescent="0.25">
      <c r="A193" s="25" t="s">
        <v>276</v>
      </c>
      <c r="B193" s="4">
        <v>2023</v>
      </c>
      <c r="C193" s="4">
        <v>2050</v>
      </c>
      <c r="D193" s="4" t="s">
        <v>5</v>
      </c>
      <c r="E193" s="4" t="s">
        <v>8</v>
      </c>
      <c r="F193" s="4" t="s">
        <v>9</v>
      </c>
      <c r="G193" s="4" t="s">
        <v>10</v>
      </c>
      <c r="H193" s="4" t="s">
        <v>3</v>
      </c>
      <c r="I193" s="117"/>
      <c r="S193" s="34"/>
    </row>
    <row r="194" spans="1:19" x14ac:dyDescent="0.25">
      <c r="A194" s="4" t="s">
        <v>14</v>
      </c>
      <c r="B194" s="4">
        <f>125000*$E$142</f>
        <v>3500000</v>
      </c>
      <c r="C194" s="4">
        <f>125000*$E$142</f>
        <v>3500000</v>
      </c>
      <c r="D194" s="4" t="s">
        <v>15</v>
      </c>
      <c r="E194" s="4">
        <v>12</v>
      </c>
      <c r="F194" s="4">
        <v>0.9</v>
      </c>
      <c r="G194" s="4">
        <v>0.4</v>
      </c>
      <c r="H194" s="144" t="s">
        <v>118</v>
      </c>
      <c r="I194" s="118" t="s">
        <v>164</v>
      </c>
    </row>
    <row r="195" spans="1:19" x14ac:dyDescent="0.25">
      <c r="A195" s="4" t="s">
        <v>25</v>
      </c>
      <c r="B195" s="4">
        <f>-B194*0.05</f>
        <v>-175000</v>
      </c>
      <c r="C195" s="4">
        <f>-C194*0.05</f>
        <v>-175000</v>
      </c>
      <c r="D195" s="4" t="s">
        <v>15</v>
      </c>
      <c r="E195" s="4">
        <v>12</v>
      </c>
      <c r="F195" s="4">
        <v>0.9</v>
      </c>
      <c r="G195" s="4">
        <v>0.4</v>
      </c>
      <c r="H195" s="144" t="s">
        <v>26</v>
      </c>
      <c r="I195" s="117" t="s">
        <v>121</v>
      </c>
    </row>
    <row r="196" spans="1:19" x14ac:dyDescent="0.25">
      <c r="A196" s="4" t="s">
        <v>37</v>
      </c>
      <c r="B196" s="4">
        <v>650000</v>
      </c>
      <c r="C196" s="4">
        <v>650000</v>
      </c>
      <c r="D196" s="4" t="s">
        <v>38</v>
      </c>
      <c r="E196" s="4">
        <v>12</v>
      </c>
      <c r="F196" s="4">
        <v>0.9</v>
      </c>
      <c r="G196" s="4">
        <v>0.4</v>
      </c>
      <c r="H196" s="144" t="s">
        <v>16</v>
      </c>
      <c r="I196" s="117" t="s">
        <v>165</v>
      </c>
    </row>
    <row r="197" spans="1:19" x14ac:dyDescent="0.25">
      <c r="A197" s="4" t="s">
        <v>48</v>
      </c>
      <c r="B197" s="4">
        <v>2800</v>
      </c>
      <c r="C197" s="4">
        <v>2800</v>
      </c>
      <c r="D197" s="4" t="s">
        <v>49</v>
      </c>
      <c r="E197" s="4">
        <v>12</v>
      </c>
      <c r="F197" s="4">
        <v>0.9</v>
      </c>
      <c r="G197" s="4">
        <v>0.4</v>
      </c>
      <c r="H197" s="144" t="s">
        <v>125</v>
      </c>
      <c r="I197" s="118" t="s">
        <v>126</v>
      </c>
    </row>
    <row r="198" spans="1:19" x14ac:dyDescent="0.25">
      <c r="A198" s="4" t="s">
        <v>56</v>
      </c>
      <c r="B198" s="150">
        <f>32%/C140</f>
        <v>0.42666666666666669</v>
      </c>
      <c r="C198" s="150">
        <f>32%/C140</f>
        <v>0.42666666666666669</v>
      </c>
      <c r="D198" s="4" t="s">
        <v>57</v>
      </c>
      <c r="E198" s="4">
        <v>12</v>
      </c>
      <c r="F198" s="4">
        <v>0.9</v>
      </c>
      <c r="G198" s="4">
        <v>0.4</v>
      </c>
      <c r="H198" s="144" t="s">
        <v>16</v>
      </c>
      <c r="I198" s="117" t="s">
        <v>166</v>
      </c>
      <c r="N198" s="113"/>
    </row>
    <row r="199" spans="1:19" x14ac:dyDescent="0.25">
      <c r="A199" s="4" t="s">
        <v>64</v>
      </c>
      <c r="B199" s="4">
        <v>178500</v>
      </c>
      <c r="C199" s="4">
        <v>178500</v>
      </c>
      <c r="D199" s="4" t="s">
        <v>65</v>
      </c>
      <c r="E199" s="4">
        <v>12</v>
      </c>
      <c r="F199" s="4">
        <v>0.9</v>
      </c>
      <c r="G199" s="4">
        <v>0.4</v>
      </c>
      <c r="H199" s="144" t="s">
        <v>16</v>
      </c>
      <c r="I199" s="117" t="s">
        <v>166</v>
      </c>
      <c r="N199" s="113"/>
    </row>
    <row r="200" spans="1:19" x14ac:dyDescent="0.25">
      <c r="A200" s="4" t="s">
        <v>70</v>
      </c>
      <c r="B200" s="4">
        <v>30</v>
      </c>
      <c r="C200" s="4">
        <v>30</v>
      </c>
      <c r="D200" s="4" t="s">
        <v>42</v>
      </c>
      <c r="E200" s="4">
        <v>12</v>
      </c>
      <c r="F200" s="4">
        <v>0.9</v>
      </c>
      <c r="G200" s="4">
        <v>0.4</v>
      </c>
      <c r="H200" s="144" t="s">
        <v>131</v>
      </c>
      <c r="I200" s="117" t="s">
        <v>132</v>
      </c>
    </row>
    <row r="201" spans="1:19" x14ac:dyDescent="0.25">
      <c r="A201" s="4" t="s">
        <v>277</v>
      </c>
      <c r="B201" s="114">
        <v>3.9215686274509802</v>
      </c>
      <c r="C201" s="114">
        <v>3.9215686274509802</v>
      </c>
      <c r="D201" s="4" t="s">
        <v>76</v>
      </c>
      <c r="E201" s="4">
        <v>12</v>
      </c>
      <c r="F201" s="4">
        <v>0.9</v>
      </c>
      <c r="G201" s="4">
        <v>0.4</v>
      </c>
      <c r="H201" s="144" t="s">
        <v>16</v>
      </c>
      <c r="I201" s="118" t="s">
        <v>167</v>
      </c>
    </row>
    <row r="202" spans="1:19" x14ac:dyDescent="0.25">
      <c r="I202" s="117"/>
    </row>
    <row r="203" spans="1:19" x14ac:dyDescent="0.25">
      <c r="I203" s="117"/>
    </row>
    <row r="205" spans="1:19" s="93" customFormat="1" ht="31.5" x14ac:dyDescent="0.5">
      <c r="A205" s="93" t="s">
        <v>263</v>
      </c>
      <c r="K205" s="93" t="s">
        <v>0</v>
      </c>
    </row>
    <row r="206" spans="1:19" x14ac:dyDescent="0.25">
      <c r="B206" s="4" t="s">
        <v>402</v>
      </c>
      <c r="C206" s="94">
        <v>0.75</v>
      </c>
      <c r="D206" s="162" t="s">
        <v>405</v>
      </c>
    </row>
    <row r="207" spans="1:19" x14ac:dyDescent="0.25">
      <c r="B207" s="4" t="s">
        <v>403</v>
      </c>
      <c r="C207" s="94">
        <f>1-C206</f>
        <v>0.25</v>
      </c>
      <c r="D207" s="162" t="s">
        <v>404</v>
      </c>
      <c r="I207" s="113"/>
      <c r="K207" s="40"/>
    </row>
    <row r="208" spans="1:19" x14ac:dyDescent="0.25">
      <c r="A208" s="95" t="s">
        <v>168</v>
      </c>
      <c r="B208" s="151" t="s">
        <v>281</v>
      </c>
    </row>
    <row r="209" spans="1:47" ht="15.75" thickBot="1" x14ac:dyDescent="0.3">
      <c r="L209" s="150"/>
    </row>
    <row r="210" spans="1:47" x14ac:dyDescent="0.25">
      <c r="E210" s="4" t="s">
        <v>2</v>
      </c>
      <c r="H210" s="4" t="s">
        <v>3</v>
      </c>
      <c r="O210" s="4" t="s">
        <v>2</v>
      </c>
      <c r="R210" s="4" t="s">
        <v>3</v>
      </c>
      <c r="W210" s="99" t="s">
        <v>169</v>
      </c>
      <c r="X210" s="100">
        <v>2023</v>
      </c>
      <c r="Y210" s="100">
        <v>2050</v>
      </c>
      <c r="Z210" s="101" t="s">
        <v>5</v>
      </c>
      <c r="AB210" s="99" t="s">
        <v>278</v>
      </c>
      <c r="AC210" s="100">
        <v>2023</v>
      </c>
      <c r="AD210" s="100">
        <v>2050</v>
      </c>
      <c r="AE210" s="101" t="s">
        <v>5</v>
      </c>
      <c r="AG210" s="99" t="s">
        <v>170</v>
      </c>
      <c r="AH210" s="100">
        <v>2023</v>
      </c>
      <c r="AI210" s="100">
        <v>2050</v>
      </c>
      <c r="AJ210" s="101" t="s">
        <v>5</v>
      </c>
      <c r="AL210" s="99" t="s">
        <v>171</v>
      </c>
      <c r="AM210" s="100">
        <v>2023</v>
      </c>
      <c r="AN210" s="100">
        <v>2050</v>
      </c>
      <c r="AO210" s="101" t="s">
        <v>5</v>
      </c>
      <c r="AQ210" s="99" t="s">
        <v>172</v>
      </c>
      <c r="AR210" s="100">
        <v>2023</v>
      </c>
      <c r="AS210" s="100">
        <v>2050</v>
      </c>
      <c r="AT210" s="101" t="s">
        <v>5</v>
      </c>
    </row>
    <row r="211" spans="1:47" x14ac:dyDescent="0.25">
      <c r="A211" s="25" t="s">
        <v>173</v>
      </c>
      <c r="B211" s="4">
        <v>2023</v>
      </c>
      <c r="C211" s="4">
        <v>2050</v>
      </c>
      <c r="D211" s="4" t="s">
        <v>5</v>
      </c>
      <c r="E211" s="4" t="s">
        <v>8</v>
      </c>
      <c r="F211" s="4" t="s">
        <v>9</v>
      </c>
      <c r="G211" s="4" t="s">
        <v>10</v>
      </c>
      <c r="I211" s="117"/>
      <c r="K211" s="25" t="s">
        <v>279</v>
      </c>
      <c r="L211" s="4">
        <v>2023</v>
      </c>
      <c r="M211" s="4">
        <v>2050</v>
      </c>
      <c r="N211" s="4" t="s">
        <v>5</v>
      </c>
      <c r="O211" s="4" t="s">
        <v>8</v>
      </c>
      <c r="P211" s="4" t="s">
        <v>9</v>
      </c>
      <c r="Q211" s="4" t="s">
        <v>10</v>
      </c>
      <c r="W211" s="102" t="s">
        <v>12</v>
      </c>
      <c r="X211" s="107">
        <f>$B$4</f>
        <v>0</v>
      </c>
      <c r="Y211" s="107">
        <f>$C$4</f>
        <v>0</v>
      </c>
      <c r="Z211" s="103" t="s">
        <v>13</v>
      </c>
      <c r="AB211" s="102" t="s">
        <v>12</v>
      </c>
      <c r="AC211" s="107">
        <f>$B$4</f>
        <v>0</v>
      </c>
      <c r="AD211" s="107">
        <f>$C$4</f>
        <v>0</v>
      </c>
      <c r="AE211" s="103" t="s">
        <v>13</v>
      </c>
      <c r="AG211" s="102" t="s">
        <v>12</v>
      </c>
      <c r="AH211" s="107">
        <f>$B$4</f>
        <v>0</v>
      </c>
      <c r="AI211" s="107">
        <f>$C$4</f>
        <v>0</v>
      </c>
      <c r="AJ211" s="103" t="s">
        <v>13</v>
      </c>
      <c r="AL211" s="102" t="s">
        <v>12</v>
      </c>
      <c r="AM211" s="107">
        <f>$B$4</f>
        <v>0</v>
      </c>
      <c r="AN211" s="107">
        <f>$C$4</f>
        <v>0</v>
      </c>
      <c r="AO211" s="103" t="s">
        <v>13</v>
      </c>
      <c r="AQ211" s="102" t="s">
        <v>12</v>
      </c>
      <c r="AR211" s="107">
        <f>$B$4</f>
        <v>0</v>
      </c>
      <c r="AS211" s="107">
        <f>$C$4</f>
        <v>0</v>
      </c>
      <c r="AT211" s="103" t="s">
        <v>13</v>
      </c>
    </row>
    <row r="212" spans="1:47" x14ac:dyDescent="0.25">
      <c r="A212" s="4" t="s">
        <v>14</v>
      </c>
      <c r="B212" s="113">
        <v>1000000</v>
      </c>
      <c r="C212" s="4">
        <v>1000000</v>
      </c>
      <c r="D212" s="4" t="s">
        <v>15</v>
      </c>
      <c r="E212" s="4">
        <v>17</v>
      </c>
      <c r="F212" s="4">
        <v>0.9</v>
      </c>
      <c r="G212" s="4">
        <v>0.4</v>
      </c>
      <c r="H212" s="144" t="s">
        <v>299</v>
      </c>
      <c r="I212" s="118" t="s">
        <v>174</v>
      </c>
      <c r="K212" s="4" t="s">
        <v>18</v>
      </c>
      <c r="L212" s="4">
        <v>15000000</v>
      </c>
      <c r="M212" s="4">
        <v>15000000</v>
      </c>
      <c r="N212" s="4" t="s">
        <v>15</v>
      </c>
      <c r="O212" s="4">
        <v>17</v>
      </c>
      <c r="P212" s="4">
        <v>0.9</v>
      </c>
      <c r="Q212" s="4">
        <v>0.4</v>
      </c>
      <c r="R212" s="144" t="s">
        <v>283</v>
      </c>
      <c r="S212" s="117" t="s">
        <v>284</v>
      </c>
      <c r="W212" s="102" t="s">
        <v>20</v>
      </c>
      <c r="X212" s="195">
        <v>3.17</v>
      </c>
      <c r="Y212" s="195"/>
      <c r="Z212" s="103" t="s">
        <v>21</v>
      </c>
      <c r="AB212" s="102" t="s">
        <v>20</v>
      </c>
      <c r="AC212" s="195">
        <v>3.2</v>
      </c>
      <c r="AD212" s="195"/>
      <c r="AE212" s="103" t="s">
        <v>21</v>
      </c>
      <c r="AG212" s="102" t="s">
        <v>22</v>
      </c>
      <c r="AH212" s="4">
        <v>2.1999999999999999E-2</v>
      </c>
      <c r="AI212" s="4">
        <v>0</v>
      </c>
      <c r="AJ212" s="4" t="s">
        <v>23</v>
      </c>
      <c r="AL212" s="102" t="s">
        <v>22</v>
      </c>
      <c r="AM212" s="4">
        <v>2.1999999999999999E-2</v>
      </c>
      <c r="AN212" s="4">
        <v>0</v>
      </c>
      <c r="AO212" s="4" t="s">
        <v>23</v>
      </c>
      <c r="AQ212" s="102" t="s">
        <v>22</v>
      </c>
      <c r="AR212" s="4">
        <v>2.1999999999999999E-2</v>
      </c>
      <c r="AS212" s="4">
        <v>0</v>
      </c>
      <c r="AT212" s="4" t="s">
        <v>23</v>
      </c>
      <c r="AU212" s="4" t="s">
        <v>24</v>
      </c>
    </row>
    <row r="213" spans="1:47" x14ac:dyDescent="0.25">
      <c r="A213" s="4" t="s">
        <v>25</v>
      </c>
      <c r="B213" s="4">
        <f>-B212*0.1</f>
        <v>-100000</v>
      </c>
      <c r="C213" s="4">
        <f>-C212*0.1</f>
        <v>-100000</v>
      </c>
      <c r="D213" s="4" t="s">
        <v>15</v>
      </c>
      <c r="E213" s="4">
        <v>17</v>
      </c>
      <c r="F213" s="4">
        <v>0.9</v>
      </c>
      <c r="G213" s="4">
        <v>0.4</v>
      </c>
      <c r="H213" s="144" t="s">
        <v>299</v>
      </c>
      <c r="I213" s="117" t="s">
        <v>175</v>
      </c>
      <c r="K213" s="4" t="s">
        <v>28</v>
      </c>
      <c r="L213" s="4">
        <f>-L212*0.1</f>
        <v>-1500000</v>
      </c>
      <c r="M213" s="4">
        <f>-M212*0.05</f>
        <v>-750000</v>
      </c>
      <c r="N213" s="4" t="s">
        <v>15</v>
      </c>
      <c r="O213" s="4">
        <v>17</v>
      </c>
      <c r="P213" s="4">
        <v>0.9</v>
      </c>
      <c r="Q213" s="4">
        <v>0.4</v>
      </c>
      <c r="R213" s="144" t="s">
        <v>26</v>
      </c>
      <c r="S213" s="117" t="s">
        <v>176</v>
      </c>
      <c r="W213" s="102" t="s">
        <v>31</v>
      </c>
      <c r="X213" s="195">
        <v>11.89</v>
      </c>
      <c r="Y213" s="195"/>
      <c r="Z213" s="103" t="s">
        <v>32</v>
      </c>
      <c r="AB213" s="102" t="s">
        <v>31</v>
      </c>
      <c r="AC213" s="195">
        <v>11.39</v>
      </c>
      <c r="AD213" s="195"/>
      <c r="AE213" s="103" t="s">
        <v>32</v>
      </c>
      <c r="AG213" s="102" t="s">
        <v>33</v>
      </c>
      <c r="AH213" s="94">
        <v>0.53</v>
      </c>
      <c r="AI213" s="94">
        <v>0.61</v>
      </c>
      <c r="AJ213" s="103" t="s">
        <v>34</v>
      </c>
      <c r="AL213" s="102" t="s">
        <v>35</v>
      </c>
      <c r="AM213" s="94">
        <v>0.52</v>
      </c>
      <c r="AN213" s="94">
        <v>0.6</v>
      </c>
      <c r="AO213" s="103" t="s">
        <v>34</v>
      </c>
      <c r="AQ213" s="102" t="s">
        <v>35</v>
      </c>
      <c r="AR213" s="94">
        <v>0.45</v>
      </c>
      <c r="AS213" s="94">
        <v>0.56000000000000005</v>
      </c>
      <c r="AT213" s="103" t="s">
        <v>34</v>
      </c>
      <c r="AU213" s="4" t="s">
        <v>36</v>
      </c>
    </row>
    <row r="214" spans="1:47" x14ac:dyDescent="0.25">
      <c r="A214" s="4" t="s">
        <v>37</v>
      </c>
      <c r="B214" s="4">
        <f>(793000+106000+128000)/0.85</f>
        <v>1208235.294117647</v>
      </c>
      <c r="C214" s="4">
        <f>(793000+106000+128000)/0.85</f>
        <v>1208235.294117647</v>
      </c>
      <c r="D214" s="4" t="s">
        <v>38</v>
      </c>
      <c r="E214" s="4">
        <v>17</v>
      </c>
      <c r="F214" s="4">
        <v>0.9</v>
      </c>
      <c r="G214" s="4">
        <v>0.4</v>
      </c>
      <c r="H214" s="144" t="s">
        <v>324</v>
      </c>
      <c r="I214" s="117" t="s">
        <v>309</v>
      </c>
      <c r="K214" s="4" t="s">
        <v>41</v>
      </c>
      <c r="L214" s="4">
        <v>25</v>
      </c>
      <c r="M214" s="4">
        <v>25</v>
      </c>
      <c r="N214" s="4" t="s">
        <v>42</v>
      </c>
      <c r="O214" s="4">
        <v>17</v>
      </c>
      <c r="P214" s="4">
        <v>0.9</v>
      </c>
      <c r="Q214" s="4">
        <v>0.4</v>
      </c>
      <c r="R214" s="144" t="s">
        <v>43</v>
      </c>
      <c r="S214" s="117" t="s">
        <v>74</v>
      </c>
      <c r="W214" s="102" t="s">
        <v>45</v>
      </c>
      <c r="X214" s="196">
        <f>X212/X213</f>
        <v>0.26661059714045415</v>
      </c>
      <c r="Y214" s="196"/>
      <c r="Z214" s="103" t="s">
        <v>46</v>
      </c>
      <c r="AB214" s="102" t="s">
        <v>45</v>
      </c>
      <c r="AC214" s="196">
        <f>AC212/AC213</f>
        <v>0.28094820017559263</v>
      </c>
      <c r="AD214" s="196"/>
      <c r="AE214" s="103" t="s">
        <v>46</v>
      </c>
      <c r="AG214" s="102" t="s">
        <v>47</v>
      </c>
      <c r="AH214" s="109">
        <f>AH212/AH213</f>
        <v>4.1509433962264149E-2</v>
      </c>
      <c r="AI214" s="109">
        <f>AI212/AI213</f>
        <v>0</v>
      </c>
      <c r="AJ214" s="103" t="s">
        <v>46</v>
      </c>
      <c r="AL214" s="102" t="s">
        <v>22</v>
      </c>
      <c r="AM214" s="109">
        <f>AM212/AM213</f>
        <v>4.2307692307692303E-2</v>
      </c>
      <c r="AN214" s="109">
        <f>AN212/AN213</f>
        <v>0</v>
      </c>
      <c r="AO214" s="103" t="s">
        <v>46</v>
      </c>
      <c r="AQ214" s="102" t="s">
        <v>22</v>
      </c>
      <c r="AR214" s="109">
        <f>AR212/AR213</f>
        <v>4.8888888888888885E-2</v>
      </c>
      <c r="AS214" s="109">
        <f>AS212/AS213</f>
        <v>0</v>
      </c>
      <c r="AT214" s="103" t="s">
        <v>46</v>
      </c>
    </row>
    <row r="215" spans="1:47" x14ac:dyDescent="0.25">
      <c r="A215" s="4" t="s">
        <v>48</v>
      </c>
      <c r="B215" s="4">
        <v>9450</v>
      </c>
      <c r="C215" s="4">
        <v>9450</v>
      </c>
      <c r="D215" s="4" t="s">
        <v>49</v>
      </c>
      <c r="E215" s="4">
        <v>17</v>
      </c>
      <c r="F215" s="4">
        <v>0.9</v>
      </c>
      <c r="G215" s="4">
        <v>0.4</v>
      </c>
      <c r="H215" s="144" t="s">
        <v>323</v>
      </c>
      <c r="I215" s="117" t="s">
        <v>300</v>
      </c>
      <c r="K215" s="4" t="s">
        <v>52</v>
      </c>
      <c r="L215" s="4">
        <f>(84000+127000+122000+82000)/0.85</f>
        <v>488235.29411764705</v>
      </c>
      <c r="M215" s="4">
        <f>(84000+127000+122000+82000)/0.85</f>
        <v>488235.29411764705</v>
      </c>
      <c r="N215" s="4" t="s">
        <v>38</v>
      </c>
      <c r="O215" s="4">
        <v>17</v>
      </c>
      <c r="P215" s="4">
        <v>0.9</v>
      </c>
      <c r="Q215" s="4">
        <v>0.4</v>
      </c>
      <c r="R215" s="144" t="s">
        <v>9</v>
      </c>
      <c r="S215" s="117" t="s">
        <v>310</v>
      </c>
      <c r="W215" s="102" t="s">
        <v>54</v>
      </c>
      <c r="X215" s="4">
        <f>L216*X214</f>
        <v>172.49705634987384</v>
      </c>
      <c r="Y215" s="4">
        <f>M216*X214</f>
        <v>159.9663582842725</v>
      </c>
      <c r="Z215" s="103" t="s">
        <v>55</v>
      </c>
      <c r="AB215" s="102" t="s">
        <v>54</v>
      </c>
      <c r="AC215" s="4">
        <f>L228*AC214</f>
        <v>181.77348551360842</v>
      </c>
      <c r="AD215" s="4">
        <f>M228*AC214</f>
        <v>168.56892010535557</v>
      </c>
      <c r="AE215" s="103" t="s">
        <v>55</v>
      </c>
      <c r="AG215" s="102" t="s">
        <v>54</v>
      </c>
      <c r="AH215" s="4">
        <f>AH214*L241</f>
        <v>24.449056603773585</v>
      </c>
      <c r="AI215" s="4">
        <f>AI214*M241</f>
        <v>0</v>
      </c>
      <c r="AJ215" s="103" t="s">
        <v>55</v>
      </c>
      <c r="AL215" s="102" t="s">
        <v>54</v>
      </c>
      <c r="AM215" s="4">
        <f>AM214*L253</f>
        <v>24.919230769230765</v>
      </c>
      <c r="AN215" s="4">
        <f>AN214*M253</f>
        <v>0</v>
      </c>
      <c r="AO215" s="103" t="s">
        <v>55</v>
      </c>
      <c r="AQ215" s="102" t="s">
        <v>54</v>
      </c>
      <c r="AR215" s="4">
        <f>AR214*L265</f>
        <v>31.631111111111107</v>
      </c>
      <c r="AS215" s="4">
        <f>AS214*M265</f>
        <v>0</v>
      </c>
      <c r="AT215" s="103" t="s">
        <v>55</v>
      </c>
    </row>
    <row r="216" spans="1:47" ht="15.75" thickBot="1" x14ac:dyDescent="0.3">
      <c r="A216" s="4" t="s">
        <v>56</v>
      </c>
      <c r="B216" s="150">
        <f>51%/C206</f>
        <v>0.68</v>
      </c>
      <c r="C216" s="150">
        <f>51%/C206</f>
        <v>0.68</v>
      </c>
      <c r="D216" s="4" t="s">
        <v>57</v>
      </c>
      <c r="E216" s="4">
        <v>17</v>
      </c>
      <c r="F216" s="4">
        <v>0.9</v>
      </c>
      <c r="G216" s="4">
        <v>0.4</v>
      </c>
      <c r="H216" s="144" t="s">
        <v>16</v>
      </c>
      <c r="I216" s="117" t="s">
        <v>301</v>
      </c>
      <c r="K216" s="4" t="s">
        <v>59</v>
      </c>
      <c r="L216" s="4">
        <v>647</v>
      </c>
      <c r="M216" s="4">
        <v>600</v>
      </c>
      <c r="N216" s="4" t="s">
        <v>60</v>
      </c>
      <c r="O216" s="4">
        <v>17</v>
      </c>
      <c r="P216" s="4">
        <v>0.9</v>
      </c>
      <c r="Q216" s="4">
        <v>0.4</v>
      </c>
      <c r="R216" s="144" t="s">
        <v>43</v>
      </c>
      <c r="S216" s="117" t="s">
        <v>177</v>
      </c>
      <c r="W216" s="104" t="s">
        <v>62</v>
      </c>
      <c r="X216" s="105">
        <f>X211/1000*X215</f>
        <v>0</v>
      </c>
      <c r="Y216" s="105">
        <f>Y215/1000*Y211</f>
        <v>0</v>
      </c>
      <c r="Z216" s="106" t="s">
        <v>63</v>
      </c>
      <c r="AB216" s="104" t="s">
        <v>62</v>
      </c>
      <c r="AC216" s="105">
        <f>AC211/1000*AC215</f>
        <v>0</v>
      </c>
      <c r="AD216" s="105">
        <f>AD215/1000*AD211</f>
        <v>0</v>
      </c>
      <c r="AE216" s="106" t="s">
        <v>63</v>
      </c>
      <c r="AG216" s="104" t="s">
        <v>62</v>
      </c>
      <c r="AH216" s="105">
        <f>AH211/1000*AH215</f>
        <v>0</v>
      </c>
      <c r="AI216" s="105">
        <f>AI215/1000*AI211</f>
        <v>0</v>
      </c>
      <c r="AJ216" s="106" t="s">
        <v>63</v>
      </c>
      <c r="AL216" s="104" t="s">
        <v>62</v>
      </c>
      <c r="AM216" s="105">
        <f>AM211/1000*AM215</f>
        <v>0</v>
      </c>
      <c r="AN216" s="105">
        <f>AN215/1000*AN211</f>
        <v>0</v>
      </c>
      <c r="AO216" s="106" t="s">
        <v>63</v>
      </c>
      <c r="AQ216" s="104" t="s">
        <v>62</v>
      </c>
      <c r="AR216" s="105">
        <f>AR211/1000*AR215</f>
        <v>0</v>
      </c>
      <c r="AS216" s="105">
        <f>AS215/1000*AS211</f>
        <v>0</v>
      </c>
      <c r="AT216" s="106" t="s">
        <v>63</v>
      </c>
    </row>
    <row r="217" spans="1:47" x14ac:dyDescent="0.25">
      <c r="A217" s="4" t="s">
        <v>64</v>
      </c>
      <c r="B217" s="4">
        <v>120000</v>
      </c>
      <c r="C217" s="4">
        <v>120000</v>
      </c>
      <c r="D217" s="4" t="s">
        <v>65</v>
      </c>
      <c r="E217" s="4">
        <v>17</v>
      </c>
      <c r="F217" s="4">
        <v>0.9</v>
      </c>
      <c r="G217" s="4">
        <v>0.4</v>
      </c>
      <c r="H217" s="144" t="s">
        <v>305</v>
      </c>
      <c r="I217" s="117" t="s">
        <v>306</v>
      </c>
      <c r="K217" s="4" t="s">
        <v>67</v>
      </c>
      <c r="L217" s="4">
        <f t="shared" ref="L217:Q217" si="5">B6</f>
        <v>0.06</v>
      </c>
      <c r="M217" s="4">
        <f t="shared" si="5"/>
        <v>0.06</v>
      </c>
      <c r="N217" s="4" t="str">
        <f t="shared" si="5"/>
        <v>[€/kWh]</v>
      </c>
      <c r="O217" s="4">
        <f t="shared" si="5"/>
        <v>17</v>
      </c>
      <c r="P217" s="4">
        <f t="shared" si="5"/>
        <v>0.9</v>
      </c>
      <c r="Q217" s="4">
        <f t="shared" si="5"/>
        <v>0.4</v>
      </c>
      <c r="R217" s="144" t="s">
        <v>260</v>
      </c>
      <c r="S217" s="118" t="s">
        <v>293</v>
      </c>
    </row>
    <row r="218" spans="1:47" x14ac:dyDescent="0.25">
      <c r="A218" s="4" t="s">
        <v>70</v>
      </c>
      <c r="B218" s="4">
        <v>25</v>
      </c>
      <c r="C218" s="4">
        <v>25</v>
      </c>
      <c r="D218" s="4" t="s">
        <v>42</v>
      </c>
      <c r="E218" s="4">
        <v>17</v>
      </c>
      <c r="F218" s="4">
        <v>0.9</v>
      </c>
      <c r="G218" s="4">
        <v>0.4</v>
      </c>
      <c r="H218" s="144" t="s">
        <v>43</v>
      </c>
      <c r="I218" s="117" t="s">
        <v>74</v>
      </c>
      <c r="K218" s="4" t="s">
        <v>73</v>
      </c>
      <c r="L218" s="150">
        <v>0</v>
      </c>
      <c r="M218" s="150">
        <v>0</v>
      </c>
      <c r="N218" s="4" t="s">
        <v>57</v>
      </c>
      <c r="O218" s="4">
        <v>17</v>
      </c>
      <c r="P218" s="4">
        <v>0.9</v>
      </c>
      <c r="Q218" s="4">
        <v>0.4</v>
      </c>
      <c r="R218" s="144" t="s">
        <v>43</v>
      </c>
      <c r="S218" s="117" t="s">
        <v>74</v>
      </c>
    </row>
    <row r="219" spans="1:47" x14ac:dyDescent="0.25">
      <c r="A219" s="4" t="s">
        <v>262</v>
      </c>
      <c r="B219" s="4">
        <f>(100000*(1+(15380-15380)/15380)/118231)</f>
        <v>0.8458018624557011</v>
      </c>
      <c r="C219" s="4">
        <f>(100000*(1+(15380-15380)/15380)/118231)</f>
        <v>0.8458018624557011</v>
      </c>
      <c r="D219" s="4" t="s">
        <v>76</v>
      </c>
      <c r="E219" s="4">
        <v>17</v>
      </c>
      <c r="F219" s="4">
        <v>0.9</v>
      </c>
      <c r="G219" s="4">
        <v>0.4</v>
      </c>
      <c r="H219" s="144" t="s">
        <v>16</v>
      </c>
      <c r="I219" s="117" t="s">
        <v>308</v>
      </c>
      <c r="K219" s="4" t="s">
        <v>79</v>
      </c>
      <c r="L219" s="150">
        <v>0.06</v>
      </c>
      <c r="M219" s="150">
        <v>0.06</v>
      </c>
      <c r="N219" s="4" t="s">
        <v>57</v>
      </c>
      <c r="O219" s="4">
        <v>17</v>
      </c>
      <c r="P219" s="4">
        <v>0.9</v>
      </c>
      <c r="Q219" s="4">
        <v>0.4</v>
      </c>
      <c r="R219" s="144" t="s">
        <v>43</v>
      </c>
      <c r="S219" s="117" t="s">
        <v>74</v>
      </c>
      <c r="W219" s="4" t="s">
        <v>26</v>
      </c>
      <c r="X219" s="4" t="s">
        <v>80</v>
      </c>
    </row>
    <row r="220" spans="1:47" x14ac:dyDescent="0.25">
      <c r="E220" s="4">
        <f>100000/118231</f>
        <v>0.8458018624557011</v>
      </c>
      <c r="I220" s="117"/>
      <c r="K220" s="4" t="s">
        <v>81</v>
      </c>
      <c r="L220" s="4">
        <f>X216</f>
        <v>0</v>
      </c>
      <c r="M220" s="4">
        <f>Y216</f>
        <v>0</v>
      </c>
      <c r="N220" s="4" t="s">
        <v>76</v>
      </c>
      <c r="O220" s="4">
        <f>$E$4</f>
        <v>17</v>
      </c>
      <c r="P220" s="4">
        <f>$F$4</f>
        <v>0.9</v>
      </c>
      <c r="Q220" s="4">
        <f>$G$4</f>
        <v>0.4</v>
      </c>
      <c r="R220" s="144" t="s">
        <v>312</v>
      </c>
      <c r="S220" s="118" t="s">
        <v>178</v>
      </c>
      <c r="W220" s="4" t="s">
        <v>9</v>
      </c>
      <c r="X220" s="4" t="s">
        <v>179</v>
      </c>
    </row>
    <row r="221" spans="1:47" x14ac:dyDescent="0.25">
      <c r="I221" s="117"/>
      <c r="S221" s="117"/>
      <c r="W221" s="4" t="s">
        <v>16</v>
      </c>
      <c r="X221" s="4" t="s">
        <v>85</v>
      </c>
    </row>
    <row r="222" spans="1:47" x14ac:dyDescent="0.25">
      <c r="E222" s="4" t="s">
        <v>2</v>
      </c>
      <c r="H222" s="4" t="s">
        <v>3</v>
      </c>
      <c r="I222" s="117"/>
      <c r="O222" s="4" t="s">
        <v>2</v>
      </c>
      <c r="R222" s="4" t="s">
        <v>3</v>
      </c>
      <c r="W222" s="4" t="s">
        <v>43</v>
      </c>
      <c r="X222" s="4" t="s">
        <v>88</v>
      </c>
    </row>
    <row r="223" spans="1:47" x14ac:dyDescent="0.25">
      <c r="A223" s="25" t="s">
        <v>180</v>
      </c>
      <c r="B223" s="4">
        <v>2023</v>
      </c>
      <c r="C223" s="4">
        <v>2050</v>
      </c>
      <c r="D223" s="4" t="s">
        <v>5</v>
      </c>
      <c r="E223" s="4" t="s">
        <v>8</v>
      </c>
      <c r="F223" s="4" t="s">
        <v>9</v>
      </c>
      <c r="G223" s="4" t="s">
        <v>10</v>
      </c>
      <c r="I223" s="117"/>
      <c r="K223" s="25" t="s">
        <v>280</v>
      </c>
      <c r="L223" s="4">
        <v>2023</v>
      </c>
      <c r="M223" s="4">
        <v>2050</v>
      </c>
      <c r="N223" s="4" t="s">
        <v>5</v>
      </c>
      <c r="O223" s="4" t="s">
        <v>8</v>
      </c>
      <c r="P223" s="4" t="s">
        <v>9</v>
      </c>
      <c r="Q223" s="4" t="s">
        <v>10</v>
      </c>
      <c r="W223" s="4" t="s">
        <v>77</v>
      </c>
      <c r="X223" s="4" t="s">
        <v>92</v>
      </c>
    </row>
    <row r="224" spans="1:47" x14ac:dyDescent="0.25">
      <c r="A224" s="4" t="s">
        <v>14</v>
      </c>
      <c r="B224" s="113">
        <v>5000000</v>
      </c>
      <c r="C224" s="4">
        <v>5000000</v>
      </c>
      <c r="D224" s="4" t="s">
        <v>15</v>
      </c>
      <c r="E224" s="4">
        <v>17</v>
      </c>
      <c r="F224" s="4">
        <v>0.9</v>
      </c>
      <c r="G224" s="4">
        <v>0.4</v>
      </c>
      <c r="H224" s="144" t="s">
        <v>299</v>
      </c>
      <c r="I224" s="118" t="s">
        <v>174</v>
      </c>
      <c r="K224" s="4" t="s">
        <v>18</v>
      </c>
      <c r="L224" s="4">
        <v>15000000</v>
      </c>
      <c r="M224" s="4">
        <v>15000000</v>
      </c>
      <c r="N224" s="4" t="s">
        <v>15</v>
      </c>
      <c r="O224" s="4">
        <v>17</v>
      </c>
      <c r="P224" s="4">
        <v>0.9</v>
      </c>
      <c r="Q224" s="4">
        <v>0.4</v>
      </c>
      <c r="R224" s="144" t="s">
        <v>320</v>
      </c>
      <c r="S224" s="117" t="s">
        <v>284</v>
      </c>
      <c r="W224" s="4" t="s">
        <v>71</v>
      </c>
      <c r="X224" s="4" t="s">
        <v>181</v>
      </c>
    </row>
    <row r="225" spans="1:24" x14ac:dyDescent="0.25">
      <c r="A225" s="4" t="s">
        <v>25</v>
      </c>
      <c r="B225" s="4">
        <f>-B224*0.1</f>
        <v>-500000</v>
      </c>
      <c r="C225" s="4">
        <f>-C224*0.1</f>
        <v>-500000</v>
      </c>
      <c r="D225" s="4" t="s">
        <v>15</v>
      </c>
      <c r="E225" s="4">
        <v>17</v>
      </c>
      <c r="F225" s="4">
        <v>0.9</v>
      </c>
      <c r="G225" s="4">
        <v>0.4</v>
      </c>
      <c r="H225" s="144" t="s">
        <v>299</v>
      </c>
      <c r="I225" s="117" t="s">
        <v>175</v>
      </c>
      <c r="K225" s="4" t="s">
        <v>28</v>
      </c>
      <c r="L225" s="4">
        <f>-L224*0.1</f>
        <v>-1500000</v>
      </c>
      <c r="M225" s="4">
        <f>-M224*0.05</f>
        <v>-750000</v>
      </c>
      <c r="N225" s="4" t="s">
        <v>15</v>
      </c>
      <c r="O225" s="4">
        <v>17</v>
      </c>
      <c r="P225" s="4">
        <v>0.9</v>
      </c>
      <c r="Q225" s="4">
        <v>0.4</v>
      </c>
      <c r="R225" s="144" t="s">
        <v>26</v>
      </c>
      <c r="S225" s="117" t="s">
        <v>176</v>
      </c>
      <c r="W225" s="4" t="s">
        <v>82</v>
      </c>
      <c r="X225" s="4" t="s">
        <v>137</v>
      </c>
    </row>
    <row r="226" spans="1:24" x14ac:dyDescent="0.25">
      <c r="A226" s="4" t="s">
        <v>37</v>
      </c>
      <c r="B226" s="4">
        <f>(793000+106000+128000)/0.85</f>
        <v>1208235.294117647</v>
      </c>
      <c r="C226" s="4">
        <f>(793000+106000+128000)/0.85</f>
        <v>1208235.294117647</v>
      </c>
      <c r="D226" s="4" t="s">
        <v>38</v>
      </c>
      <c r="E226" s="4">
        <v>17</v>
      </c>
      <c r="F226" s="4">
        <v>0.9</v>
      </c>
      <c r="G226" s="4">
        <v>0.4</v>
      </c>
      <c r="H226" s="144" t="s">
        <v>324</v>
      </c>
      <c r="I226" s="117" t="s">
        <v>309</v>
      </c>
      <c r="K226" s="4" t="s">
        <v>41</v>
      </c>
      <c r="L226" s="4">
        <v>25</v>
      </c>
      <c r="M226" s="4">
        <v>25</v>
      </c>
      <c r="N226" s="4" t="s">
        <v>42</v>
      </c>
      <c r="O226" s="4">
        <v>17</v>
      </c>
      <c r="P226" s="4">
        <v>0.9</v>
      </c>
      <c r="Q226" s="4">
        <v>0.4</v>
      </c>
      <c r="R226" s="144" t="s">
        <v>43</v>
      </c>
      <c r="S226" s="117" t="s">
        <v>74</v>
      </c>
      <c r="W226" s="4" t="s">
        <v>95</v>
      </c>
      <c r="X226" s="4" t="s">
        <v>99</v>
      </c>
    </row>
    <row r="227" spans="1:24" x14ac:dyDescent="0.25">
      <c r="A227" s="4" t="s">
        <v>48</v>
      </c>
      <c r="B227" s="4">
        <v>9450</v>
      </c>
      <c r="C227" s="4">
        <v>9450</v>
      </c>
      <c r="D227" s="4" t="s">
        <v>49</v>
      </c>
      <c r="E227" s="4">
        <v>17</v>
      </c>
      <c r="F227" s="4">
        <v>0.9</v>
      </c>
      <c r="G227" s="4">
        <v>0.4</v>
      </c>
      <c r="H227" s="144" t="s">
        <v>323</v>
      </c>
      <c r="I227" s="117" t="s">
        <v>300</v>
      </c>
      <c r="K227" s="4" t="s">
        <v>52</v>
      </c>
      <c r="L227" s="4">
        <f>(84000+127000+122000+82000)/0.85</f>
        <v>488235.29411764705</v>
      </c>
      <c r="M227" s="4">
        <f>(84000+127000+122000+82000)/0.85</f>
        <v>488235.29411764705</v>
      </c>
      <c r="N227" s="4" t="s">
        <v>38</v>
      </c>
      <c r="O227" s="4">
        <v>17</v>
      </c>
      <c r="P227" s="4">
        <v>0.9</v>
      </c>
      <c r="Q227" s="4">
        <v>0.4</v>
      </c>
      <c r="R227" s="144" t="s">
        <v>9</v>
      </c>
      <c r="S227" s="117" t="s">
        <v>310</v>
      </c>
      <c r="W227" s="4" t="s">
        <v>97</v>
      </c>
      <c r="X227" s="4" t="s">
        <v>24</v>
      </c>
    </row>
    <row r="228" spans="1:24" x14ac:dyDescent="0.25">
      <c r="A228" s="4" t="s">
        <v>56</v>
      </c>
      <c r="B228" s="150">
        <f>43%/C206</f>
        <v>0.57333333333333336</v>
      </c>
      <c r="C228" s="150">
        <f>43%/C206</f>
        <v>0.57333333333333336</v>
      </c>
      <c r="D228" s="4" t="s">
        <v>57</v>
      </c>
      <c r="E228" s="4">
        <v>17</v>
      </c>
      <c r="F228" s="4">
        <v>0.9</v>
      </c>
      <c r="G228" s="4">
        <v>0.4</v>
      </c>
      <c r="H228" s="144" t="s">
        <v>16</v>
      </c>
      <c r="I228" s="117" t="s">
        <v>302</v>
      </c>
      <c r="K228" s="4" t="s">
        <v>59</v>
      </c>
      <c r="L228" s="4">
        <v>647</v>
      </c>
      <c r="M228" s="4">
        <v>600</v>
      </c>
      <c r="N228" s="4" t="s">
        <v>60</v>
      </c>
      <c r="O228" s="4">
        <v>17</v>
      </c>
      <c r="P228" s="4">
        <v>0.9</v>
      </c>
      <c r="Q228" s="4">
        <v>0.4</v>
      </c>
      <c r="R228" s="144" t="s">
        <v>43</v>
      </c>
      <c r="S228" s="117" t="s">
        <v>177</v>
      </c>
      <c r="W228" s="4" t="s">
        <v>69</v>
      </c>
      <c r="X228" s="4" t="s">
        <v>36</v>
      </c>
    </row>
    <row r="229" spans="1:24" x14ac:dyDescent="0.25">
      <c r="A229" s="4" t="s">
        <v>64</v>
      </c>
      <c r="B229" s="4">
        <v>120000</v>
      </c>
      <c r="C229" s="4">
        <v>120000</v>
      </c>
      <c r="D229" s="4" t="s">
        <v>65</v>
      </c>
      <c r="E229" s="4">
        <v>17</v>
      </c>
      <c r="F229" s="4">
        <v>0.9</v>
      </c>
      <c r="G229" s="4">
        <v>0.4</v>
      </c>
      <c r="H229" s="144" t="s">
        <v>305</v>
      </c>
      <c r="I229" s="117" t="s">
        <v>306</v>
      </c>
      <c r="K229" s="4" t="s">
        <v>67</v>
      </c>
      <c r="L229" s="4">
        <f t="shared" ref="L229:Q229" si="6">B7</f>
        <v>3.1399999999999997E-2</v>
      </c>
      <c r="M229" s="4">
        <f t="shared" si="6"/>
        <v>3.1399999999999997E-2</v>
      </c>
      <c r="N229" s="4" t="str">
        <f t="shared" si="6"/>
        <v>[€/kWh]</v>
      </c>
      <c r="O229" s="4">
        <f t="shared" si="6"/>
        <v>17</v>
      </c>
      <c r="P229" s="4">
        <f t="shared" si="6"/>
        <v>0.9</v>
      </c>
      <c r="Q229" s="4">
        <f t="shared" si="6"/>
        <v>0.4</v>
      </c>
      <c r="R229" s="144" t="s">
        <v>43</v>
      </c>
      <c r="S229" s="118" t="s">
        <v>294</v>
      </c>
      <c r="W229" s="4" t="s">
        <v>10</v>
      </c>
      <c r="X229" s="4" t="s">
        <v>135</v>
      </c>
    </row>
    <row r="230" spans="1:24" x14ac:dyDescent="0.25">
      <c r="A230" s="4" t="s">
        <v>70</v>
      </c>
      <c r="B230" s="4">
        <v>25</v>
      </c>
      <c r="C230" s="4">
        <v>25</v>
      </c>
      <c r="D230" s="4" t="s">
        <v>42</v>
      </c>
      <c r="E230" s="4">
        <v>17</v>
      </c>
      <c r="F230" s="4">
        <v>0.9</v>
      </c>
      <c r="G230" s="4">
        <v>0.4</v>
      </c>
      <c r="H230" s="144" t="s">
        <v>43</v>
      </c>
      <c r="I230" s="117" t="s">
        <v>74</v>
      </c>
      <c r="K230" s="4" t="s">
        <v>73</v>
      </c>
      <c r="L230" s="150">
        <v>0</v>
      </c>
      <c r="M230" s="150">
        <v>0</v>
      </c>
      <c r="N230" s="4" t="s">
        <v>57</v>
      </c>
      <c r="O230" s="4">
        <v>17</v>
      </c>
      <c r="P230" s="4">
        <v>0.9</v>
      </c>
      <c r="Q230" s="4">
        <v>0.4</v>
      </c>
      <c r="R230" s="144" t="s">
        <v>43</v>
      </c>
      <c r="S230" s="117" t="s">
        <v>74</v>
      </c>
      <c r="W230" s="4" t="s">
        <v>251</v>
      </c>
      <c r="X230" s="4" t="s">
        <v>282</v>
      </c>
    </row>
    <row r="231" spans="1:24" x14ac:dyDescent="0.25">
      <c r="A231" s="4" t="s">
        <v>262</v>
      </c>
      <c r="B231" s="4">
        <f>(100000*(1+(30707-15380)/15380)/118231)</f>
        <v>1.6886890630966982</v>
      </c>
      <c r="C231" s="4">
        <f>(100000*(1+(30707-15380)/15380)/118231)</f>
        <v>1.6886890630966982</v>
      </c>
      <c r="D231" s="4" t="s">
        <v>76</v>
      </c>
      <c r="E231" s="4">
        <v>17</v>
      </c>
      <c r="F231" s="4">
        <v>0.9</v>
      </c>
      <c r="G231" s="4">
        <v>0.4</v>
      </c>
      <c r="H231" s="144" t="s">
        <v>16</v>
      </c>
      <c r="I231" s="117" t="s">
        <v>308</v>
      </c>
      <c r="K231" s="4" t="s">
        <v>79</v>
      </c>
      <c r="L231" s="150">
        <v>0.06</v>
      </c>
      <c r="M231" s="150">
        <v>0.06</v>
      </c>
      <c r="N231" s="4" t="s">
        <v>57</v>
      </c>
      <c r="O231" s="4">
        <v>17</v>
      </c>
      <c r="P231" s="4">
        <v>0.9</v>
      </c>
      <c r="Q231" s="4">
        <v>0.4</v>
      </c>
      <c r="R231" s="144" t="s">
        <v>43</v>
      </c>
      <c r="S231" s="117" t="s">
        <v>74</v>
      </c>
      <c r="W231" s="4" t="s">
        <v>255</v>
      </c>
      <c r="X231" s="4" t="s">
        <v>287</v>
      </c>
    </row>
    <row r="232" spans="1:24" x14ac:dyDescent="0.25">
      <c r="I232" s="117"/>
      <c r="K232" s="4" t="s">
        <v>81</v>
      </c>
      <c r="L232" s="4">
        <f>AC216</f>
        <v>0</v>
      </c>
      <c r="M232" s="4">
        <f>AD216</f>
        <v>0</v>
      </c>
      <c r="N232" s="4" t="s">
        <v>76</v>
      </c>
      <c r="O232" s="4">
        <f>$E$4</f>
        <v>17</v>
      </c>
      <c r="P232" s="4">
        <f>$F$4</f>
        <v>0.9</v>
      </c>
      <c r="Q232" s="4">
        <f>$G$4</f>
        <v>0.4</v>
      </c>
      <c r="R232" s="144" t="s">
        <v>312</v>
      </c>
      <c r="S232" s="118" t="s">
        <v>286</v>
      </c>
      <c r="W232" s="4" t="s">
        <v>260</v>
      </c>
      <c r="X232" s="4" t="s">
        <v>295</v>
      </c>
    </row>
    <row r="233" spans="1:24" x14ac:dyDescent="0.25">
      <c r="I233" s="117"/>
    </row>
    <row r="234" spans="1:24" x14ac:dyDescent="0.25">
      <c r="E234" s="4" t="s">
        <v>2</v>
      </c>
      <c r="H234" s="4" t="s">
        <v>3</v>
      </c>
      <c r="I234" s="117"/>
    </row>
    <row r="235" spans="1:24" x14ac:dyDescent="0.25">
      <c r="A235" s="25" t="s">
        <v>185</v>
      </c>
      <c r="B235" s="4">
        <v>2023</v>
      </c>
      <c r="C235" s="4">
        <v>2050</v>
      </c>
      <c r="D235" s="4" t="s">
        <v>5</v>
      </c>
      <c r="E235" s="4" t="s">
        <v>8</v>
      </c>
      <c r="F235" s="4" t="s">
        <v>9</v>
      </c>
      <c r="G235" s="4" t="s">
        <v>10</v>
      </c>
      <c r="I235" s="117"/>
      <c r="O235" s="4" t="s">
        <v>2</v>
      </c>
      <c r="R235" s="4" t="s">
        <v>3</v>
      </c>
      <c r="S235" s="117"/>
    </row>
    <row r="236" spans="1:24" x14ac:dyDescent="0.25">
      <c r="A236" s="4" t="s">
        <v>14</v>
      </c>
      <c r="B236" s="113">
        <v>1000000</v>
      </c>
      <c r="C236" s="4">
        <v>1000000</v>
      </c>
      <c r="D236" s="4" t="s">
        <v>15</v>
      </c>
      <c r="E236" s="4">
        <v>17</v>
      </c>
      <c r="F236" s="4">
        <v>0.9</v>
      </c>
      <c r="G236" s="4">
        <v>0.4</v>
      </c>
      <c r="H236" s="144" t="s">
        <v>299</v>
      </c>
      <c r="I236" s="118" t="s">
        <v>174</v>
      </c>
      <c r="K236" s="25" t="s">
        <v>103</v>
      </c>
      <c r="L236" s="4">
        <v>2023</v>
      </c>
      <c r="M236" s="4">
        <v>2050</v>
      </c>
      <c r="N236" s="4" t="s">
        <v>5</v>
      </c>
      <c r="O236" s="4" t="s">
        <v>8</v>
      </c>
      <c r="P236" s="4" t="s">
        <v>9</v>
      </c>
      <c r="Q236" s="4" t="s">
        <v>10</v>
      </c>
      <c r="S236" s="117"/>
    </row>
    <row r="237" spans="1:24" x14ac:dyDescent="0.25">
      <c r="A237" s="4" t="s">
        <v>25</v>
      </c>
      <c r="B237" s="4">
        <f>-B236*0.1</f>
        <v>-100000</v>
      </c>
      <c r="C237" s="4">
        <f>-C236*0.1</f>
        <v>-100000</v>
      </c>
      <c r="D237" s="4" t="s">
        <v>15</v>
      </c>
      <c r="E237" s="4">
        <v>17</v>
      </c>
      <c r="F237" s="4">
        <v>0.9</v>
      </c>
      <c r="G237" s="4">
        <v>0.4</v>
      </c>
      <c r="H237" s="144" t="s">
        <v>299</v>
      </c>
      <c r="I237" s="117" t="s">
        <v>175</v>
      </c>
      <c r="K237" s="4" t="s">
        <v>18</v>
      </c>
      <c r="L237" s="4">
        <f>L212*2</f>
        <v>30000000</v>
      </c>
      <c r="M237" s="4">
        <f>M212*1.3</f>
        <v>19500000</v>
      </c>
      <c r="N237" s="4" t="s">
        <v>15</v>
      </c>
      <c r="O237" s="4">
        <v>17</v>
      </c>
      <c r="P237" s="4">
        <v>0.9</v>
      </c>
      <c r="Q237" s="4">
        <v>0.4</v>
      </c>
      <c r="R237" s="144" t="s">
        <v>321</v>
      </c>
      <c r="S237" s="117" t="s">
        <v>285</v>
      </c>
    </row>
    <row r="238" spans="1:24" x14ac:dyDescent="0.25">
      <c r="A238" s="4" t="s">
        <v>37</v>
      </c>
      <c r="B238" s="4">
        <f>(793000+106000+128000)/0.85</f>
        <v>1208235.294117647</v>
      </c>
      <c r="C238" s="4">
        <f>(793000+106000+128000)/0.85</f>
        <v>1208235.294117647</v>
      </c>
      <c r="D238" s="4" t="s">
        <v>38</v>
      </c>
      <c r="E238" s="4">
        <v>17</v>
      </c>
      <c r="F238" s="4">
        <v>0.9</v>
      </c>
      <c r="G238" s="4">
        <v>0.4</v>
      </c>
      <c r="H238" s="144" t="s">
        <v>324</v>
      </c>
      <c r="I238" s="117" t="s">
        <v>309</v>
      </c>
      <c r="K238" s="4" t="s">
        <v>28</v>
      </c>
      <c r="L238" s="4">
        <f>-L237*0.05</f>
        <v>-1500000</v>
      </c>
      <c r="M238" s="4">
        <f>-M237*0.1</f>
        <v>-1950000</v>
      </c>
      <c r="N238" s="4" t="s">
        <v>15</v>
      </c>
      <c r="O238" s="4">
        <v>17</v>
      </c>
      <c r="P238" s="4">
        <v>0.9</v>
      </c>
      <c r="Q238" s="4">
        <v>0.4</v>
      </c>
      <c r="R238" s="144" t="s">
        <v>26</v>
      </c>
      <c r="S238" s="117" t="s">
        <v>182</v>
      </c>
    </row>
    <row r="239" spans="1:24" x14ac:dyDescent="0.25">
      <c r="A239" s="4" t="s">
        <v>48</v>
      </c>
      <c r="B239" s="4">
        <v>9450</v>
      </c>
      <c r="C239" s="4">
        <v>9450</v>
      </c>
      <c r="D239" s="4" t="s">
        <v>49</v>
      </c>
      <c r="E239" s="4">
        <v>17</v>
      </c>
      <c r="F239" s="4">
        <v>0.9</v>
      </c>
      <c r="G239" s="4">
        <v>0.4</v>
      </c>
      <c r="H239" s="144" t="s">
        <v>323</v>
      </c>
      <c r="I239" s="117" t="s">
        <v>300</v>
      </c>
      <c r="K239" s="4" t="s">
        <v>41</v>
      </c>
      <c r="L239" s="4">
        <v>25</v>
      </c>
      <c r="M239" s="4">
        <v>25</v>
      </c>
      <c r="N239" s="4" t="s">
        <v>42</v>
      </c>
      <c r="O239" s="4">
        <v>17</v>
      </c>
      <c r="P239" s="4">
        <v>0.9</v>
      </c>
      <c r="Q239" s="4">
        <v>0.4</v>
      </c>
      <c r="R239" s="144" t="s">
        <v>43</v>
      </c>
      <c r="S239" s="117" t="s">
        <v>74</v>
      </c>
    </row>
    <row r="240" spans="1:24" x14ac:dyDescent="0.25">
      <c r="A240" s="4" t="s">
        <v>56</v>
      </c>
      <c r="B240" s="150">
        <f>39%/C206</f>
        <v>0.52</v>
      </c>
      <c r="C240" s="150">
        <f>39%/C206</f>
        <v>0.52</v>
      </c>
      <c r="D240" s="4" t="s">
        <v>57</v>
      </c>
      <c r="E240" s="4">
        <v>17</v>
      </c>
      <c r="F240" s="4">
        <v>0.9</v>
      </c>
      <c r="G240" s="4">
        <v>0.4</v>
      </c>
      <c r="H240" s="144" t="s">
        <v>16</v>
      </c>
      <c r="I240" s="117" t="s">
        <v>303</v>
      </c>
      <c r="K240" s="4" t="s">
        <v>52</v>
      </c>
      <c r="L240" s="4">
        <f>(84000+122000+82000)/0.85</f>
        <v>338823.5294117647</v>
      </c>
      <c r="M240" s="4">
        <f>(84000+122000+82000)/0.85</f>
        <v>338823.5294117647</v>
      </c>
      <c r="N240" s="4" t="s">
        <v>38</v>
      </c>
      <c r="O240" s="4">
        <v>17</v>
      </c>
      <c r="P240" s="4">
        <v>0.9</v>
      </c>
      <c r="Q240" s="4">
        <v>0.4</v>
      </c>
      <c r="R240" s="144" t="s">
        <v>9</v>
      </c>
      <c r="S240" s="117" t="s">
        <v>311</v>
      </c>
    </row>
    <row r="241" spans="1:19" x14ac:dyDescent="0.25">
      <c r="A241" s="4" t="s">
        <v>64</v>
      </c>
      <c r="B241" s="4">
        <v>120000</v>
      </c>
      <c r="C241" s="4">
        <v>120000</v>
      </c>
      <c r="D241" s="4" t="s">
        <v>65</v>
      </c>
      <c r="E241" s="4">
        <v>17</v>
      </c>
      <c r="F241" s="4">
        <v>0.9</v>
      </c>
      <c r="G241" s="4">
        <v>0.4</v>
      </c>
      <c r="H241" s="144" t="s">
        <v>305</v>
      </c>
      <c r="I241" s="117" t="s">
        <v>306</v>
      </c>
      <c r="K241" s="4" t="s">
        <v>59</v>
      </c>
      <c r="L241" s="4">
        <v>589</v>
      </c>
      <c r="M241" s="4">
        <v>519</v>
      </c>
      <c r="N241" s="4" t="s">
        <v>60</v>
      </c>
      <c r="O241" s="4">
        <v>17</v>
      </c>
      <c r="P241" s="4">
        <v>0.9</v>
      </c>
      <c r="Q241" s="4">
        <v>0.4</v>
      </c>
      <c r="R241" s="144" t="s">
        <v>43</v>
      </c>
      <c r="S241" s="117" t="s">
        <v>183</v>
      </c>
    </row>
    <row r="242" spans="1:19" x14ac:dyDescent="0.25">
      <c r="A242" s="4" t="s">
        <v>70</v>
      </c>
      <c r="B242" s="4">
        <v>25</v>
      </c>
      <c r="C242" s="4">
        <v>25</v>
      </c>
      <c r="D242" s="4" t="s">
        <v>42</v>
      </c>
      <c r="E242" s="4">
        <v>17</v>
      </c>
      <c r="F242" s="4">
        <v>0.9</v>
      </c>
      <c r="G242" s="4">
        <v>0.4</v>
      </c>
      <c r="H242" s="144" t="s">
        <v>43</v>
      </c>
      <c r="I242" s="117" t="s">
        <v>74</v>
      </c>
      <c r="K242" s="4" t="s">
        <v>67</v>
      </c>
      <c r="L242" s="65">
        <f t="shared" ref="L242:Q242" si="7">B9</f>
        <v>0.2544561408768215</v>
      </c>
      <c r="M242" s="65">
        <f t="shared" si="7"/>
        <v>0.10949010032952979</v>
      </c>
      <c r="N242" s="65" t="str">
        <f t="shared" si="7"/>
        <v>[€/kWh]</v>
      </c>
      <c r="O242" s="65">
        <f t="shared" si="7"/>
        <v>12</v>
      </c>
      <c r="P242" s="65">
        <f t="shared" si="7"/>
        <v>0.9</v>
      </c>
      <c r="Q242" s="65">
        <f t="shared" si="7"/>
        <v>0.4</v>
      </c>
      <c r="R242" s="144" t="s">
        <v>43</v>
      </c>
      <c r="S242" s="118" t="s">
        <v>290</v>
      </c>
    </row>
    <row r="243" spans="1:19" x14ac:dyDescent="0.25">
      <c r="A243" s="4" t="s">
        <v>262</v>
      </c>
      <c r="B243" s="4">
        <f>(100000*(1+(14780-15380)/15380)/118231)</f>
        <v>0.81280569096848254</v>
      </c>
      <c r="C243" s="4">
        <f>(100000*(1+(14780-15380)/15380)/118231)</f>
        <v>0.81280569096848254</v>
      </c>
      <c r="D243" s="4" t="s">
        <v>76</v>
      </c>
      <c r="E243" s="4">
        <v>17</v>
      </c>
      <c r="F243" s="4">
        <v>0.9</v>
      </c>
      <c r="G243" s="4">
        <v>0.4</v>
      </c>
      <c r="H243" s="144" t="s">
        <v>16</v>
      </c>
      <c r="I243" s="117" t="s">
        <v>308</v>
      </c>
      <c r="K243" s="4" t="s">
        <v>73</v>
      </c>
      <c r="L243" s="150">
        <v>0.1</v>
      </c>
      <c r="M243" s="150">
        <v>0.08</v>
      </c>
      <c r="N243" s="4" t="s">
        <v>57</v>
      </c>
      <c r="O243" s="4">
        <v>17</v>
      </c>
      <c r="P243" s="4">
        <v>0.9</v>
      </c>
      <c r="Q243" s="4">
        <v>0.4</v>
      </c>
      <c r="R243" s="144" t="s">
        <v>255</v>
      </c>
      <c r="S243" s="117" t="s">
        <v>184</v>
      </c>
    </row>
    <row r="244" spans="1:19" x14ac:dyDescent="0.25">
      <c r="I244" s="117"/>
      <c r="K244" s="4" t="s">
        <v>79</v>
      </c>
      <c r="L244" s="150">
        <v>0.06</v>
      </c>
      <c r="M244" s="150">
        <v>0.06</v>
      </c>
      <c r="N244" s="4" t="s">
        <v>57</v>
      </c>
      <c r="O244" s="4">
        <v>17</v>
      </c>
      <c r="P244" s="4">
        <v>0.9</v>
      </c>
      <c r="Q244" s="4">
        <v>0.4</v>
      </c>
      <c r="R244" s="144" t="s">
        <v>43</v>
      </c>
      <c r="S244" s="117" t="s">
        <v>74</v>
      </c>
    </row>
    <row r="245" spans="1:19" x14ac:dyDescent="0.25">
      <c r="I245" s="117"/>
      <c r="K245" s="4" t="s">
        <v>81</v>
      </c>
      <c r="L245" s="4">
        <f>AH216</f>
        <v>0</v>
      </c>
      <c r="M245" s="4">
        <f>AI216</f>
        <v>0</v>
      </c>
      <c r="N245" s="4" t="s">
        <v>76</v>
      </c>
      <c r="O245" s="4">
        <f>$E$4</f>
        <v>17</v>
      </c>
      <c r="P245" s="4">
        <f>$F$4</f>
        <v>0.9</v>
      </c>
      <c r="Q245" s="4">
        <f>$G$4</f>
        <v>0.4</v>
      </c>
      <c r="R245" s="144" t="s">
        <v>313</v>
      </c>
      <c r="S245" s="118" t="s">
        <v>289</v>
      </c>
    </row>
    <row r="246" spans="1:19" x14ac:dyDescent="0.25">
      <c r="I246" s="117"/>
      <c r="S246" s="117"/>
    </row>
    <row r="247" spans="1:19" x14ac:dyDescent="0.25">
      <c r="E247" s="4" t="s">
        <v>2</v>
      </c>
      <c r="H247" s="4" t="s">
        <v>3</v>
      </c>
      <c r="I247" s="117"/>
      <c r="O247" s="4" t="s">
        <v>2</v>
      </c>
      <c r="R247" s="4" t="s">
        <v>3</v>
      </c>
      <c r="S247" s="117"/>
    </row>
    <row r="248" spans="1:19" x14ac:dyDescent="0.25">
      <c r="A248" s="25" t="s">
        <v>188</v>
      </c>
      <c r="B248" s="4">
        <v>2023</v>
      </c>
      <c r="C248" s="4">
        <v>2050</v>
      </c>
      <c r="D248" s="4" t="s">
        <v>5</v>
      </c>
      <c r="E248" s="4" t="s">
        <v>8</v>
      </c>
      <c r="F248" s="4" t="s">
        <v>9</v>
      </c>
      <c r="G248" s="4" t="s">
        <v>10</v>
      </c>
      <c r="I248" s="117"/>
      <c r="K248" s="25" t="s">
        <v>186</v>
      </c>
      <c r="L248" s="4">
        <v>2023</v>
      </c>
      <c r="M248" s="4">
        <v>2050</v>
      </c>
      <c r="N248" s="4" t="s">
        <v>5</v>
      </c>
      <c r="O248" s="4" t="s">
        <v>8</v>
      </c>
      <c r="P248" s="4" t="s">
        <v>9</v>
      </c>
      <c r="Q248" s="4" t="s">
        <v>10</v>
      </c>
      <c r="S248" s="117"/>
    </row>
    <row r="249" spans="1:19" x14ac:dyDescent="0.25">
      <c r="A249" s="4" t="s">
        <v>14</v>
      </c>
      <c r="B249" s="113">
        <v>1000000</v>
      </c>
      <c r="C249" s="4">
        <v>1000000</v>
      </c>
      <c r="D249" s="4" t="s">
        <v>15</v>
      </c>
      <c r="E249" s="4">
        <v>17</v>
      </c>
      <c r="F249" s="4">
        <v>0.9</v>
      </c>
      <c r="G249" s="4">
        <v>0.4</v>
      </c>
      <c r="H249" s="144" t="s">
        <v>299</v>
      </c>
      <c r="I249" s="118" t="s">
        <v>174</v>
      </c>
      <c r="K249" s="4" t="s">
        <v>18</v>
      </c>
      <c r="L249" s="4">
        <f>L212*2</f>
        <v>30000000</v>
      </c>
      <c r="M249" s="4">
        <f>M212*1.2</f>
        <v>18000000</v>
      </c>
      <c r="N249" s="4" t="s">
        <v>15</v>
      </c>
      <c r="O249" s="4">
        <v>17</v>
      </c>
      <c r="P249" s="4">
        <v>0.9</v>
      </c>
      <c r="Q249" s="4">
        <v>0.4</v>
      </c>
      <c r="R249" s="144" t="s">
        <v>320</v>
      </c>
      <c r="S249" s="117" t="s">
        <v>285</v>
      </c>
    </row>
    <row r="250" spans="1:19" x14ac:dyDescent="0.25">
      <c r="A250" s="4" t="s">
        <v>25</v>
      </c>
      <c r="B250" s="4">
        <f>-B249*0.1</f>
        <v>-100000</v>
      </c>
      <c r="C250" s="4">
        <f>-C249*0.1</f>
        <v>-100000</v>
      </c>
      <c r="D250" s="4" t="s">
        <v>15</v>
      </c>
      <c r="E250" s="4">
        <v>17</v>
      </c>
      <c r="F250" s="4">
        <v>0.9</v>
      </c>
      <c r="G250" s="4">
        <v>0.4</v>
      </c>
      <c r="H250" s="144" t="s">
        <v>299</v>
      </c>
      <c r="I250" s="117" t="s">
        <v>175</v>
      </c>
      <c r="K250" s="4" t="s">
        <v>28</v>
      </c>
      <c r="L250" s="4">
        <f>-L249*0.05</f>
        <v>-1500000</v>
      </c>
      <c r="M250" s="4">
        <f>-M249*0.1</f>
        <v>-1800000</v>
      </c>
      <c r="N250" s="4" t="s">
        <v>15</v>
      </c>
      <c r="O250" s="4">
        <v>17</v>
      </c>
      <c r="P250" s="4">
        <v>0.9</v>
      </c>
      <c r="Q250" s="4">
        <v>0.4</v>
      </c>
      <c r="R250" s="144" t="s">
        <v>26</v>
      </c>
      <c r="S250" s="117" t="s">
        <v>182</v>
      </c>
    </row>
    <row r="251" spans="1:19" x14ac:dyDescent="0.25">
      <c r="A251" s="4" t="s">
        <v>37</v>
      </c>
      <c r="B251" s="4">
        <f>(793000+106000+128000)/0.85</f>
        <v>1208235.294117647</v>
      </c>
      <c r="C251" s="4">
        <f>(793000+106000+128000)/0.85</f>
        <v>1208235.294117647</v>
      </c>
      <c r="D251" s="4" t="s">
        <v>38</v>
      </c>
      <c r="E251" s="4">
        <v>17</v>
      </c>
      <c r="F251" s="4">
        <v>0.9</v>
      </c>
      <c r="G251" s="4">
        <v>0.4</v>
      </c>
      <c r="H251" s="144" t="s">
        <v>324</v>
      </c>
      <c r="I251" s="117" t="s">
        <v>309</v>
      </c>
      <c r="K251" s="4" t="s">
        <v>41</v>
      </c>
      <c r="L251" s="4">
        <v>25</v>
      </c>
      <c r="M251" s="4">
        <v>25</v>
      </c>
      <c r="N251" s="4" t="s">
        <v>42</v>
      </c>
      <c r="O251" s="4">
        <v>17</v>
      </c>
      <c r="P251" s="4">
        <v>0.9</v>
      </c>
      <c r="Q251" s="4">
        <v>0.4</v>
      </c>
      <c r="R251" s="144" t="s">
        <v>43</v>
      </c>
      <c r="S251" s="117" t="s">
        <v>74</v>
      </c>
    </row>
    <row r="252" spans="1:19" x14ac:dyDescent="0.25">
      <c r="A252" s="4" t="s">
        <v>48</v>
      </c>
      <c r="B252" s="4">
        <v>9450</v>
      </c>
      <c r="C252" s="4">
        <v>9450</v>
      </c>
      <c r="D252" s="4" t="s">
        <v>49</v>
      </c>
      <c r="E252" s="4">
        <v>17</v>
      </c>
      <c r="F252" s="4">
        <v>0.9</v>
      </c>
      <c r="G252" s="4">
        <v>0.4</v>
      </c>
      <c r="H252" s="144" t="s">
        <v>323</v>
      </c>
      <c r="I252" s="117" t="s">
        <v>300</v>
      </c>
      <c r="K252" s="4" t="s">
        <v>52</v>
      </c>
      <c r="L252" s="4">
        <f>(84000+122000+82000)/0.85</f>
        <v>338823.5294117647</v>
      </c>
      <c r="M252" s="4">
        <f>(84000+122000+82000)/0.85</f>
        <v>338823.5294117647</v>
      </c>
      <c r="N252" s="4" t="s">
        <v>38</v>
      </c>
      <c r="O252" s="4">
        <v>17</v>
      </c>
      <c r="P252" s="4">
        <v>0.9</v>
      </c>
      <c r="Q252" s="4">
        <v>0.4</v>
      </c>
      <c r="R252" s="144" t="s">
        <v>9</v>
      </c>
      <c r="S252" s="117" t="s">
        <v>311</v>
      </c>
    </row>
    <row r="253" spans="1:19" x14ac:dyDescent="0.25">
      <c r="A253" s="4" t="s">
        <v>56</v>
      </c>
      <c r="B253" s="150">
        <f>51%/C206</f>
        <v>0.68</v>
      </c>
      <c r="C253" s="150">
        <f>51%/C206</f>
        <v>0.68</v>
      </c>
      <c r="D253" s="4" t="s">
        <v>57</v>
      </c>
      <c r="E253" s="4">
        <v>17</v>
      </c>
      <c r="F253" s="4">
        <v>0.9</v>
      </c>
      <c r="G253" s="4">
        <v>0.4</v>
      </c>
      <c r="H253" s="144" t="s">
        <v>16</v>
      </c>
      <c r="I253" s="117" t="s">
        <v>304</v>
      </c>
      <c r="K253" s="4" t="s">
        <v>59</v>
      </c>
      <c r="L253" s="4">
        <v>589</v>
      </c>
      <c r="M253" s="4">
        <v>519</v>
      </c>
      <c r="N253" s="4" t="s">
        <v>60</v>
      </c>
      <c r="O253" s="4">
        <v>17</v>
      </c>
      <c r="P253" s="4">
        <v>0.9</v>
      </c>
      <c r="Q253" s="4">
        <v>0.4</v>
      </c>
      <c r="R253" s="144" t="s">
        <v>43</v>
      </c>
      <c r="S253" s="117" t="s">
        <v>183</v>
      </c>
    </row>
    <row r="254" spans="1:19" x14ac:dyDescent="0.25">
      <c r="A254" s="4" t="s">
        <v>64</v>
      </c>
      <c r="B254" s="4">
        <v>120000</v>
      </c>
      <c r="C254" s="4">
        <v>120000</v>
      </c>
      <c r="D254" s="4" t="s">
        <v>65</v>
      </c>
      <c r="E254" s="4">
        <v>17</v>
      </c>
      <c r="F254" s="4">
        <v>0.9</v>
      </c>
      <c r="G254" s="4">
        <v>0.4</v>
      </c>
      <c r="H254" s="144" t="s">
        <v>305</v>
      </c>
      <c r="I254" s="117" t="s">
        <v>306</v>
      </c>
      <c r="K254" s="4" t="s">
        <v>67</v>
      </c>
      <c r="L254" s="4">
        <f t="shared" ref="L254:Q254" si="8">B10</f>
        <v>0.23976160758395154</v>
      </c>
      <c r="M254" s="4">
        <f t="shared" si="8"/>
        <v>0.11428118371505049</v>
      </c>
      <c r="N254" s="4" t="str">
        <f t="shared" si="8"/>
        <v>[€/kWh]</v>
      </c>
      <c r="O254" s="4">
        <f t="shared" si="8"/>
        <v>14</v>
      </c>
      <c r="P254" s="4">
        <f t="shared" si="8"/>
        <v>0.9</v>
      </c>
      <c r="Q254" s="4">
        <f t="shared" si="8"/>
        <v>0.4</v>
      </c>
      <c r="R254" s="144" t="s">
        <v>43</v>
      </c>
      <c r="S254" s="117" t="s">
        <v>290</v>
      </c>
    </row>
    <row r="255" spans="1:19" x14ac:dyDescent="0.25">
      <c r="A255" s="4" t="s">
        <v>70</v>
      </c>
      <c r="B255" s="4">
        <v>25</v>
      </c>
      <c r="C255" s="4">
        <v>25</v>
      </c>
      <c r="D255" s="4" t="s">
        <v>42</v>
      </c>
      <c r="E255" s="4">
        <v>17</v>
      </c>
      <c r="F255" s="4">
        <v>0.9</v>
      </c>
      <c r="G255" s="4">
        <v>0.4</v>
      </c>
      <c r="H255" s="144" t="s">
        <v>43</v>
      </c>
      <c r="I255" s="117" t="s">
        <v>74</v>
      </c>
      <c r="K255" s="4" t="s">
        <v>73</v>
      </c>
      <c r="L255" s="150">
        <v>0.08</v>
      </c>
      <c r="M255" s="150">
        <v>7.0000000000000007E-2</v>
      </c>
      <c r="N255" s="4" t="s">
        <v>57</v>
      </c>
      <c r="O255" s="4">
        <v>17</v>
      </c>
      <c r="P255" s="4">
        <v>0.9</v>
      </c>
      <c r="Q255" s="4">
        <v>0.4</v>
      </c>
      <c r="R255" s="144" t="s">
        <v>43</v>
      </c>
      <c r="S255" s="117" t="s">
        <v>184</v>
      </c>
    </row>
    <row r="256" spans="1:19" x14ac:dyDescent="0.25">
      <c r="A256" s="4" t="s">
        <v>262</v>
      </c>
      <c r="B256" s="4">
        <f>(100000*(1+(14780-15380)/15380)/118231)</f>
        <v>0.81280569096848254</v>
      </c>
      <c r="C256" s="4">
        <f>(100000*(1+(14780-15380)/15380)/118231)</f>
        <v>0.81280569096848254</v>
      </c>
      <c r="D256" s="4" t="s">
        <v>76</v>
      </c>
      <c r="E256" s="4">
        <v>17</v>
      </c>
      <c r="F256" s="4">
        <v>0.9</v>
      </c>
      <c r="G256" s="4">
        <v>0.4</v>
      </c>
      <c r="H256" s="144" t="s">
        <v>16</v>
      </c>
      <c r="I256" s="117" t="s">
        <v>308</v>
      </c>
      <c r="K256" s="4" t="s">
        <v>79</v>
      </c>
      <c r="L256" s="150">
        <v>0.06</v>
      </c>
      <c r="M256" s="150">
        <v>0.06</v>
      </c>
      <c r="N256" s="4" t="s">
        <v>57</v>
      </c>
      <c r="O256" s="4">
        <v>17</v>
      </c>
      <c r="P256" s="4">
        <v>0.9</v>
      </c>
      <c r="Q256" s="4">
        <v>0.4</v>
      </c>
      <c r="R256" s="144" t="s">
        <v>43</v>
      </c>
      <c r="S256" s="117" t="s">
        <v>74</v>
      </c>
    </row>
    <row r="257" spans="2:19" x14ac:dyDescent="0.25">
      <c r="I257" s="117"/>
      <c r="K257" s="4" t="s">
        <v>81</v>
      </c>
      <c r="L257" s="4">
        <f>AM216</f>
        <v>0</v>
      </c>
      <c r="M257" s="4">
        <f>AN216</f>
        <v>0</v>
      </c>
      <c r="N257" s="4" t="s">
        <v>76</v>
      </c>
      <c r="O257" s="4">
        <f>$E$4</f>
        <v>17</v>
      </c>
      <c r="P257" s="4">
        <f>$F$4</f>
        <v>0.9</v>
      </c>
      <c r="Q257" s="4">
        <f>$G$4</f>
        <v>0.4</v>
      </c>
      <c r="R257" s="144" t="s">
        <v>313</v>
      </c>
      <c r="S257" s="118" t="s">
        <v>297</v>
      </c>
    </row>
    <row r="258" spans="2:19" x14ac:dyDescent="0.25">
      <c r="S258" s="117"/>
    </row>
    <row r="259" spans="2:19" x14ac:dyDescent="0.25">
      <c r="O259" s="4" t="s">
        <v>2</v>
      </c>
      <c r="R259" s="4" t="s">
        <v>3</v>
      </c>
      <c r="S259" s="117"/>
    </row>
    <row r="260" spans="2:19" x14ac:dyDescent="0.25">
      <c r="K260" s="25" t="s">
        <v>187</v>
      </c>
      <c r="L260" s="4">
        <v>2023</v>
      </c>
      <c r="M260" s="4">
        <v>2050</v>
      </c>
      <c r="N260" s="4" t="s">
        <v>5</v>
      </c>
      <c r="O260" s="4" t="s">
        <v>8</v>
      </c>
      <c r="P260" s="4" t="s">
        <v>9</v>
      </c>
      <c r="Q260" s="4" t="s">
        <v>10</v>
      </c>
      <c r="S260" s="117"/>
    </row>
    <row r="261" spans="2:19" x14ac:dyDescent="0.25">
      <c r="K261" s="4" t="s">
        <v>18</v>
      </c>
      <c r="L261" s="4">
        <f>L212*1.3</f>
        <v>19500000</v>
      </c>
      <c r="M261" s="4">
        <f>M212</f>
        <v>15000000</v>
      </c>
      <c r="N261" s="4" t="s">
        <v>15</v>
      </c>
      <c r="O261" s="4">
        <v>17</v>
      </c>
      <c r="P261" s="4">
        <v>0.9</v>
      </c>
      <c r="Q261" s="4">
        <v>0.4</v>
      </c>
      <c r="R261" s="144" t="s">
        <v>322</v>
      </c>
      <c r="S261" s="117" t="s">
        <v>189</v>
      </c>
    </row>
    <row r="262" spans="2:19" x14ac:dyDescent="0.25">
      <c r="K262" s="4" t="s">
        <v>28</v>
      </c>
      <c r="L262" s="4">
        <f>-L261*0.05</f>
        <v>-975000</v>
      </c>
      <c r="M262" s="4">
        <f>-M261*0.1</f>
        <v>-1500000</v>
      </c>
      <c r="N262" s="4" t="s">
        <v>15</v>
      </c>
      <c r="O262" s="4">
        <v>17</v>
      </c>
      <c r="P262" s="4">
        <v>0.9</v>
      </c>
      <c r="Q262" s="4">
        <v>0.4</v>
      </c>
      <c r="R262" s="144" t="s">
        <v>26</v>
      </c>
      <c r="S262" s="117" t="s">
        <v>182</v>
      </c>
    </row>
    <row r="263" spans="2:19" x14ac:dyDescent="0.25">
      <c r="B263" s="150"/>
      <c r="K263" s="4" t="s">
        <v>41</v>
      </c>
      <c r="L263" s="4">
        <v>25</v>
      </c>
      <c r="M263" s="4">
        <v>25</v>
      </c>
      <c r="N263" s="4" t="s">
        <v>42</v>
      </c>
      <c r="O263" s="4">
        <v>17</v>
      </c>
      <c r="P263" s="4">
        <v>0.9</v>
      </c>
      <c r="Q263" s="4">
        <v>0.4</v>
      </c>
      <c r="R263" s="144" t="s">
        <v>43</v>
      </c>
      <c r="S263" s="117" t="s">
        <v>74</v>
      </c>
    </row>
    <row r="264" spans="2:19" x14ac:dyDescent="0.25">
      <c r="K264" s="4" t="s">
        <v>52</v>
      </c>
      <c r="L264" s="4">
        <f>(84000+127000+122000+82000)/0.85</f>
        <v>488235.29411764705</v>
      </c>
      <c r="M264" s="4">
        <f>(84000+127000+122000+82000)/0.85</f>
        <v>488235.29411764705</v>
      </c>
      <c r="N264" s="4" t="s">
        <v>38</v>
      </c>
      <c r="O264" s="4">
        <v>17</v>
      </c>
      <c r="P264" s="4">
        <v>0.9</v>
      </c>
      <c r="Q264" s="4">
        <v>0.4</v>
      </c>
      <c r="R264" s="144" t="s">
        <v>9</v>
      </c>
      <c r="S264" s="117" t="s">
        <v>310</v>
      </c>
    </row>
    <row r="265" spans="2:19" x14ac:dyDescent="0.25">
      <c r="K265" s="4" t="s">
        <v>59</v>
      </c>
      <c r="L265" s="4">
        <v>647</v>
      </c>
      <c r="M265" s="4">
        <v>600</v>
      </c>
      <c r="N265" s="4" t="s">
        <v>60</v>
      </c>
      <c r="O265" s="4">
        <v>17</v>
      </c>
      <c r="P265" s="4">
        <v>0.9</v>
      </c>
      <c r="Q265" s="4">
        <v>0.4</v>
      </c>
      <c r="R265" s="144" t="s">
        <v>43</v>
      </c>
      <c r="S265" s="117" t="s">
        <v>190</v>
      </c>
    </row>
    <row r="266" spans="2:19" x14ac:dyDescent="0.25">
      <c r="K266" s="4" t="s">
        <v>67</v>
      </c>
      <c r="L266" s="4">
        <f t="shared" ref="L266:Q266" si="9">B11</f>
        <v>0.46076973995226939</v>
      </c>
      <c r="M266" s="4">
        <f t="shared" si="9"/>
        <v>0.14224714585492179</v>
      </c>
      <c r="N266" s="4" t="str">
        <f t="shared" si="9"/>
        <v>[€/kWh]</v>
      </c>
      <c r="O266" s="4">
        <f t="shared" si="9"/>
        <v>17</v>
      </c>
      <c r="P266" s="4">
        <f t="shared" si="9"/>
        <v>0.9</v>
      </c>
      <c r="Q266" s="4">
        <f t="shared" si="9"/>
        <v>0.4</v>
      </c>
      <c r="R266" s="144" t="s">
        <v>260</v>
      </c>
      <c r="S266" s="117" t="s">
        <v>307</v>
      </c>
    </row>
    <row r="267" spans="2:19" x14ac:dyDescent="0.25">
      <c r="K267" s="4" t="s">
        <v>73</v>
      </c>
      <c r="L267" s="150">
        <v>0.04</v>
      </c>
      <c r="M267" s="150">
        <v>0.04</v>
      </c>
      <c r="N267" s="4" t="s">
        <v>57</v>
      </c>
      <c r="O267" s="4">
        <v>17</v>
      </c>
      <c r="P267" s="4">
        <v>0.9</v>
      </c>
      <c r="Q267" s="4">
        <v>0.4</v>
      </c>
      <c r="R267" s="144" t="s">
        <v>77</v>
      </c>
      <c r="S267" s="117" t="s">
        <v>191</v>
      </c>
    </row>
    <row r="268" spans="2:19" x14ac:dyDescent="0.25">
      <c r="K268" s="4" t="s">
        <v>79</v>
      </c>
      <c r="L268" s="150">
        <v>0.06</v>
      </c>
      <c r="M268" s="150">
        <v>0.06</v>
      </c>
      <c r="N268" s="4" t="s">
        <v>57</v>
      </c>
      <c r="O268" s="4">
        <v>17</v>
      </c>
      <c r="P268" s="4">
        <v>0.9</v>
      </c>
      <c r="Q268" s="4">
        <v>0.4</v>
      </c>
      <c r="R268" s="144" t="s">
        <v>43</v>
      </c>
      <c r="S268" s="117" t="s">
        <v>74</v>
      </c>
    </row>
    <row r="269" spans="2:19" x14ac:dyDescent="0.25">
      <c r="K269" s="4" t="s">
        <v>81</v>
      </c>
      <c r="L269" s="4">
        <f>AR216</f>
        <v>0</v>
      </c>
      <c r="M269" s="4">
        <f>AS216</f>
        <v>0</v>
      </c>
      <c r="N269" s="4" t="s">
        <v>76</v>
      </c>
      <c r="O269" s="4">
        <f>$E$4</f>
        <v>17</v>
      </c>
      <c r="P269" s="4">
        <f>$F$4</f>
        <v>0.9</v>
      </c>
      <c r="Q269" s="4">
        <f>$G$4</f>
        <v>0.4</v>
      </c>
      <c r="R269" s="144" t="s">
        <v>313</v>
      </c>
      <c r="S269" s="118" t="s">
        <v>296</v>
      </c>
    </row>
    <row r="272" spans="2:19" x14ac:dyDescent="0.25">
      <c r="S272" s="117"/>
    </row>
    <row r="273" spans="11:13" x14ac:dyDescent="0.25">
      <c r="K273" s="152" t="s">
        <v>298</v>
      </c>
      <c r="L273" s="152"/>
      <c r="M273" s="152"/>
    </row>
    <row r="274" spans="11:13" x14ac:dyDescent="0.25">
      <c r="K274" s="152" t="s">
        <v>192</v>
      </c>
      <c r="L274" s="152"/>
      <c r="M274" s="152"/>
    </row>
    <row r="275" spans="11:13" x14ac:dyDescent="0.25">
      <c r="K275" s="152" t="s">
        <v>193</v>
      </c>
      <c r="L275" s="152">
        <v>5.4722</v>
      </c>
      <c r="M275" s="152" t="s">
        <v>32</v>
      </c>
    </row>
    <row r="276" spans="11:13" x14ac:dyDescent="0.25">
      <c r="K276" s="152" t="s">
        <v>194</v>
      </c>
      <c r="L276" s="152">
        <v>4.3333000000000004</v>
      </c>
      <c r="M276" s="152" t="s">
        <v>145</v>
      </c>
    </row>
    <row r="296" spans="1:19" x14ac:dyDescent="0.25">
      <c r="A296" s="108"/>
      <c r="B296" s="108"/>
      <c r="C296" s="108"/>
      <c r="D296" s="108"/>
      <c r="E296" s="108"/>
      <c r="F296" s="108"/>
      <c r="G296" s="108"/>
      <c r="H296" s="108"/>
      <c r="I296" s="108"/>
      <c r="J296" s="108"/>
      <c r="K296" s="108"/>
      <c r="L296" s="108"/>
      <c r="M296" s="108"/>
      <c r="N296" s="108"/>
      <c r="O296" s="108"/>
      <c r="P296" s="108"/>
      <c r="Q296" s="108"/>
      <c r="R296" s="108"/>
      <c r="S296" s="108"/>
    </row>
  </sheetData>
  <mergeCells count="12">
    <mergeCell ref="AC214:AD214"/>
    <mergeCell ref="X214:Y214"/>
    <mergeCell ref="X149:Y149"/>
    <mergeCell ref="X212:Y212"/>
    <mergeCell ref="X213:Y213"/>
    <mergeCell ref="AC212:AD212"/>
    <mergeCell ref="AC213:AD213"/>
    <mergeCell ref="X77:Y77"/>
    <mergeCell ref="X78:Y78"/>
    <mergeCell ref="X79:Y79"/>
    <mergeCell ref="X147:Y147"/>
    <mergeCell ref="X148:Y148"/>
  </mergeCells>
  <hyperlinks>
    <hyperlink ref="X92" r:id="rId1" xr:uid="{83BCC5A8-01A8-4534-970E-A76BB0698DB1}"/>
    <hyperlink ref="B208" r:id="rId2" xr:uid="{2C3F2E55-FEF5-43D5-B8DD-07A66CBCD4F7}"/>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7109375" bestFit="1" customWidth="1"/>
    <col min="9" max="10" width="24.28515625" bestFit="1" customWidth="1"/>
    <col min="11" max="11" width="8" bestFit="1" customWidth="1"/>
    <col min="12" max="13" width="4" bestFit="1" customWidth="1"/>
  </cols>
  <sheetData>
    <row r="1" spans="1:13" x14ac:dyDescent="0.25">
      <c r="A1" s="125" t="s">
        <v>232</v>
      </c>
      <c r="B1" s="125" t="s">
        <v>219</v>
      </c>
      <c r="C1" s="125" t="s">
        <v>220</v>
      </c>
      <c r="D1" s="125" t="s">
        <v>236</v>
      </c>
      <c r="E1" s="125" t="s">
        <v>249</v>
      </c>
      <c r="F1" s="125" t="s">
        <v>250</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Input'!X$80</f>
        <v>0.77317073170731698</v>
      </c>
      <c r="F2" s="126">
        <f>'Parameter Input'!Y$80</f>
        <v>0.63986543313708999</v>
      </c>
      <c r="G2">
        <f>'Parameter Input'!B$80*'Parameter Input'!B$81</f>
        <v>13.999999999999998</v>
      </c>
      <c r="H2">
        <f>'Parameter Input'!C$80*'Parameter Input'!C$81</f>
        <v>13.999999999999998</v>
      </c>
      <c r="I2" s="131">
        <f>E2/(G2)*1000</f>
        <v>55.226480836236938</v>
      </c>
      <c r="J2" s="131">
        <f>F2/H2*1000</f>
        <v>45.70467379550643</v>
      </c>
      <c r="K2">
        <v>12</v>
      </c>
      <c r="L2">
        <v>0.9</v>
      </c>
      <c r="M2">
        <v>0.4</v>
      </c>
    </row>
    <row r="3" spans="1:13" x14ac:dyDescent="0.25">
      <c r="A3">
        <v>2</v>
      </c>
      <c r="B3" t="s">
        <v>221</v>
      </c>
      <c r="C3" t="s">
        <v>11</v>
      </c>
      <c r="D3" t="s">
        <v>223</v>
      </c>
      <c r="E3" s="126">
        <f>'Parameter Input'!X$80</f>
        <v>0.77317073170731698</v>
      </c>
      <c r="F3" s="126">
        <f>'Parameter Input'!Y$80</f>
        <v>0.63986543313708999</v>
      </c>
      <c r="G3">
        <f>'Parameter Input'!B$92*'Parameter Input'!B$93</f>
        <v>16</v>
      </c>
      <c r="H3">
        <f>'Parameter Input'!C$92*'Parameter Input'!C$93</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Input'!X$80</f>
        <v>0.77317073170731698</v>
      </c>
      <c r="F4" s="126">
        <f>'Parameter Input'!Y$80</f>
        <v>0.63986543313708999</v>
      </c>
      <c r="G4">
        <f>'Parameter Input'!B$105*'Parameter Input'!B$106</f>
        <v>15.333333333333336</v>
      </c>
      <c r="H4">
        <f>'Parameter Input'!C$105*'Parameter Input'!C$106</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Input'!X$80</f>
        <v>0.77317073170731698</v>
      </c>
      <c r="F5" s="126">
        <f>'Parameter Input'!Y$80</f>
        <v>0.63986543313708999</v>
      </c>
      <c r="G5">
        <f>'Parameter Input'!B$118*'Parameter Input'!B$119</f>
        <v>15.333333333333336</v>
      </c>
      <c r="H5">
        <f>'Parameter Input'!C$118*'Parameter Input'!C$119</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Input'!X$80</f>
        <v>0.77317073170731698</v>
      </c>
      <c r="F6" s="126">
        <f>'Parameter Input'!Y$80</f>
        <v>0.63986543313708999</v>
      </c>
      <c r="G6">
        <f>'Parameter Input'!B$132*'Parameter Input'!B$133</f>
        <v>16</v>
      </c>
      <c r="H6">
        <f>'Parameter Input'!C$132*'Parameter Input'!C$133</f>
        <v>16</v>
      </c>
      <c r="I6" s="131">
        <f t="shared" si="0"/>
        <v>48.323170731707314</v>
      </c>
      <c r="J6" s="131">
        <f t="shared" si="1"/>
        <v>39.991589571068126</v>
      </c>
      <c r="K6">
        <v>12</v>
      </c>
      <c r="L6">
        <v>0.9</v>
      </c>
      <c r="M6">
        <v>0.4</v>
      </c>
    </row>
    <row r="7" spans="1:13" x14ac:dyDescent="0.25">
      <c r="A7">
        <v>6</v>
      </c>
      <c r="B7" t="s">
        <v>221</v>
      </c>
      <c r="C7" s="127" t="s">
        <v>87</v>
      </c>
      <c r="D7" t="s">
        <v>222</v>
      </c>
      <c r="E7" s="126">
        <f>'Parameter Input'!AH$80</f>
        <v>3.5200000000000002E-2</v>
      </c>
      <c r="F7" s="126">
        <f>'Parameter Input'!AI$80</f>
        <v>0</v>
      </c>
      <c r="G7">
        <f>'Parameter Input'!B$80*'Parameter Input'!B$81</f>
        <v>13.999999999999998</v>
      </c>
      <c r="H7">
        <f>'Parameter Input'!C$80*'Parameter Input'!C$81</f>
        <v>13.999999999999998</v>
      </c>
      <c r="I7" s="131">
        <f t="shared" si="0"/>
        <v>2.5142857142857147</v>
      </c>
      <c r="J7" s="131">
        <f t="shared" si="1"/>
        <v>0</v>
      </c>
      <c r="K7">
        <v>12</v>
      </c>
      <c r="L7">
        <v>0.9</v>
      </c>
      <c r="M7">
        <v>0.4</v>
      </c>
    </row>
    <row r="8" spans="1:13" x14ac:dyDescent="0.25">
      <c r="A8">
        <v>7</v>
      </c>
      <c r="B8" t="s">
        <v>221</v>
      </c>
      <c r="C8" s="127" t="s">
        <v>87</v>
      </c>
      <c r="D8" t="s">
        <v>223</v>
      </c>
      <c r="E8" s="126">
        <f>'Parameter Input'!AH$80</f>
        <v>3.5200000000000002E-2</v>
      </c>
      <c r="F8" s="126">
        <f>'Parameter Input'!AI$80</f>
        <v>0</v>
      </c>
      <c r="G8">
        <f>'Parameter Input'!B$92*'Parameter Input'!B$93</f>
        <v>16</v>
      </c>
      <c r="H8">
        <f>'Parameter Input'!C$92*'Parameter Input'!C$93</f>
        <v>16</v>
      </c>
      <c r="I8" s="131">
        <f t="shared" si="0"/>
        <v>2.2000000000000002</v>
      </c>
      <c r="J8" s="131">
        <f t="shared" si="1"/>
        <v>0</v>
      </c>
      <c r="K8">
        <v>12</v>
      </c>
      <c r="L8">
        <v>0.9</v>
      </c>
      <c r="M8">
        <v>0.4</v>
      </c>
    </row>
    <row r="9" spans="1:13" x14ac:dyDescent="0.25">
      <c r="A9">
        <v>8</v>
      </c>
      <c r="B9" t="s">
        <v>221</v>
      </c>
      <c r="C9" s="127" t="s">
        <v>87</v>
      </c>
      <c r="D9" t="s">
        <v>224</v>
      </c>
      <c r="E9" s="126">
        <f>'Parameter Input'!AH$80</f>
        <v>3.5200000000000002E-2</v>
      </c>
      <c r="F9" s="126">
        <f>'Parameter Input'!AI$80</f>
        <v>0</v>
      </c>
      <c r="G9">
        <f>'Parameter Input'!B$105*'Parameter Input'!B$106</f>
        <v>15.333333333333336</v>
      </c>
      <c r="H9">
        <f>'Parameter Input'!C$105*'Parameter Input'!C$106</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Input'!AH$80</f>
        <v>3.5200000000000002E-2</v>
      </c>
      <c r="F10" s="126">
        <f>'Parameter Input'!AI$80</f>
        <v>0</v>
      </c>
      <c r="G10">
        <f>'Parameter Input'!B$118*'Parameter Input'!B$119</f>
        <v>15.333333333333336</v>
      </c>
      <c r="H10">
        <f>'Parameter Input'!C$118*'Parameter Input'!C$119</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Input'!AH$80</f>
        <v>3.5200000000000002E-2</v>
      </c>
      <c r="F11" s="126">
        <f>'Parameter Input'!AI$80</f>
        <v>0</v>
      </c>
      <c r="G11">
        <f>'Parameter Input'!B$132*'Parameter Input'!B$133</f>
        <v>16</v>
      </c>
      <c r="H11">
        <f>'Parameter Input'!C$132*'Parameter Input'!C$133</f>
        <v>16</v>
      </c>
      <c r="I11" s="131">
        <f t="shared" si="0"/>
        <v>2.2000000000000002</v>
      </c>
      <c r="J11" s="131">
        <f t="shared" si="1"/>
        <v>0</v>
      </c>
      <c r="K11">
        <v>12</v>
      </c>
      <c r="L11">
        <v>0.9</v>
      </c>
      <c r="M11">
        <v>0.4</v>
      </c>
    </row>
    <row r="12" spans="1:13" x14ac:dyDescent="0.25">
      <c r="A12">
        <v>11</v>
      </c>
      <c r="B12" t="s">
        <v>221</v>
      </c>
      <c r="C12" t="s">
        <v>103</v>
      </c>
      <c r="D12" t="s">
        <v>222</v>
      </c>
      <c r="E12" s="126">
        <f>'Parameter Input'!AC$80</f>
        <v>9.1245901639344248E-2</v>
      </c>
      <c r="F12" s="126">
        <f>'Parameter Input'!AD$80</f>
        <v>0</v>
      </c>
      <c r="G12">
        <f>'Parameter Input'!B$80*'Parameter Input'!B$81</f>
        <v>13.999999999999998</v>
      </c>
      <c r="H12">
        <f>'Parameter Input'!C$80*'Parameter Input'!C$81</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Input'!AC$80</f>
        <v>9.1245901639344248E-2</v>
      </c>
      <c r="F13" s="126">
        <f>'Parameter Input'!AD$80</f>
        <v>0</v>
      </c>
      <c r="G13">
        <f>'Parameter Input'!B$92*'Parameter Input'!B$93</f>
        <v>16</v>
      </c>
      <c r="H13">
        <f>'Parameter Input'!C$92*'Parameter Input'!C$93</f>
        <v>16</v>
      </c>
      <c r="I13" s="131">
        <f t="shared" si="0"/>
        <v>5.7028688524590159</v>
      </c>
      <c r="J13" s="131">
        <f t="shared" si="1"/>
        <v>0</v>
      </c>
      <c r="K13">
        <v>12</v>
      </c>
      <c r="L13">
        <v>0.9</v>
      </c>
      <c r="M13">
        <v>0.4</v>
      </c>
    </row>
    <row r="14" spans="1:13" x14ac:dyDescent="0.25">
      <c r="A14">
        <v>13</v>
      </c>
      <c r="B14" t="s">
        <v>221</v>
      </c>
      <c r="C14" t="s">
        <v>103</v>
      </c>
      <c r="D14" t="s">
        <v>224</v>
      </c>
      <c r="E14" s="126">
        <f>'Parameter Input'!AC$80</f>
        <v>9.1245901639344248E-2</v>
      </c>
      <c r="F14" s="126">
        <f>'Parameter Input'!AD$80</f>
        <v>0</v>
      </c>
      <c r="G14">
        <f>'Parameter Input'!B$105*'Parameter Input'!B$106</f>
        <v>15.333333333333336</v>
      </c>
      <c r="H14">
        <f>'Parameter Input'!C$105*'Parameter Input'!C$106</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Input'!AC$80</f>
        <v>9.1245901639344248E-2</v>
      </c>
      <c r="F15" s="126">
        <f>'Parameter Input'!AD$80</f>
        <v>0</v>
      </c>
      <c r="G15">
        <f>'Parameter Input'!B$118*'Parameter Input'!B$119</f>
        <v>15.333333333333336</v>
      </c>
      <c r="H15">
        <f>'Parameter Input'!C$118*'Parameter Input'!C$119</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Input'!AC$80</f>
        <v>9.1245901639344248E-2</v>
      </c>
      <c r="F16" s="126">
        <f>'Parameter Input'!AD$80</f>
        <v>0</v>
      </c>
      <c r="G16">
        <f>'Parameter Input'!B$132*'Parameter Input'!B$133</f>
        <v>16</v>
      </c>
      <c r="H16">
        <f>'Parameter Input'!C$132*'Parameter Input'!C$133</f>
        <v>16</v>
      </c>
      <c r="I16" s="131">
        <f t="shared" si="0"/>
        <v>5.7028688524590159</v>
      </c>
      <c r="J16" s="131">
        <f t="shared" si="1"/>
        <v>0</v>
      </c>
      <c r="K16">
        <v>12</v>
      </c>
      <c r="L16">
        <v>0.9</v>
      </c>
      <c r="M16">
        <v>0.4</v>
      </c>
    </row>
    <row r="17" spans="1:13" x14ac:dyDescent="0.25">
      <c r="A17">
        <v>16</v>
      </c>
      <c r="B17" t="s">
        <v>227</v>
      </c>
      <c r="C17" t="s">
        <v>11</v>
      </c>
      <c r="D17" t="s">
        <v>222</v>
      </c>
      <c r="E17" s="126">
        <f>'Parameter Input'!X$150</f>
        <v>20.469721783010932</v>
      </c>
      <c r="F17" s="126">
        <f>'Parameter Input'!Y$150</f>
        <v>20.469721783010932</v>
      </c>
      <c r="G17">
        <f>'Parameter Input'!B$150*'Parameter Input'!B$151</f>
        <v>1433.6000000000001</v>
      </c>
      <c r="H17">
        <f>'Parameter Input'!C$150*'Parameter Input'!C$151</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Input'!X$150</f>
        <v>20.469721783010932</v>
      </c>
      <c r="F18" s="126">
        <f>'Parameter Input'!Y$150</f>
        <v>20.469721783010932</v>
      </c>
      <c r="G18">
        <f>'Parameter Input'!B$162*'Parameter Input'!B$163</f>
        <v>955.73333333333335</v>
      </c>
      <c r="H18">
        <f>'Parameter Input'!C$162*'Parameter Input'!C$163</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Input'!X$150</f>
        <v>20.469721783010932</v>
      </c>
      <c r="F19" s="126">
        <f>'Parameter Input'!Y$150</f>
        <v>20.469721783010932</v>
      </c>
      <c r="G19">
        <f>'Parameter Input'!B$174*'Parameter Input'!B$175</f>
        <v>955.73333333333335</v>
      </c>
      <c r="H19">
        <f>'Parameter Input'!C$174*'Parameter Input'!C$175</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Input'!X$150</f>
        <v>20.469721783010932</v>
      </c>
      <c r="F20" s="126">
        <f>'Parameter Input'!Y$150</f>
        <v>20.469721783010932</v>
      </c>
      <c r="G20">
        <f>'Parameter Input'!B$186*'Parameter Input'!B$187</f>
        <v>1612.8000000000002</v>
      </c>
      <c r="H20">
        <f>'Parameter Input'!C$186*'Parameter Input'!C$187</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Input'!X$150</f>
        <v>20.469721783010932</v>
      </c>
      <c r="F21" s="126">
        <f>'Parameter Input'!Y$150</f>
        <v>20.469721783010932</v>
      </c>
      <c r="G21">
        <f>'Parameter Input'!B$197*'Parameter Input'!B$198</f>
        <v>1194.6666666666667</v>
      </c>
      <c r="H21">
        <f>'Parameter Input'!C$197*'Parameter Input'!C$198</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Input'!AH$150</f>
        <v>0.73212076780185753</v>
      </c>
      <c r="F22" s="126">
        <f>'Parameter Input'!AI$150</f>
        <v>0</v>
      </c>
      <c r="G22">
        <f>'Parameter Input'!B$150*'Parameter Input'!B$151</f>
        <v>1433.6000000000001</v>
      </c>
      <c r="H22">
        <f>'Parameter Input'!C$150*'Parameter Input'!C$151</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Input'!AH$150</f>
        <v>0.73212076780185753</v>
      </c>
      <c r="F23" s="126">
        <f>'Parameter Input'!AI$150</f>
        <v>0</v>
      </c>
      <c r="G23">
        <f>'Parameter Input'!B$162*'Parameter Input'!B$163</f>
        <v>955.73333333333335</v>
      </c>
      <c r="H23">
        <f>'Parameter Input'!C$162*'Parameter Input'!C$163</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Input'!AH$150</f>
        <v>0.73212076780185753</v>
      </c>
      <c r="F24" s="126">
        <f>'Parameter Input'!AI$150</f>
        <v>0</v>
      </c>
      <c r="G24">
        <f>'Parameter Input'!B$174*'Parameter Input'!B$175</f>
        <v>955.73333333333335</v>
      </c>
      <c r="H24">
        <f>'Parameter Input'!C$174*'Parameter Input'!C$175</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Input'!AH$150</f>
        <v>0.73212076780185753</v>
      </c>
      <c r="F25" s="126">
        <f>'Parameter Input'!AI$150</f>
        <v>0</v>
      </c>
      <c r="G25">
        <f>'Parameter Input'!B$186*'Parameter Input'!B$187</f>
        <v>1612.8000000000002</v>
      </c>
      <c r="H25">
        <f>'Parameter Input'!C$186*'Parameter Input'!C$187</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Input'!AH$150</f>
        <v>0.73212076780185753</v>
      </c>
      <c r="F26" s="126">
        <f>'Parameter Input'!AI$150</f>
        <v>0</v>
      </c>
      <c r="G26">
        <f>'Parameter Input'!B$197*'Parameter Input'!B$198</f>
        <v>1194.6666666666667</v>
      </c>
      <c r="H26">
        <f>'Parameter Input'!C$197*'Parameter Input'!C$198</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Input'!AM$150</f>
        <v>0.77787831578947364</v>
      </c>
      <c r="F27" s="126">
        <f>'Parameter Input'!AN$150</f>
        <v>0</v>
      </c>
      <c r="G27">
        <f>'Parameter Input'!B$150*'Parameter Input'!B$151</f>
        <v>1433.6000000000001</v>
      </c>
      <c r="H27">
        <f>'Parameter Input'!C$150*'Parameter Input'!C$151</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Input'!AM$150</f>
        <v>0.77787831578947364</v>
      </c>
      <c r="F28" s="126">
        <f>'Parameter Input'!AN$150</f>
        <v>0</v>
      </c>
      <c r="G28">
        <f>'Parameter Input'!B$162*'Parameter Input'!B$163</f>
        <v>955.73333333333335</v>
      </c>
      <c r="H28">
        <f>'Parameter Input'!C$162*'Parameter Input'!C$163</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Input'!AM$150</f>
        <v>0.77787831578947364</v>
      </c>
      <c r="F29" s="126">
        <f>'Parameter Input'!AN$150</f>
        <v>0</v>
      </c>
      <c r="G29">
        <f>'Parameter Input'!B$174*'Parameter Input'!B$175</f>
        <v>955.73333333333335</v>
      </c>
      <c r="H29">
        <f>'Parameter Input'!C$174*'Parameter Input'!C$175</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Input'!AM$150</f>
        <v>0.77787831578947364</v>
      </c>
      <c r="F30" s="126">
        <f>'Parameter Input'!AN$150</f>
        <v>0</v>
      </c>
      <c r="G30">
        <f>'Parameter Input'!B$186*'Parameter Input'!B$187</f>
        <v>1612.8000000000002</v>
      </c>
      <c r="H30">
        <f>'Parameter Input'!C$186*'Parameter Input'!C$187</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Input'!AM$150</f>
        <v>0.77787831578947364</v>
      </c>
      <c r="F31" s="126">
        <f>'Parameter Input'!AN$150</f>
        <v>0</v>
      </c>
      <c r="G31">
        <f>'Parameter Input'!B$197*'Parameter Input'!B$198</f>
        <v>1194.6666666666667</v>
      </c>
      <c r="H31">
        <f>'Parameter Input'!C$197*'Parameter Input'!C$198</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Input'!AC$150</f>
        <v>1.7621088524590158</v>
      </c>
      <c r="F32" s="126">
        <f>'Parameter Input'!AD$150</f>
        <v>0</v>
      </c>
      <c r="G32">
        <f>'Parameter Input'!B$150*'Parameter Input'!B$151</f>
        <v>1433.6000000000001</v>
      </c>
      <c r="H32">
        <f>'Parameter Input'!C$150*'Parameter Input'!C$151</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Input'!AC$150</f>
        <v>1.7621088524590158</v>
      </c>
      <c r="F33" s="126">
        <f>'Parameter Input'!AD$150</f>
        <v>0</v>
      </c>
      <c r="G33">
        <f>'Parameter Input'!B$162*'Parameter Input'!B$163</f>
        <v>955.73333333333335</v>
      </c>
      <c r="H33">
        <f>'Parameter Input'!C$162*'Parameter Input'!C$163</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Input'!AC$150</f>
        <v>1.7621088524590158</v>
      </c>
      <c r="F34" s="126">
        <f>'Parameter Input'!AD$150</f>
        <v>0</v>
      </c>
      <c r="G34">
        <f>'Parameter Input'!B$174*'Parameter Input'!B$175</f>
        <v>955.73333333333335</v>
      </c>
      <c r="H34">
        <f>'Parameter Input'!C$174*'Parameter Input'!C$175</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Input'!AC$150</f>
        <v>1.7621088524590158</v>
      </c>
      <c r="F35" s="126">
        <f>'Parameter Input'!AD$150</f>
        <v>0</v>
      </c>
      <c r="G35">
        <f>'Parameter Input'!B$186*'Parameter Input'!B$187</f>
        <v>1612.8000000000002</v>
      </c>
      <c r="H35">
        <f>'Parameter Input'!C$186*'Parameter Input'!C$187</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Input'!AC$150</f>
        <v>1.7621088524590158</v>
      </c>
      <c r="F36" s="126">
        <f>'Parameter Input'!AD$150</f>
        <v>0</v>
      </c>
      <c r="G36">
        <f>'Parameter Input'!B$197*'Parameter Input'!B$198</f>
        <v>1194.6666666666667</v>
      </c>
      <c r="H36">
        <f>'Parameter Input'!C$197*'Parameter Input'!C$198</f>
        <v>1194.6666666666667</v>
      </c>
      <c r="I36" s="131">
        <f>E36/(G36)*1000</f>
        <v>1.4749795081967207</v>
      </c>
      <c r="J36" s="131">
        <f t="shared" si="1"/>
        <v>0</v>
      </c>
      <c r="K36">
        <v>12</v>
      </c>
      <c r="L36">
        <v>0.9</v>
      </c>
      <c r="M36">
        <v>0.4</v>
      </c>
    </row>
    <row r="37" spans="1:13" x14ac:dyDescent="0.25">
      <c r="A37">
        <v>36</v>
      </c>
      <c r="B37" t="s">
        <v>168</v>
      </c>
      <c r="C37" t="s">
        <v>279</v>
      </c>
      <c r="D37" t="s">
        <v>222</v>
      </c>
      <c r="E37" s="126">
        <f>'Parameter Input'!X$215</f>
        <v>172.49705634987384</v>
      </c>
      <c r="F37" s="126">
        <f>'Parameter Input'!Y$215</f>
        <v>159.9663582842725</v>
      </c>
      <c r="G37">
        <f>'Parameter Input'!B$215*'Parameter Input'!B$216</f>
        <v>6426.0000000000009</v>
      </c>
      <c r="H37">
        <f>'Parameter Input'!C$215*'Parameter Input'!C$216</f>
        <v>6426.0000000000009</v>
      </c>
      <c r="I37" s="131">
        <f t="shared" si="0"/>
        <v>26.843612877353536</v>
      </c>
      <c r="J37" s="131">
        <f t="shared" si="1"/>
        <v>24.893613178380406</v>
      </c>
      <c r="K37">
        <v>12</v>
      </c>
      <c r="L37">
        <v>0.9</v>
      </c>
      <c r="M37">
        <v>0.4</v>
      </c>
    </row>
    <row r="38" spans="1:13" x14ac:dyDescent="0.25">
      <c r="A38">
        <v>37</v>
      </c>
      <c r="B38" t="s">
        <v>168</v>
      </c>
      <c r="C38" t="s">
        <v>279</v>
      </c>
      <c r="D38" t="s">
        <v>223</v>
      </c>
      <c r="E38" s="126">
        <f>'Parameter Input'!X$215</f>
        <v>172.49705634987384</v>
      </c>
      <c r="F38" s="126">
        <f>'Parameter Input'!Y$215</f>
        <v>159.9663582842725</v>
      </c>
      <c r="G38" s="129"/>
      <c r="H38" s="129"/>
      <c r="I38" s="131"/>
      <c r="J38" s="131"/>
      <c r="K38">
        <v>12</v>
      </c>
      <c r="L38">
        <v>0.9</v>
      </c>
      <c r="M38">
        <v>0.4</v>
      </c>
    </row>
    <row r="39" spans="1:13" x14ac:dyDescent="0.25">
      <c r="A39">
        <v>38</v>
      </c>
      <c r="B39" t="s">
        <v>168</v>
      </c>
      <c r="C39" t="s">
        <v>279</v>
      </c>
      <c r="D39" t="s">
        <v>224</v>
      </c>
      <c r="E39" s="126">
        <f>'Parameter Input'!X$215</f>
        <v>172.49705634987384</v>
      </c>
      <c r="F39" s="126">
        <f>'Parameter Input'!Y$215</f>
        <v>159.9663582842725</v>
      </c>
      <c r="G39">
        <f>'Parameter Input'!B$227*'Parameter Input'!B$228</f>
        <v>5418</v>
      </c>
      <c r="H39">
        <f>'Parameter Input'!C$227*'Parameter Input'!C$228</f>
        <v>5418</v>
      </c>
      <c r="I39" s="131">
        <f t="shared" si="0"/>
        <v>31.83777341267513</v>
      </c>
      <c r="J39" s="131">
        <f t="shared" si="1"/>
        <v>29.524983072032576</v>
      </c>
      <c r="K39">
        <v>12</v>
      </c>
      <c r="L39">
        <v>0.9</v>
      </c>
      <c r="M39">
        <v>0.4</v>
      </c>
    </row>
    <row r="40" spans="1:13" x14ac:dyDescent="0.25">
      <c r="A40">
        <v>39</v>
      </c>
      <c r="B40" t="s">
        <v>168</v>
      </c>
      <c r="C40" t="s">
        <v>279</v>
      </c>
      <c r="D40" t="s">
        <v>225</v>
      </c>
      <c r="E40" s="126">
        <f>'Parameter Input'!X$215</f>
        <v>172.49705634987384</v>
      </c>
      <c r="F40" s="126">
        <f>'Parameter Input'!Y$215</f>
        <v>159.9663582842725</v>
      </c>
      <c r="G40">
        <f>'Parameter Input'!B$239*'Parameter Input'!B$240</f>
        <v>4914</v>
      </c>
      <c r="H40">
        <f>'Parameter Input'!C$239*'Parameter Input'!C$240</f>
        <v>4914</v>
      </c>
      <c r="I40" s="131">
        <f t="shared" si="0"/>
        <v>35.103186070385398</v>
      </c>
      <c r="J40" s="131">
        <f t="shared" si="1"/>
        <v>32.553186464035917</v>
      </c>
      <c r="K40">
        <v>12</v>
      </c>
      <c r="L40">
        <v>0.9</v>
      </c>
      <c r="M40">
        <v>0.4</v>
      </c>
    </row>
    <row r="41" spans="1:13" x14ac:dyDescent="0.25">
      <c r="A41">
        <v>40</v>
      </c>
      <c r="B41" t="s">
        <v>168</v>
      </c>
      <c r="C41" t="s">
        <v>279</v>
      </c>
      <c r="D41" t="s">
        <v>226</v>
      </c>
      <c r="E41" s="126">
        <f>'Parameter Input'!X$215</f>
        <v>172.49705634987384</v>
      </c>
      <c r="F41" s="126">
        <f>'Parameter Input'!Y$215</f>
        <v>159.9663582842725</v>
      </c>
      <c r="G41">
        <f>'Parameter Input'!B$252*'Parameter Input'!B$253</f>
        <v>6426.0000000000009</v>
      </c>
      <c r="H41">
        <f>'Parameter Input'!C$252*'Parameter Input'!C$253</f>
        <v>6426.0000000000009</v>
      </c>
      <c r="I41" s="131">
        <f t="shared" si="0"/>
        <v>26.843612877353536</v>
      </c>
      <c r="J41" s="131">
        <f t="shared" si="1"/>
        <v>24.893613178380406</v>
      </c>
      <c r="K41">
        <v>12</v>
      </c>
      <c r="L41">
        <v>0.9</v>
      </c>
      <c r="M41">
        <v>0.4</v>
      </c>
    </row>
    <row r="42" spans="1:13" x14ac:dyDescent="0.25">
      <c r="A42">
        <v>41</v>
      </c>
      <c r="B42" t="s">
        <v>168</v>
      </c>
      <c r="C42" t="s">
        <v>280</v>
      </c>
      <c r="D42" t="s">
        <v>222</v>
      </c>
      <c r="E42" s="126">
        <f>'Parameter Input'!AC$215</f>
        <v>181.77348551360842</v>
      </c>
      <c r="F42" s="126">
        <f>'Parameter Input'!AD$215</f>
        <v>168.56892010535557</v>
      </c>
      <c r="G42">
        <f>'Parameter Input'!B$215*'Parameter Input'!B$216</f>
        <v>6426.0000000000009</v>
      </c>
      <c r="H42">
        <f>'Parameter Input'!C$215*'Parameter Input'!C$216</f>
        <v>6426.0000000000009</v>
      </c>
      <c r="I42" s="131">
        <f t="shared" si="0"/>
        <v>28.287190400499284</v>
      </c>
      <c r="J42" s="131">
        <f t="shared" si="1"/>
        <v>26.232324946367186</v>
      </c>
      <c r="K42">
        <v>12</v>
      </c>
      <c r="L42">
        <v>0.9</v>
      </c>
      <c r="M42">
        <v>0.4</v>
      </c>
    </row>
    <row r="43" spans="1:13" x14ac:dyDescent="0.25">
      <c r="A43">
        <v>42</v>
      </c>
      <c r="B43" t="s">
        <v>168</v>
      </c>
      <c r="C43" t="s">
        <v>280</v>
      </c>
      <c r="D43" t="s">
        <v>223</v>
      </c>
      <c r="E43" s="126">
        <f>'Parameter Input'!AC$215</f>
        <v>181.77348551360842</v>
      </c>
      <c r="F43" s="126">
        <f>'Parameter Input'!AD$215</f>
        <v>168.56892010535557</v>
      </c>
      <c r="G43" s="153"/>
      <c r="H43" s="153"/>
      <c r="I43" s="131"/>
      <c r="J43" s="131"/>
      <c r="K43">
        <v>12</v>
      </c>
      <c r="L43">
        <v>0.9</v>
      </c>
      <c r="M43">
        <v>0.4</v>
      </c>
    </row>
    <row r="44" spans="1:13" x14ac:dyDescent="0.25">
      <c r="A44">
        <v>43</v>
      </c>
      <c r="B44" t="s">
        <v>168</v>
      </c>
      <c r="C44" t="s">
        <v>280</v>
      </c>
      <c r="D44" t="s">
        <v>224</v>
      </c>
      <c r="E44" s="126">
        <f>'Parameter Input'!AC$215</f>
        <v>181.77348551360842</v>
      </c>
      <c r="F44" s="126">
        <f>'Parameter Input'!AD$215</f>
        <v>168.56892010535557</v>
      </c>
      <c r="G44">
        <f>'Parameter Input'!B$227*'Parameter Input'!B$228</f>
        <v>5418</v>
      </c>
      <c r="H44">
        <f>'Parameter Input'!C$227*'Parameter Input'!C$228</f>
        <v>5418</v>
      </c>
      <c r="I44" s="131">
        <f t="shared" si="0"/>
        <v>33.549923498266594</v>
      </c>
      <c r="J44" s="131">
        <f t="shared" si="1"/>
        <v>31.11275749452853</v>
      </c>
      <c r="K44">
        <v>12</v>
      </c>
      <c r="L44">
        <v>0.9</v>
      </c>
      <c r="M44">
        <v>0.4</v>
      </c>
    </row>
    <row r="45" spans="1:13" x14ac:dyDescent="0.25">
      <c r="A45">
        <v>44</v>
      </c>
      <c r="B45" t="s">
        <v>168</v>
      </c>
      <c r="C45" t="s">
        <v>280</v>
      </c>
      <c r="D45" t="s">
        <v>225</v>
      </c>
      <c r="E45" s="126">
        <f>'Parameter Input'!AC$215</f>
        <v>181.77348551360842</v>
      </c>
      <c r="F45" s="126">
        <f>'Parameter Input'!AD$215</f>
        <v>168.56892010535557</v>
      </c>
      <c r="G45">
        <f>'Parameter Input'!B$239*'Parameter Input'!B$240</f>
        <v>4914</v>
      </c>
      <c r="H45">
        <f>'Parameter Input'!C$239*'Parameter Input'!C$240</f>
        <v>4914</v>
      </c>
      <c r="I45" s="131">
        <f t="shared" si="0"/>
        <v>36.990941292960606</v>
      </c>
      <c r="J45" s="131">
        <f t="shared" si="1"/>
        <v>34.303809545249408</v>
      </c>
      <c r="K45">
        <v>12</v>
      </c>
      <c r="L45">
        <v>0.9</v>
      </c>
      <c r="M45">
        <v>0.4</v>
      </c>
    </row>
    <row r="46" spans="1:13" x14ac:dyDescent="0.25">
      <c r="A46">
        <v>45</v>
      </c>
      <c r="B46" t="s">
        <v>168</v>
      </c>
      <c r="C46" t="s">
        <v>280</v>
      </c>
      <c r="D46" t="s">
        <v>226</v>
      </c>
      <c r="E46" s="126">
        <f>'Parameter Input'!AC$215</f>
        <v>181.77348551360842</v>
      </c>
      <c r="F46" s="126">
        <f>'Parameter Input'!AD$215</f>
        <v>168.56892010535557</v>
      </c>
      <c r="G46">
        <f>'Parameter Input'!B$252*'Parameter Input'!B$253</f>
        <v>6426.0000000000009</v>
      </c>
      <c r="H46">
        <f>'Parameter Input'!C$252*'Parameter Input'!C$253</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Input'!AH$215</f>
        <v>24.449056603773585</v>
      </c>
      <c r="F47" s="126">
        <f>'Parameter Input'!AI$215</f>
        <v>0</v>
      </c>
      <c r="G47">
        <f>'Parameter Input'!B$215*'Parameter Input'!B$216</f>
        <v>6426.0000000000009</v>
      </c>
      <c r="H47">
        <f>'Parameter Input'!C$215*'Parameter Input'!C$216</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Input'!AH$215</f>
        <v>24.449056603773585</v>
      </c>
      <c r="F48" s="126">
        <f>'Parameter Input'!AI$215</f>
        <v>0</v>
      </c>
      <c r="G48" s="129"/>
      <c r="H48" s="129"/>
      <c r="I48" s="131"/>
      <c r="J48" s="131"/>
      <c r="K48">
        <v>12</v>
      </c>
      <c r="L48">
        <v>0.9</v>
      </c>
      <c r="M48">
        <v>0.4</v>
      </c>
    </row>
    <row r="49" spans="1:13" x14ac:dyDescent="0.25">
      <c r="A49">
        <v>48</v>
      </c>
      <c r="B49" t="s">
        <v>168</v>
      </c>
      <c r="C49" t="s">
        <v>103</v>
      </c>
      <c r="D49" t="s">
        <v>224</v>
      </c>
      <c r="E49" s="126">
        <f>'Parameter Input'!AH$215</f>
        <v>24.449056603773585</v>
      </c>
      <c r="F49" s="126">
        <f>'Parameter Input'!AI$215</f>
        <v>0</v>
      </c>
      <c r="G49">
        <f>'Parameter Input'!B$227*'Parameter Input'!B$228</f>
        <v>5418</v>
      </c>
      <c r="H49">
        <f>'Parameter Input'!C$227*'Parameter Input'!C$228</f>
        <v>5418</v>
      </c>
      <c r="I49" s="131">
        <f t="shared" si="0"/>
        <v>4.5125612040925773</v>
      </c>
      <c r="J49" s="131">
        <f t="shared" si="1"/>
        <v>0</v>
      </c>
      <c r="K49">
        <v>12</v>
      </c>
      <c r="L49">
        <v>0.9</v>
      </c>
      <c r="M49">
        <v>0.4</v>
      </c>
    </row>
    <row r="50" spans="1:13" x14ac:dyDescent="0.25">
      <c r="A50">
        <v>49</v>
      </c>
      <c r="B50" t="s">
        <v>168</v>
      </c>
      <c r="C50" t="s">
        <v>103</v>
      </c>
      <c r="D50" t="s">
        <v>225</v>
      </c>
      <c r="E50" s="126">
        <f>'Parameter Input'!AH$215</f>
        <v>24.449056603773585</v>
      </c>
      <c r="F50" s="126">
        <f>'Parameter Input'!AI$215</f>
        <v>0</v>
      </c>
      <c r="G50">
        <f>'Parameter Input'!B$239*'Parameter Input'!B$240</f>
        <v>4914</v>
      </c>
      <c r="H50">
        <f>'Parameter Input'!C$239*'Parameter Input'!C$240</f>
        <v>4914</v>
      </c>
      <c r="I50" s="131">
        <f t="shared" si="0"/>
        <v>4.975387994255918</v>
      </c>
      <c r="J50" s="131">
        <f t="shared" si="1"/>
        <v>0</v>
      </c>
      <c r="K50">
        <v>12</v>
      </c>
      <c r="L50">
        <v>0.9</v>
      </c>
      <c r="M50">
        <v>0.4</v>
      </c>
    </row>
    <row r="51" spans="1:13" x14ac:dyDescent="0.25">
      <c r="A51">
        <v>50</v>
      </c>
      <c r="B51" t="s">
        <v>168</v>
      </c>
      <c r="C51" t="s">
        <v>103</v>
      </c>
      <c r="D51" t="s">
        <v>226</v>
      </c>
      <c r="E51" s="126">
        <f>'Parameter Input'!AH$215</f>
        <v>24.449056603773585</v>
      </c>
      <c r="F51" s="126">
        <f>'Parameter Input'!AI$215</f>
        <v>0</v>
      </c>
      <c r="G51">
        <f>'Parameter Input'!B$252*'Parameter Input'!B$253</f>
        <v>6426.0000000000009</v>
      </c>
      <c r="H51">
        <f>'Parameter Input'!C$252*'Parameter Input'!C$253</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Input'!AM$215</f>
        <v>24.919230769230765</v>
      </c>
      <c r="F52" s="126">
        <f>'Parameter Input'!AN$215</f>
        <v>0</v>
      </c>
      <c r="G52">
        <f>'Parameter Input'!B$215*'Parameter Input'!B$216</f>
        <v>6426.0000000000009</v>
      </c>
      <c r="H52">
        <f>'Parameter Input'!C$215*'Parameter Input'!C$216</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Input'!AM$215</f>
        <v>24.919230769230765</v>
      </c>
      <c r="F53" s="126">
        <f>'Parameter Input'!AN$215</f>
        <v>0</v>
      </c>
      <c r="G53" s="129"/>
      <c r="H53" s="129"/>
      <c r="I53" s="131"/>
      <c r="J53" s="131"/>
      <c r="K53">
        <v>12</v>
      </c>
      <c r="L53">
        <v>0.9</v>
      </c>
      <c r="M53">
        <v>0.4</v>
      </c>
    </row>
    <row r="54" spans="1:13" x14ac:dyDescent="0.25">
      <c r="A54">
        <v>53</v>
      </c>
      <c r="B54" t="s">
        <v>168</v>
      </c>
      <c r="C54" t="s">
        <v>186</v>
      </c>
      <c r="D54" t="s">
        <v>224</v>
      </c>
      <c r="E54" s="126">
        <f>'Parameter Input'!AM$215</f>
        <v>24.919230769230765</v>
      </c>
      <c r="F54" s="126">
        <f>'Parameter Input'!AN$215</f>
        <v>0</v>
      </c>
      <c r="G54">
        <f>'Parameter Input'!B$227*'Parameter Input'!B$228</f>
        <v>5418</v>
      </c>
      <c r="H54">
        <f>'Parameter Input'!C$227*'Parameter Input'!C$228</f>
        <v>5418</v>
      </c>
      <c r="I54" s="131">
        <f t="shared" si="0"/>
        <v>4.5993412272482033</v>
      </c>
      <c r="J54" s="131">
        <f t="shared" si="1"/>
        <v>0</v>
      </c>
      <c r="K54">
        <v>12</v>
      </c>
      <c r="L54">
        <v>0.9</v>
      </c>
      <c r="M54">
        <v>0.4</v>
      </c>
    </row>
    <row r="55" spans="1:13" x14ac:dyDescent="0.25">
      <c r="A55">
        <v>54</v>
      </c>
      <c r="B55" t="s">
        <v>168</v>
      </c>
      <c r="C55" t="s">
        <v>186</v>
      </c>
      <c r="D55" t="s">
        <v>225</v>
      </c>
      <c r="E55" s="126">
        <f>'Parameter Input'!AM$215</f>
        <v>24.919230769230765</v>
      </c>
      <c r="F55" s="126">
        <f>'Parameter Input'!AN$215</f>
        <v>0</v>
      </c>
      <c r="G55">
        <f>'Parameter Input'!B$239*'Parameter Input'!B$240</f>
        <v>4914</v>
      </c>
      <c r="H55">
        <f>'Parameter Input'!C$239*'Parameter Input'!C$240</f>
        <v>4914</v>
      </c>
      <c r="I55" s="131">
        <f t="shared" si="0"/>
        <v>5.0710685326069926</v>
      </c>
      <c r="J55" s="131">
        <f t="shared" si="1"/>
        <v>0</v>
      </c>
      <c r="K55">
        <v>12</v>
      </c>
      <c r="L55">
        <v>0.9</v>
      </c>
      <c r="M55">
        <v>0.4</v>
      </c>
    </row>
    <row r="56" spans="1:13" x14ac:dyDescent="0.25">
      <c r="A56">
        <v>55</v>
      </c>
      <c r="B56" t="s">
        <v>168</v>
      </c>
      <c r="C56" t="s">
        <v>186</v>
      </c>
      <c r="D56" t="s">
        <v>226</v>
      </c>
      <c r="E56" s="126">
        <f>'Parameter Input'!AM$215</f>
        <v>24.919230769230765</v>
      </c>
      <c r="F56" s="126">
        <f>'Parameter Input'!AN$215</f>
        <v>0</v>
      </c>
      <c r="G56">
        <f>'Parameter Input'!B$252*'Parameter Input'!B$253</f>
        <v>6426.0000000000009</v>
      </c>
      <c r="H56">
        <f>'Parameter Input'!C$252*'Parameter Input'!C$253</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Input'!AR$215</f>
        <v>31.631111111111107</v>
      </c>
      <c r="F57" s="126">
        <f>'Parameter Input'!AS$215</f>
        <v>0</v>
      </c>
      <c r="G57">
        <f>'Parameter Input'!B$215*'Parameter Input'!B$216</f>
        <v>6426.0000000000009</v>
      </c>
      <c r="H57">
        <f>'Parameter Input'!C$215*'Parameter Input'!C$216</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Input'!AR$215</f>
        <v>31.631111111111107</v>
      </c>
      <c r="F58" s="126">
        <f>'Parameter Input'!AS$215</f>
        <v>0</v>
      </c>
      <c r="G58" s="129"/>
      <c r="H58" s="129"/>
      <c r="I58" s="131"/>
      <c r="J58" s="131"/>
      <c r="K58">
        <v>12</v>
      </c>
      <c r="L58">
        <v>0.9</v>
      </c>
      <c r="M58">
        <v>0.4</v>
      </c>
    </row>
    <row r="59" spans="1:13" x14ac:dyDescent="0.25">
      <c r="A59">
        <v>58</v>
      </c>
      <c r="B59" t="s">
        <v>168</v>
      </c>
      <c r="C59" t="s">
        <v>187</v>
      </c>
      <c r="D59" t="s">
        <v>224</v>
      </c>
      <c r="E59" s="126">
        <f>'Parameter Input'!AR$215</f>
        <v>31.631111111111107</v>
      </c>
      <c r="F59" s="126">
        <f>'Parameter Input'!AS$215</f>
        <v>0</v>
      </c>
      <c r="G59">
        <f>'Parameter Input'!B$227*'Parameter Input'!B$228</f>
        <v>5418</v>
      </c>
      <c r="H59">
        <f>'Parameter Input'!C$227*'Parameter Input'!C$228</f>
        <v>5418</v>
      </c>
      <c r="I59" s="131">
        <f t="shared" si="0"/>
        <v>5.8381526598580855</v>
      </c>
      <c r="J59" s="131">
        <f t="shared" si="1"/>
        <v>0</v>
      </c>
      <c r="K59">
        <v>12</v>
      </c>
      <c r="L59">
        <v>0.9</v>
      </c>
      <c r="M59">
        <v>0.4</v>
      </c>
    </row>
    <row r="60" spans="1:13" x14ac:dyDescent="0.25">
      <c r="A60">
        <v>59</v>
      </c>
      <c r="B60" t="s">
        <v>168</v>
      </c>
      <c r="C60" t="s">
        <v>187</v>
      </c>
      <c r="D60" t="s">
        <v>225</v>
      </c>
      <c r="E60" s="126">
        <f>'Parameter Input'!AR$215</f>
        <v>31.631111111111107</v>
      </c>
      <c r="F60" s="126">
        <f>'Parameter Input'!AS$215</f>
        <v>0</v>
      </c>
      <c r="G60">
        <f>'Parameter Input'!B$239*'Parameter Input'!B$240</f>
        <v>4914</v>
      </c>
      <c r="H60">
        <f>'Parameter Input'!C$239*'Parameter Input'!C$240</f>
        <v>4914</v>
      </c>
      <c r="I60" s="131">
        <f t="shared" si="0"/>
        <v>6.4369375480486575</v>
      </c>
      <c r="J60" s="131">
        <f t="shared" si="1"/>
        <v>0</v>
      </c>
      <c r="K60">
        <v>12</v>
      </c>
      <c r="L60">
        <v>0.9</v>
      </c>
      <c r="M60">
        <v>0.4</v>
      </c>
    </row>
    <row r="61" spans="1:13" x14ac:dyDescent="0.25">
      <c r="A61">
        <v>60</v>
      </c>
      <c r="B61" t="s">
        <v>168</v>
      </c>
      <c r="C61" t="s">
        <v>187</v>
      </c>
      <c r="D61" t="s">
        <v>226</v>
      </c>
      <c r="E61" s="126">
        <f>'Parameter Input'!AR$215</f>
        <v>31.631111111111107</v>
      </c>
      <c r="F61" s="126">
        <f>'Parameter Input'!AS$215</f>
        <v>0</v>
      </c>
      <c r="G61">
        <f>'Parameter Input'!B$252*'Parameter Input'!B$253</f>
        <v>6426.0000000000009</v>
      </c>
      <c r="H61">
        <f>'Parameter Input'!C$252*'Parameter Input'!C$253</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Q271" workbookViewId="0">
      <selection activeCell="V460" sqref="V460"/>
    </sheetView>
  </sheetViews>
  <sheetFormatPr defaultColWidth="8.7109375" defaultRowHeight="15" x14ac:dyDescent="0.25"/>
  <cols>
    <col min="1" max="3" width="8.7109375" style="154"/>
    <col min="4" max="4" width="12.5703125" style="154" bestFit="1" customWidth="1"/>
    <col min="5" max="12" width="8.7109375" style="154"/>
    <col min="13" max="13" width="12.5703125" style="154" bestFit="1" customWidth="1"/>
    <col min="14" max="32" width="8.7109375" style="154"/>
    <col min="33" max="33" width="10.42578125" style="154" bestFit="1" customWidth="1"/>
    <col min="34" max="34" width="8.42578125" style="154" bestFit="1" customWidth="1"/>
    <col min="35" max="35" width="11.42578125" style="154" bestFit="1" customWidth="1"/>
    <col min="36" max="16384" width="8.7109375" style="154"/>
  </cols>
  <sheetData>
    <row r="1" spans="1:39" x14ac:dyDescent="0.25">
      <c r="H1" s="161" t="s">
        <v>424</v>
      </c>
      <c r="AG1" t="s">
        <v>415</v>
      </c>
      <c r="AH1" t="s">
        <v>416</v>
      </c>
      <c r="AI1" t="s">
        <v>417</v>
      </c>
      <c r="AJ1" t="s">
        <v>219</v>
      </c>
      <c r="AK1" t="s">
        <v>418</v>
      </c>
      <c r="AL1" t="s">
        <v>220</v>
      </c>
      <c r="AM1" t="s">
        <v>419</v>
      </c>
    </row>
    <row r="2" spans="1:39" x14ac:dyDescent="0.25">
      <c r="AG2" s="154" t="s">
        <v>423</v>
      </c>
      <c r="AH2" s="154" t="s">
        <v>420</v>
      </c>
      <c r="AI2" s="154">
        <v>2023</v>
      </c>
      <c r="AJ2" s="154" t="str">
        <f>A7</f>
        <v>Road</v>
      </c>
      <c r="AK2" s="154" t="str">
        <f>B7</f>
        <v>Dry bulk</v>
      </c>
      <c r="AL2" s="154" t="str">
        <f>C7</f>
        <v>Diesel</v>
      </c>
      <c r="AM2" s="164">
        <f>I7</f>
        <v>1</v>
      </c>
    </row>
    <row r="3" spans="1:39" x14ac:dyDescent="0.25">
      <c r="D3" s="197">
        <v>2023</v>
      </c>
      <c r="E3" s="197"/>
      <c r="F3" s="197"/>
      <c r="G3" s="197"/>
      <c r="H3" s="197"/>
      <c r="I3" s="197"/>
      <c r="J3" s="197"/>
      <c r="K3" s="197"/>
      <c r="M3" s="197">
        <v>2034</v>
      </c>
      <c r="N3" s="197"/>
      <c r="O3" s="197"/>
      <c r="P3" s="197"/>
      <c r="Q3" s="197"/>
      <c r="R3" s="197"/>
      <c r="S3" s="197"/>
      <c r="T3" s="197"/>
      <c r="W3" s="197">
        <v>2050</v>
      </c>
      <c r="X3" s="197"/>
      <c r="Y3" s="197"/>
      <c r="Z3" s="197"/>
      <c r="AA3" s="197"/>
      <c r="AB3" s="197"/>
      <c r="AC3" s="197"/>
      <c r="AD3" s="197"/>
      <c r="AE3" s="197"/>
      <c r="AG3" s="154" t="s">
        <v>87</v>
      </c>
      <c r="AH3" s="154" t="s">
        <v>420</v>
      </c>
      <c r="AI3" s="154">
        <v>2023</v>
      </c>
      <c r="AJ3" s="154" t="str">
        <f t="shared" ref="AJ3:AL3" si="0">A8</f>
        <v>Road</v>
      </c>
      <c r="AK3" s="154" t="str">
        <f t="shared" si="0"/>
        <v>Dry bulk</v>
      </c>
      <c r="AL3" s="154" t="str">
        <f t="shared" si="0"/>
        <v>Battery</v>
      </c>
      <c r="AM3" s="164">
        <f t="shared" ref="AM3:AM16" si="1">I8</f>
        <v>1</v>
      </c>
    </row>
    <row r="4" spans="1:39" x14ac:dyDescent="0.25">
      <c r="AG4" s="154" t="s">
        <v>103</v>
      </c>
      <c r="AH4" s="154" t="s">
        <v>420</v>
      </c>
      <c r="AI4" s="154">
        <v>2023</v>
      </c>
      <c r="AJ4" s="154" t="str">
        <f t="shared" ref="AJ4:AL4" si="2">A9</f>
        <v>Road</v>
      </c>
      <c r="AK4" s="154" t="str">
        <f t="shared" si="2"/>
        <v>Dry bulk</v>
      </c>
      <c r="AL4" s="154" t="str">
        <f t="shared" si="2"/>
        <v>Hydrogen</v>
      </c>
      <c r="AM4" s="164">
        <f t="shared" si="1"/>
        <v>1</v>
      </c>
    </row>
    <row r="5" spans="1:39" x14ac:dyDescent="0.25">
      <c r="A5" s="154" t="s">
        <v>411</v>
      </c>
      <c r="I5" s="197" t="s">
        <v>414</v>
      </c>
      <c r="J5" s="197"/>
      <c r="K5" s="197"/>
      <c r="R5" s="197" t="s">
        <v>414</v>
      </c>
      <c r="S5" s="197"/>
      <c r="T5" s="197"/>
      <c r="AB5" s="197" t="s">
        <v>414</v>
      </c>
      <c r="AC5" s="197"/>
      <c r="AD5" s="197"/>
      <c r="AG5" s="154" t="s">
        <v>423</v>
      </c>
      <c r="AH5" s="154" t="s">
        <v>420</v>
      </c>
      <c r="AI5" s="154">
        <v>2023</v>
      </c>
      <c r="AJ5" s="154" t="str">
        <f t="shared" ref="AJ5:AL5" si="3">A10</f>
        <v>Road</v>
      </c>
      <c r="AK5" s="154" t="str">
        <f t="shared" si="3"/>
        <v>Liquid bulk</v>
      </c>
      <c r="AL5" s="154" t="str">
        <f t="shared" si="3"/>
        <v>Diesel</v>
      </c>
      <c r="AM5" s="164">
        <f t="shared" si="1"/>
        <v>1</v>
      </c>
    </row>
    <row r="6" spans="1:39" x14ac:dyDescent="0.25">
      <c r="D6" s="161" t="s">
        <v>413</v>
      </c>
      <c r="E6" s="154" t="s">
        <v>420</v>
      </c>
      <c r="F6" s="154" t="s">
        <v>421</v>
      </c>
      <c r="G6" s="154" t="s">
        <v>422</v>
      </c>
      <c r="I6" s="154" t="s">
        <v>420</v>
      </c>
      <c r="J6" s="154" t="s">
        <v>421</v>
      </c>
      <c r="K6" s="154" t="s">
        <v>422</v>
      </c>
      <c r="M6" s="161" t="s">
        <v>413</v>
      </c>
      <c r="N6" s="154" t="s">
        <v>420</v>
      </c>
      <c r="O6" s="154" t="s">
        <v>421</v>
      </c>
      <c r="P6" s="154" t="s">
        <v>422</v>
      </c>
      <c r="R6" s="154" t="s">
        <v>420</v>
      </c>
      <c r="S6" s="154" t="s">
        <v>421</v>
      </c>
      <c r="T6" s="154" t="s">
        <v>422</v>
      </c>
      <c r="W6" s="161" t="s">
        <v>413</v>
      </c>
      <c r="X6" s="154" t="s">
        <v>420</v>
      </c>
      <c r="Y6" s="154" t="s">
        <v>421</v>
      </c>
      <c r="Z6" s="154" t="s">
        <v>422</v>
      </c>
      <c r="AB6" s="154" t="s">
        <v>420</v>
      </c>
      <c r="AC6" s="154" t="s">
        <v>421</v>
      </c>
      <c r="AD6" s="154" t="s">
        <v>422</v>
      </c>
      <c r="AG6" s="154" t="s">
        <v>87</v>
      </c>
      <c r="AH6" s="154" t="s">
        <v>420</v>
      </c>
      <c r="AI6" s="154">
        <v>2023</v>
      </c>
      <c r="AJ6" s="154" t="str">
        <f t="shared" ref="AJ6:AL6" si="4">A11</f>
        <v>Road</v>
      </c>
      <c r="AK6" s="154" t="str">
        <f t="shared" si="4"/>
        <v>Liquid bulk</v>
      </c>
      <c r="AL6" s="154" t="str">
        <f t="shared" si="4"/>
        <v>Battery</v>
      </c>
      <c r="AM6" s="164">
        <f t="shared" si="1"/>
        <v>1</v>
      </c>
    </row>
    <row r="7" spans="1:39" x14ac:dyDescent="0.25">
      <c r="A7" s="154" t="s">
        <v>221</v>
      </c>
      <c r="B7" s="154" t="s">
        <v>222</v>
      </c>
      <c r="C7" s="154" t="s">
        <v>11</v>
      </c>
      <c r="D7" s="154">
        <f>FIGURES!AP17</f>
        <v>0.16008550383733161</v>
      </c>
      <c r="E7" s="154">
        <v>0.16150148792048974</v>
      </c>
      <c r="F7" s="154">
        <v>0.16198823244907534</v>
      </c>
      <c r="G7" s="154">
        <v>0.16008550383733161</v>
      </c>
      <c r="I7" s="163">
        <f>E7/E7</f>
        <v>1</v>
      </c>
      <c r="J7" s="163">
        <f>F7/E7</f>
        <v>1.0030138702426397</v>
      </c>
      <c r="K7" s="163">
        <f>G7/E7</f>
        <v>0.99123237747595705</v>
      </c>
      <c r="M7" s="154">
        <f>FIGURES!CS17</f>
        <v>0.15507712829099893</v>
      </c>
      <c r="N7" s="154">
        <v>0.1595312014287559</v>
      </c>
      <c r="O7" s="154">
        <v>0.16136201676758852</v>
      </c>
      <c r="P7" s="154">
        <v>0.15507712829099893</v>
      </c>
      <c r="R7" s="163">
        <f>N7/N7</f>
        <v>1</v>
      </c>
      <c r="S7" s="163">
        <f>O7/N7</f>
        <v>1.0114762210930268</v>
      </c>
      <c r="T7" s="163">
        <f>P7/N7</f>
        <v>0.97208023823636724</v>
      </c>
      <c r="W7" s="154">
        <f>FIGURES!EV17</f>
        <v>0.15508101886292719</v>
      </c>
      <c r="X7" s="154">
        <v>0.1593651172133618</v>
      </c>
      <c r="Y7" s="154">
        <v>0.16218038184364741</v>
      </c>
      <c r="Z7" s="154">
        <v>0.15508101886292719</v>
      </c>
      <c r="AB7" s="163">
        <f>X7/X7</f>
        <v>1</v>
      </c>
      <c r="AC7" s="163">
        <f>Y7/X7</f>
        <v>1.0176655009547446</v>
      </c>
      <c r="AD7" s="163">
        <f>Z7/X7</f>
        <v>0.97311771593843233</v>
      </c>
      <c r="AG7" s="154" t="s">
        <v>103</v>
      </c>
      <c r="AH7" s="154" t="s">
        <v>420</v>
      </c>
      <c r="AI7" s="154">
        <v>2023</v>
      </c>
      <c r="AJ7" s="154" t="str">
        <f t="shared" ref="AJ7:AL7" si="5">A12</f>
        <v>Road</v>
      </c>
      <c r="AK7" s="154" t="str">
        <f t="shared" si="5"/>
        <v>Liquid bulk</v>
      </c>
      <c r="AL7" s="154" t="str">
        <f t="shared" si="5"/>
        <v>Hydrogen</v>
      </c>
      <c r="AM7" s="164">
        <f t="shared" si="1"/>
        <v>1</v>
      </c>
    </row>
    <row r="8" spans="1:39" x14ac:dyDescent="0.25">
      <c r="A8" s="154" t="s">
        <v>221</v>
      </c>
      <c r="B8" s="154" t="s">
        <v>222</v>
      </c>
      <c r="C8" s="154" t="s">
        <v>87</v>
      </c>
      <c r="D8" s="154">
        <f>FIGURES!AQ17</f>
        <v>0.21637192652690349</v>
      </c>
      <c r="E8" s="154">
        <v>0.21487411418480304</v>
      </c>
      <c r="F8" s="154">
        <v>0.21421811029826285</v>
      </c>
      <c r="G8" s="154">
        <v>0.21637192652690349</v>
      </c>
      <c r="I8" s="163">
        <f t="shared" ref="I8:I21" si="6">E8/E8</f>
        <v>1</v>
      </c>
      <c r="J8" s="163">
        <f t="shared" ref="J8:J21" si="7">F8/E8</f>
        <v>0.99694703157228148</v>
      </c>
      <c r="K8" s="163">
        <f t="shared" ref="K8:K21" si="8">G8/E8</f>
        <v>1.0069706504563516</v>
      </c>
      <c r="M8" s="154">
        <f>FIGURES!CT17</f>
        <v>0.17604400717380625</v>
      </c>
      <c r="N8" s="154">
        <v>0.17604400717380625</v>
      </c>
      <c r="O8" s="154">
        <v>0.17604400717380625</v>
      </c>
      <c r="P8" s="154">
        <v>0.17604400717380625</v>
      </c>
      <c r="R8" s="163">
        <f t="shared" ref="R8:R21" si="9">N8/N8</f>
        <v>1</v>
      </c>
      <c r="S8" s="163">
        <f t="shared" ref="S8:S21" si="10">O8/N8</f>
        <v>1</v>
      </c>
      <c r="T8" s="163">
        <f t="shared" ref="T8:T21" si="11">P8/N8</f>
        <v>1</v>
      </c>
      <c r="W8" s="154">
        <f>FIGURES!EW17</f>
        <v>0.15970188837788224</v>
      </c>
      <c r="X8" s="154">
        <v>0.15970188837788224</v>
      </c>
      <c r="Y8" s="154">
        <v>0.15970188837788224</v>
      </c>
      <c r="Z8" s="154">
        <v>0.15970188837788224</v>
      </c>
      <c r="AB8" s="163">
        <f t="shared" ref="AB8:AB21" si="12">X8/X8</f>
        <v>1</v>
      </c>
      <c r="AC8" s="163">
        <f t="shared" ref="AC8:AC21" si="13">Y8/X8</f>
        <v>1</v>
      </c>
      <c r="AD8" s="163">
        <f t="shared" ref="AD8:AD21" si="14">Z8/X8</f>
        <v>1</v>
      </c>
      <c r="AG8" s="154" t="s">
        <v>423</v>
      </c>
      <c r="AH8" s="154" t="s">
        <v>420</v>
      </c>
      <c r="AI8" s="154">
        <v>2023</v>
      </c>
      <c r="AJ8" s="154" t="str">
        <f t="shared" ref="AJ8:AL8" si="15">A13</f>
        <v>Road</v>
      </c>
      <c r="AK8" s="154" t="str">
        <f t="shared" si="15"/>
        <v>Container</v>
      </c>
      <c r="AL8" s="154" t="str">
        <f t="shared" si="15"/>
        <v>Diesel</v>
      </c>
      <c r="AM8" s="164">
        <f t="shared" si="1"/>
        <v>1</v>
      </c>
    </row>
    <row r="9" spans="1:39" x14ac:dyDescent="0.25">
      <c r="A9" s="154" t="s">
        <v>221</v>
      </c>
      <c r="B9" s="154" t="s">
        <v>222</v>
      </c>
      <c r="C9" s="154" t="s">
        <v>103</v>
      </c>
      <c r="D9" s="154">
        <f>FIGURES!AR17</f>
        <v>0.24891004870420008</v>
      </c>
      <c r="E9" s="154">
        <v>0.24514866003769331</v>
      </c>
      <c r="F9" s="154">
        <v>0.24350126702679284</v>
      </c>
      <c r="G9" s="154">
        <v>0.24891004870420008</v>
      </c>
      <c r="I9" s="163">
        <f t="shared" si="6"/>
        <v>1</v>
      </c>
      <c r="J9" s="163">
        <f t="shared" si="7"/>
        <v>0.99328002441193364</v>
      </c>
      <c r="K9" s="163">
        <f t="shared" si="8"/>
        <v>1.0153432968629257</v>
      </c>
      <c r="M9" s="154">
        <f>FIGURES!CU17</f>
        <v>0.19725556359642915</v>
      </c>
      <c r="N9" s="154">
        <v>0.19457806694570512</v>
      </c>
      <c r="O9" s="154">
        <v>0.19270653480404287</v>
      </c>
      <c r="P9" s="154">
        <v>0.19725556359642915</v>
      </c>
      <c r="R9" s="163">
        <f t="shared" si="9"/>
        <v>1</v>
      </c>
      <c r="S9" s="163">
        <f t="shared" si="10"/>
        <v>0.99038158734414561</v>
      </c>
      <c r="T9" s="163">
        <f t="shared" si="11"/>
        <v>1.0137605265215794</v>
      </c>
      <c r="W9" s="154">
        <f>FIGURES!EX17</f>
        <v>0.17043322555935234</v>
      </c>
      <c r="X9" s="154">
        <v>0.16864154646639173</v>
      </c>
      <c r="Y9" s="154">
        <v>0.1667304221005671</v>
      </c>
      <c r="Z9" s="154">
        <v>0.17043322555935234</v>
      </c>
      <c r="AB9" s="163">
        <f t="shared" si="12"/>
        <v>1</v>
      </c>
      <c r="AC9" s="163">
        <f t="shared" si="13"/>
        <v>0.9886675353383011</v>
      </c>
      <c r="AD9" s="163">
        <f t="shared" si="14"/>
        <v>1.0106241856203428</v>
      </c>
      <c r="AG9" s="154" t="s">
        <v>87</v>
      </c>
      <c r="AH9" s="154" t="s">
        <v>420</v>
      </c>
      <c r="AI9" s="154">
        <v>2023</v>
      </c>
      <c r="AJ9" s="154" t="str">
        <f t="shared" ref="AJ9:AL9" si="16">A14</f>
        <v>Road</v>
      </c>
      <c r="AK9" s="154" t="str">
        <f t="shared" si="16"/>
        <v>Container</v>
      </c>
      <c r="AL9" s="154" t="str">
        <f t="shared" si="16"/>
        <v>Battery</v>
      </c>
      <c r="AM9" s="164">
        <f t="shared" si="1"/>
        <v>1</v>
      </c>
    </row>
    <row r="10" spans="1:39" x14ac:dyDescent="0.25">
      <c r="A10" s="154" t="s">
        <v>221</v>
      </c>
      <c r="B10" s="154" t="s">
        <v>223</v>
      </c>
      <c r="C10" s="154" t="s">
        <v>11</v>
      </c>
      <c r="D10" s="154">
        <f>FIGURES!AS17</f>
        <v>8.0027147488310843E-2</v>
      </c>
      <c r="E10" s="154">
        <v>8.1266133561074191E-2</v>
      </c>
      <c r="F10" s="154">
        <v>8.1692035023586587E-2</v>
      </c>
      <c r="G10" s="154">
        <v>8.0027147488310843E-2</v>
      </c>
      <c r="I10" s="163">
        <f t="shared" si="6"/>
        <v>1</v>
      </c>
      <c r="J10" s="163">
        <f t="shared" si="7"/>
        <v>1.005240823499894</v>
      </c>
      <c r="K10" s="163">
        <f t="shared" si="8"/>
        <v>0.98475396800030846</v>
      </c>
      <c r="M10" s="154">
        <f>FIGURES!CV17</f>
        <v>7.4903410112360652E-2</v>
      </c>
      <c r="N10" s="154">
        <v>7.8800724107898013E-2</v>
      </c>
      <c r="O10" s="154">
        <v>8.0402687529376543E-2</v>
      </c>
      <c r="P10" s="154">
        <v>7.4903410112360652E-2</v>
      </c>
      <c r="R10" s="163">
        <f t="shared" si="9"/>
        <v>1</v>
      </c>
      <c r="S10" s="163">
        <f t="shared" si="10"/>
        <v>1.0203292982344305</v>
      </c>
      <c r="T10" s="163">
        <f t="shared" si="11"/>
        <v>0.95054215504160899</v>
      </c>
      <c r="W10" s="154">
        <f>FIGURES!EY17</f>
        <v>7.393658744712471E-2</v>
      </c>
      <c r="X10" s="154">
        <v>7.7685173503754978E-2</v>
      </c>
      <c r="Y10" s="154">
        <v>8.014853005525488E-2</v>
      </c>
      <c r="Z10" s="154">
        <v>7.393658744712471E-2</v>
      </c>
      <c r="AB10" s="163">
        <f t="shared" si="12"/>
        <v>1</v>
      </c>
      <c r="AC10" s="163">
        <f t="shared" si="13"/>
        <v>1.0317094812355776</v>
      </c>
      <c r="AD10" s="163">
        <f t="shared" si="14"/>
        <v>0.95174644159803445</v>
      </c>
      <c r="AG10" s="154" t="s">
        <v>103</v>
      </c>
      <c r="AH10" s="154" t="s">
        <v>420</v>
      </c>
      <c r="AI10" s="154">
        <v>2023</v>
      </c>
      <c r="AJ10" s="154" t="str">
        <f t="shared" ref="AJ10:AL10" si="17">A15</f>
        <v>Road</v>
      </c>
      <c r="AK10" s="154" t="str">
        <f t="shared" si="17"/>
        <v>Container</v>
      </c>
      <c r="AL10" s="154" t="str">
        <f t="shared" si="17"/>
        <v>Hydrogen</v>
      </c>
      <c r="AM10" s="164">
        <f t="shared" si="1"/>
        <v>1</v>
      </c>
    </row>
    <row r="11" spans="1:39" x14ac:dyDescent="0.25">
      <c r="A11" s="154" t="s">
        <v>221</v>
      </c>
      <c r="B11" s="154" t="s">
        <v>223</v>
      </c>
      <c r="C11" s="154" t="s">
        <v>87</v>
      </c>
      <c r="D11" s="154">
        <f>FIGURES!AT17</f>
        <v>0.10531087632523629</v>
      </c>
      <c r="E11" s="154">
        <v>0.10398939898527251</v>
      </c>
      <c r="F11" s="154">
        <v>0.10341062536549094</v>
      </c>
      <c r="G11" s="154">
        <v>0.10531087632523629</v>
      </c>
      <c r="I11" s="163">
        <f t="shared" si="6"/>
        <v>1</v>
      </c>
      <c r="J11" s="163">
        <f t="shared" si="7"/>
        <v>0.99443430171316261</v>
      </c>
      <c r="K11" s="163">
        <f t="shared" si="8"/>
        <v>1.0127078082271725</v>
      </c>
      <c r="M11" s="154">
        <f>FIGURES!CW17</f>
        <v>8.6186731956471668E-2</v>
      </c>
      <c r="N11" s="154">
        <v>8.5196928607980713E-2</v>
      </c>
      <c r="O11" s="154">
        <v>8.4503796562852188E-2</v>
      </c>
      <c r="P11" s="154">
        <v>8.6186731956471668E-2</v>
      </c>
      <c r="R11" s="163">
        <f t="shared" si="9"/>
        <v>1</v>
      </c>
      <c r="S11" s="163">
        <f t="shared" si="10"/>
        <v>0.99186435407410223</v>
      </c>
      <c r="T11" s="163">
        <f t="shared" si="11"/>
        <v>1.0116178290070217</v>
      </c>
      <c r="W11" s="154">
        <f>FIGURES!EZ17</f>
        <v>7.8396743248474315E-2</v>
      </c>
      <c r="X11" s="154">
        <v>7.7653618448074446E-2</v>
      </c>
      <c r="Y11" s="154">
        <v>7.68609519943146E-2</v>
      </c>
      <c r="Z11" s="154">
        <v>7.8396743248474315E-2</v>
      </c>
      <c r="AB11" s="163">
        <f t="shared" si="12"/>
        <v>1</v>
      </c>
      <c r="AC11" s="163">
        <f t="shared" si="13"/>
        <v>0.98979227923177993</v>
      </c>
      <c r="AD11" s="163">
        <f t="shared" si="14"/>
        <v>1.0095697382202065</v>
      </c>
      <c r="AG11" s="154" t="s">
        <v>423</v>
      </c>
      <c r="AH11" s="154" t="s">
        <v>420</v>
      </c>
      <c r="AI11" s="154">
        <v>2023</v>
      </c>
      <c r="AJ11" s="154" t="str">
        <f t="shared" ref="AJ11:AL11" si="18">A16</f>
        <v>Road</v>
      </c>
      <c r="AK11" s="154" t="str">
        <f t="shared" si="18"/>
        <v>Break bulk</v>
      </c>
      <c r="AL11" s="154" t="str">
        <f t="shared" si="18"/>
        <v>Diesel</v>
      </c>
      <c r="AM11" s="164">
        <f t="shared" si="1"/>
        <v>1</v>
      </c>
    </row>
    <row r="12" spans="1:39" x14ac:dyDescent="0.25">
      <c r="A12" s="154" t="s">
        <v>221</v>
      </c>
      <c r="B12" s="154" t="s">
        <v>223</v>
      </c>
      <c r="C12" s="154" t="s">
        <v>103</v>
      </c>
      <c r="D12" s="154">
        <f>FIGURES!AU17</f>
        <v>0.1301849178703009</v>
      </c>
      <c r="E12" s="154">
        <v>0.12688035079230253</v>
      </c>
      <c r="F12" s="154">
        <v>0.12543303407206524</v>
      </c>
      <c r="G12" s="154">
        <v>0.1301849178703009</v>
      </c>
      <c r="I12" s="163">
        <f t="shared" si="6"/>
        <v>1</v>
      </c>
      <c r="J12" s="163">
        <f t="shared" si="7"/>
        <v>0.98859305864777691</v>
      </c>
      <c r="K12" s="163">
        <f t="shared" si="8"/>
        <v>1.0260447504862893</v>
      </c>
      <c r="M12" s="154">
        <f>FIGURES!CX17</f>
        <v>0.10221949414527944</v>
      </c>
      <c r="N12" s="154">
        <v>9.9869671953068617E-2</v>
      </c>
      <c r="O12" s="154">
        <v>9.8227179605328535E-2</v>
      </c>
      <c r="P12" s="154">
        <v>0.10221949414527944</v>
      </c>
      <c r="R12" s="163">
        <f t="shared" si="9"/>
        <v>1</v>
      </c>
      <c r="S12" s="163">
        <f t="shared" si="10"/>
        <v>0.98355364230582498</v>
      </c>
      <c r="T12" s="163">
        <f t="shared" si="11"/>
        <v>1.0235288866605576</v>
      </c>
      <c r="W12" s="154">
        <f>FIGURES!FA17</f>
        <v>8.6217422559525025E-2</v>
      </c>
      <c r="X12" s="154">
        <v>8.4647164209378539E-2</v>
      </c>
      <c r="Y12" s="154">
        <v>8.2972221969222298E-2</v>
      </c>
      <c r="Z12" s="154">
        <v>8.6217422559525025E-2</v>
      </c>
      <c r="AB12" s="163">
        <f t="shared" si="12"/>
        <v>1</v>
      </c>
      <c r="AC12" s="163">
        <f t="shared" si="13"/>
        <v>0.98021265974116756</v>
      </c>
      <c r="AD12" s="163">
        <f t="shared" si="14"/>
        <v>1.0185506314926556</v>
      </c>
      <c r="AG12" s="154" t="s">
        <v>87</v>
      </c>
      <c r="AH12" s="154" t="s">
        <v>420</v>
      </c>
      <c r="AI12" s="154">
        <v>2023</v>
      </c>
      <c r="AJ12" s="154" t="str">
        <f>A17</f>
        <v>Road</v>
      </c>
      <c r="AK12" s="154" t="str">
        <f>B17</f>
        <v>Break bulk</v>
      </c>
      <c r="AL12" s="154" t="str">
        <f>C17</f>
        <v>Battery</v>
      </c>
      <c r="AM12" s="164">
        <f t="shared" si="1"/>
        <v>1</v>
      </c>
    </row>
    <row r="13" spans="1:39" x14ac:dyDescent="0.25">
      <c r="A13" s="154" t="s">
        <v>221</v>
      </c>
      <c r="B13" s="154" t="s">
        <v>224</v>
      </c>
      <c r="C13" s="154" t="s">
        <v>11</v>
      </c>
      <c r="D13" s="154">
        <f>FIGURES!AV17</f>
        <v>8.4300018728238085E-2</v>
      </c>
      <c r="E13" s="154">
        <v>8.5592873760686805E-2</v>
      </c>
      <c r="F13" s="154">
        <v>8.6037292678091043E-2</v>
      </c>
      <c r="G13" s="154">
        <v>8.4300018728238085E-2</v>
      </c>
      <c r="I13" s="163">
        <f t="shared" si="6"/>
        <v>1</v>
      </c>
      <c r="J13" s="163">
        <f t="shared" si="7"/>
        <v>1.0051922420392942</v>
      </c>
      <c r="K13" s="163">
        <f t="shared" si="8"/>
        <v>0.98489529588568936</v>
      </c>
      <c r="M13" s="154">
        <f>FIGURES!CY17</f>
        <v>7.8990350349502914E-2</v>
      </c>
      <c r="N13" s="154">
        <v>8.305711277962885E-2</v>
      </c>
      <c r="O13" s="154">
        <v>8.472872678464996E-2</v>
      </c>
      <c r="P13" s="154">
        <v>7.8990350349502914E-2</v>
      </c>
      <c r="R13" s="163">
        <f t="shared" si="9"/>
        <v>1</v>
      </c>
      <c r="S13" s="163">
        <f t="shared" si="10"/>
        <v>1.0201260789001456</v>
      </c>
      <c r="T13" s="163">
        <f t="shared" si="11"/>
        <v>0.95103655431755652</v>
      </c>
      <c r="W13" s="154">
        <f>FIGURES!FB17</f>
        <v>7.8029701949290181E-2</v>
      </c>
      <c r="X13" s="154">
        <v>8.1941270008382638E-2</v>
      </c>
      <c r="Y13" s="154">
        <v>8.45117290186434E-2</v>
      </c>
      <c r="Z13" s="154">
        <v>7.8029701949290181E-2</v>
      </c>
      <c r="AB13" s="163">
        <f t="shared" si="12"/>
        <v>1</v>
      </c>
      <c r="AC13" s="163">
        <f t="shared" si="13"/>
        <v>1.0313695285659814</v>
      </c>
      <c r="AD13" s="163">
        <f t="shared" si="14"/>
        <v>0.95226376087785436</v>
      </c>
      <c r="AG13" s="154" t="s">
        <v>103</v>
      </c>
      <c r="AH13" s="154" t="s">
        <v>420</v>
      </c>
      <c r="AI13" s="154">
        <v>2023</v>
      </c>
      <c r="AJ13" s="154" t="str">
        <f t="shared" ref="AJ13:AJ16" si="19">A18</f>
        <v>Road</v>
      </c>
      <c r="AK13" s="154" t="str">
        <f t="shared" ref="AK13:AK16" si="20">B18</f>
        <v>Break bulk</v>
      </c>
      <c r="AL13" s="154" t="str">
        <f t="shared" ref="AL13:AL16" si="21">C18</f>
        <v>Hydrogen</v>
      </c>
      <c r="AM13" s="164">
        <f t="shared" si="1"/>
        <v>1</v>
      </c>
    </row>
    <row r="14" spans="1:39" x14ac:dyDescent="0.25">
      <c r="A14" s="154" t="s">
        <v>221</v>
      </c>
      <c r="B14" s="154" t="s">
        <v>224</v>
      </c>
      <c r="C14" s="154" t="s">
        <v>87</v>
      </c>
      <c r="D14" s="154">
        <f>FIGURES!AW17</f>
        <v>0.11143385784995678</v>
      </c>
      <c r="E14" s="154">
        <v>0.11005871333542969</v>
      </c>
      <c r="F14" s="154">
        <v>0.10945643485185198</v>
      </c>
      <c r="G14" s="154">
        <v>0.11143385784995678</v>
      </c>
      <c r="I14" s="163">
        <f t="shared" si="6"/>
        <v>1</v>
      </c>
      <c r="J14" s="163">
        <f t="shared" si="7"/>
        <v>0.99452766196037456</v>
      </c>
      <c r="K14" s="163">
        <f t="shared" si="8"/>
        <v>1.0124946446569481</v>
      </c>
      <c r="M14" s="154">
        <f>FIGURES!CZ17</f>
        <v>9.075990136878348E-2</v>
      </c>
      <c r="N14" s="154">
        <v>8.9729273933051135E-2</v>
      </c>
      <c r="O14" s="154">
        <v>8.900755390312412E-2</v>
      </c>
      <c r="P14" s="154">
        <v>9.075990136878348E-2</v>
      </c>
      <c r="R14" s="163">
        <f t="shared" si="9"/>
        <v>1</v>
      </c>
      <c r="S14" s="163">
        <f t="shared" si="10"/>
        <v>0.99195669374895978</v>
      </c>
      <c r="T14" s="163">
        <f t="shared" si="11"/>
        <v>1.0114859665141314</v>
      </c>
      <c r="W14" s="154">
        <f>FIGURES!FC17</f>
        <v>8.2480435679140041E-2</v>
      </c>
      <c r="X14" s="154">
        <v>8.1706056355476092E-2</v>
      </c>
      <c r="Y14" s="154">
        <v>8.0880051743567882E-2</v>
      </c>
      <c r="Z14" s="154">
        <v>8.2480435679140041E-2</v>
      </c>
      <c r="AB14" s="163">
        <f t="shared" si="12"/>
        <v>1</v>
      </c>
      <c r="AC14" s="163">
        <f t="shared" si="13"/>
        <v>0.98989053383858672</v>
      </c>
      <c r="AD14" s="163">
        <f t="shared" si="14"/>
        <v>1.0094776245263251</v>
      </c>
      <c r="AG14" s="154" t="s">
        <v>423</v>
      </c>
      <c r="AH14" s="154" t="s">
        <v>420</v>
      </c>
      <c r="AI14" s="154">
        <v>2023</v>
      </c>
      <c r="AJ14" s="154" t="str">
        <f t="shared" si="19"/>
        <v>Road</v>
      </c>
      <c r="AK14" s="154" t="str">
        <f t="shared" si="20"/>
        <v>Neo bulk</v>
      </c>
      <c r="AL14" s="154" t="str">
        <f t="shared" si="21"/>
        <v>Diesel</v>
      </c>
      <c r="AM14" s="164">
        <f t="shared" si="1"/>
        <v>1</v>
      </c>
    </row>
    <row r="15" spans="1:39" x14ac:dyDescent="0.25">
      <c r="A15" s="154" t="s">
        <v>221</v>
      </c>
      <c r="B15" s="154" t="s">
        <v>224</v>
      </c>
      <c r="C15" s="154" t="s">
        <v>103</v>
      </c>
      <c r="D15" s="154">
        <f>FIGURES!AX17</f>
        <v>0.13776629264773832</v>
      </c>
      <c r="E15" s="154">
        <v>0.13432269291236781</v>
      </c>
      <c r="F15" s="154">
        <v>0.13281448340801569</v>
      </c>
      <c r="G15" s="154">
        <v>0.13776629264773832</v>
      </c>
      <c r="I15" s="163">
        <f t="shared" si="6"/>
        <v>1</v>
      </c>
      <c r="J15" s="163">
        <f t="shared" si="7"/>
        <v>0.98877174458275574</v>
      </c>
      <c r="K15" s="163">
        <f t="shared" si="8"/>
        <v>1.0256367681491996</v>
      </c>
      <c r="M15" s="154">
        <f>FIGURES!DA17</f>
        <v>0.10781569950851688</v>
      </c>
      <c r="N15" s="154">
        <v>0.10536615030719333</v>
      </c>
      <c r="O15" s="154">
        <v>0.10365395019608566</v>
      </c>
      <c r="P15" s="154">
        <v>0.10781569950851688</v>
      </c>
      <c r="R15" s="163">
        <f t="shared" si="9"/>
        <v>1</v>
      </c>
      <c r="S15" s="163">
        <f t="shared" si="10"/>
        <v>0.98374999839971577</v>
      </c>
      <c r="T15" s="163">
        <f t="shared" si="11"/>
        <v>1.0232479709487527</v>
      </c>
      <c r="W15" s="154">
        <f>FIGURES!FD17</f>
        <v>9.0825524918120487E-2</v>
      </c>
      <c r="X15" s="154">
        <v>8.9187877646247971E-2</v>
      </c>
      <c r="Y15" s="154">
        <v>8.7441053889583953E-2</v>
      </c>
      <c r="Z15" s="154">
        <v>9.0825524918120487E-2</v>
      </c>
      <c r="AB15" s="163">
        <f t="shared" si="12"/>
        <v>1</v>
      </c>
      <c r="AC15" s="163">
        <f t="shared" si="13"/>
        <v>0.98041411229009656</v>
      </c>
      <c r="AD15" s="163">
        <f t="shared" si="14"/>
        <v>1.0183617697280345</v>
      </c>
      <c r="AG15" s="154" t="s">
        <v>87</v>
      </c>
      <c r="AH15" s="154" t="s">
        <v>420</v>
      </c>
      <c r="AI15" s="154">
        <v>2023</v>
      </c>
      <c r="AJ15" s="154" t="str">
        <f t="shared" si="19"/>
        <v>Road</v>
      </c>
      <c r="AK15" s="154" t="str">
        <f t="shared" si="20"/>
        <v>Neo bulk</v>
      </c>
      <c r="AL15" s="154" t="str">
        <f t="shared" si="21"/>
        <v>Battery</v>
      </c>
      <c r="AM15" s="164">
        <f t="shared" si="1"/>
        <v>1</v>
      </c>
    </row>
    <row r="16" spans="1:39" x14ac:dyDescent="0.25">
      <c r="A16" s="154" t="s">
        <v>221</v>
      </c>
      <c r="B16" s="154" t="s">
        <v>225</v>
      </c>
      <c r="C16" s="154" t="s">
        <v>11</v>
      </c>
      <c r="D16" s="154">
        <f>FIGURES!AY17</f>
        <v>0.10828383175735644</v>
      </c>
      <c r="E16" s="154">
        <v>0.10957668678980516</v>
      </c>
      <c r="F16" s="154">
        <v>0.1100211057072094</v>
      </c>
      <c r="G16" s="154">
        <v>0.10828383175735644</v>
      </c>
      <c r="I16" s="163">
        <f t="shared" si="6"/>
        <v>1</v>
      </c>
      <c r="J16" s="163">
        <f t="shared" si="7"/>
        <v>1.0040557798417171</v>
      </c>
      <c r="K16" s="163">
        <f t="shared" si="8"/>
        <v>0.98820136773318645</v>
      </c>
      <c r="M16" s="154">
        <f>FIGURES!DB17</f>
        <v>0.10325471557553673</v>
      </c>
      <c r="N16" s="154">
        <v>0.10732147800566266</v>
      </c>
      <c r="O16" s="154">
        <v>0.10899309201068375</v>
      </c>
      <c r="P16" s="154">
        <v>0.10325471557553673</v>
      </c>
      <c r="R16" s="163">
        <f t="shared" si="9"/>
        <v>1</v>
      </c>
      <c r="S16" s="163">
        <f t="shared" si="10"/>
        <v>1.0155757639205536</v>
      </c>
      <c r="T16" s="163">
        <f t="shared" si="11"/>
        <v>0.96210672359626503</v>
      </c>
      <c r="W16" s="154">
        <f>FIGURES!FE17</f>
        <v>0.1026612051195252</v>
      </c>
      <c r="X16" s="154">
        <v>0.10657277317861766</v>
      </c>
      <c r="Y16" s="154">
        <v>0.10914323218887842</v>
      </c>
      <c r="Z16" s="154">
        <v>0.1026612051195252</v>
      </c>
      <c r="AB16" s="163">
        <f t="shared" si="12"/>
        <v>1</v>
      </c>
      <c r="AC16" s="163">
        <f t="shared" si="13"/>
        <v>1.0241192842561451</v>
      </c>
      <c r="AD16" s="163">
        <f t="shared" si="14"/>
        <v>0.9632967413493444</v>
      </c>
      <c r="AG16" s="154" t="s">
        <v>103</v>
      </c>
      <c r="AH16" s="154" t="s">
        <v>420</v>
      </c>
      <c r="AI16" s="154">
        <v>2023</v>
      </c>
      <c r="AJ16" s="154" t="str">
        <f t="shared" si="19"/>
        <v>Road</v>
      </c>
      <c r="AK16" s="154" t="str">
        <f t="shared" si="20"/>
        <v>Neo bulk</v>
      </c>
      <c r="AL16" s="154" t="str">
        <f t="shared" si="21"/>
        <v>Hydrogen</v>
      </c>
      <c r="AM16" s="164">
        <f t="shared" si="1"/>
        <v>1</v>
      </c>
    </row>
    <row r="17" spans="1:39" x14ac:dyDescent="0.25">
      <c r="A17" s="154" t="s">
        <v>221</v>
      </c>
      <c r="B17" s="154" t="s">
        <v>225</v>
      </c>
      <c r="C17" s="154" t="s">
        <v>87</v>
      </c>
      <c r="D17" s="154">
        <f>FIGURES!AZ17</f>
        <v>0.14511916971521754</v>
      </c>
      <c r="E17" s="154">
        <v>0.14374402520069046</v>
      </c>
      <c r="F17" s="154">
        <v>0.14314174671711277</v>
      </c>
      <c r="G17" s="154">
        <v>0.14511916971521754</v>
      </c>
      <c r="I17" s="163">
        <f t="shared" si="6"/>
        <v>1</v>
      </c>
      <c r="J17" s="163">
        <f t="shared" si="7"/>
        <v>0.99581006248616732</v>
      </c>
      <c r="K17" s="163">
        <f t="shared" si="8"/>
        <v>1.0095666203350515</v>
      </c>
      <c r="M17" s="154">
        <f>FIGURES!DC17</f>
        <v>0.11774997366588581</v>
      </c>
      <c r="N17" s="154">
        <v>0.11671934623015348</v>
      </c>
      <c r="O17" s="154">
        <v>0.11599762620022647</v>
      </c>
      <c r="P17" s="154">
        <v>0.11774997366588581</v>
      </c>
      <c r="R17" s="163">
        <f t="shared" si="9"/>
        <v>1</v>
      </c>
      <c r="S17" s="163">
        <f t="shared" si="10"/>
        <v>0.9938166203526887</v>
      </c>
      <c r="T17" s="163">
        <f t="shared" si="11"/>
        <v>1.0088299623757324</v>
      </c>
      <c r="W17" s="154">
        <f>FIGURES!FF17</f>
        <v>0.10721750661777942</v>
      </c>
      <c r="X17" s="154">
        <v>0.10644312729411544</v>
      </c>
      <c r="Y17" s="154">
        <v>0.10561712268220722</v>
      </c>
      <c r="Z17" s="154">
        <v>0.10721750661777942</v>
      </c>
      <c r="AB17" s="163">
        <f t="shared" si="12"/>
        <v>1</v>
      </c>
      <c r="AC17" s="163">
        <f t="shared" si="13"/>
        <v>0.99223994415697814</v>
      </c>
      <c r="AD17" s="163">
        <f t="shared" si="14"/>
        <v>1.0072750523528331</v>
      </c>
      <c r="AG17" s="154" t="s">
        <v>423</v>
      </c>
      <c r="AH17" s="154" t="s">
        <v>421</v>
      </c>
      <c r="AI17" s="154">
        <v>2023</v>
      </c>
      <c r="AJ17" s="154" t="str">
        <f>A7</f>
        <v>Road</v>
      </c>
      <c r="AK17" s="154" t="str">
        <f>B7</f>
        <v>Dry bulk</v>
      </c>
      <c r="AL17" s="154" t="str">
        <f>C7</f>
        <v>Diesel</v>
      </c>
      <c r="AM17" s="164">
        <f>J7</f>
        <v>1.0030138702426397</v>
      </c>
    </row>
    <row r="18" spans="1:39" x14ac:dyDescent="0.25">
      <c r="A18" s="154" t="s">
        <v>221</v>
      </c>
      <c r="B18" s="154" t="s">
        <v>225</v>
      </c>
      <c r="C18" s="154" t="s">
        <v>103</v>
      </c>
      <c r="D18" s="154">
        <f>FIGURES!BA17</f>
        <v>0.17252924484292287</v>
      </c>
      <c r="E18" s="154">
        <v>0.16908564510755242</v>
      </c>
      <c r="F18" s="154">
        <v>0.16757743560320026</v>
      </c>
      <c r="G18" s="154">
        <v>0.17252924484292287</v>
      </c>
      <c r="I18" s="163">
        <f t="shared" si="6"/>
        <v>1</v>
      </c>
      <c r="J18" s="163">
        <f t="shared" si="7"/>
        <v>0.99108020374294459</v>
      </c>
      <c r="K18" s="163">
        <f t="shared" si="8"/>
        <v>1.0203660087950106</v>
      </c>
      <c r="M18" s="154">
        <f>FIGURES!DD17</f>
        <v>0.13592149433202599</v>
      </c>
      <c r="N18" s="154">
        <v>0.13347194513070246</v>
      </c>
      <c r="O18" s="154">
        <v>0.13175974501959475</v>
      </c>
      <c r="P18" s="154">
        <v>0.13592149433202599</v>
      </c>
      <c r="R18" s="163">
        <f t="shared" si="9"/>
        <v>1</v>
      </c>
      <c r="S18" s="163">
        <f t="shared" si="10"/>
        <v>0.98717183517906304</v>
      </c>
      <c r="T18" s="163">
        <f t="shared" si="11"/>
        <v>1.0183525399208411</v>
      </c>
      <c r="W18" s="154">
        <f>FIGURES!FG17</f>
        <v>0.11599502780168205</v>
      </c>
      <c r="X18" s="154">
        <v>0.11435738052980955</v>
      </c>
      <c r="Y18" s="154">
        <v>0.11261055677314552</v>
      </c>
      <c r="Z18" s="154">
        <v>0.11599502780168205</v>
      </c>
      <c r="AB18" s="163">
        <f t="shared" si="12"/>
        <v>1</v>
      </c>
      <c r="AC18" s="163">
        <f t="shared" si="13"/>
        <v>0.98472487085161342</v>
      </c>
      <c r="AD18" s="163">
        <f t="shared" si="14"/>
        <v>1.0143204335766123</v>
      </c>
      <c r="AG18" s="154" t="s">
        <v>87</v>
      </c>
      <c r="AH18" s="154" t="s">
        <v>421</v>
      </c>
      <c r="AI18" s="154">
        <v>2023</v>
      </c>
      <c r="AJ18" s="154" t="str">
        <f t="shared" ref="AJ18:AL18" si="22">A8</f>
        <v>Road</v>
      </c>
      <c r="AK18" s="154" t="str">
        <f t="shared" si="22"/>
        <v>Dry bulk</v>
      </c>
      <c r="AL18" s="154" t="str">
        <f t="shared" si="22"/>
        <v>Battery</v>
      </c>
      <c r="AM18" s="164">
        <f t="shared" ref="AM18:AM31" si="23">J8</f>
        <v>0.99694703157228148</v>
      </c>
    </row>
    <row r="19" spans="1:39" x14ac:dyDescent="0.25">
      <c r="A19" s="154" t="s">
        <v>221</v>
      </c>
      <c r="B19" s="154" t="s">
        <v>226</v>
      </c>
      <c r="C19" s="154" t="s">
        <v>11</v>
      </c>
      <c r="D19" s="154">
        <f>FIGURES!BB17</f>
        <v>9.1760643921659973E-2</v>
      </c>
      <c r="E19" s="154">
        <v>9.2999629994423322E-2</v>
      </c>
      <c r="F19" s="154">
        <v>9.3425531456935718E-2</v>
      </c>
      <c r="G19" s="154">
        <v>9.1760643921659973E-2</v>
      </c>
      <c r="I19" s="163">
        <f t="shared" si="6"/>
        <v>1</v>
      </c>
      <c r="J19" s="163">
        <f t="shared" si="7"/>
        <v>1.0045796038386168</v>
      </c>
      <c r="K19" s="163">
        <f t="shared" si="8"/>
        <v>0.98667751610584209</v>
      </c>
      <c r="M19" s="154">
        <f>FIGURES!DE17</f>
        <v>8.680166405080067E-2</v>
      </c>
      <c r="N19" s="154">
        <v>9.069897804633803E-2</v>
      </c>
      <c r="O19" s="154">
        <v>9.2300941467816588E-2</v>
      </c>
      <c r="P19" s="154">
        <v>8.680166405080067E-2</v>
      </c>
      <c r="R19" s="163">
        <f t="shared" si="9"/>
        <v>1</v>
      </c>
      <c r="S19" s="163">
        <f t="shared" si="10"/>
        <v>1.0176624197536175</v>
      </c>
      <c r="T19" s="163">
        <f t="shared" si="11"/>
        <v>0.95703023253970709</v>
      </c>
      <c r="W19" s="154">
        <f>FIGURES!FH17</f>
        <v>8.6050447366825461E-2</v>
      </c>
      <c r="X19" s="154">
        <v>8.9799033423455743E-2</v>
      </c>
      <c r="Y19" s="154">
        <v>9.2262389974955644E-2</v>
      </c>
      <c r="Z19" s="154">
        <v>8.6050447366825461E-2</v>
      </c>
      <c r="AB19" s="163">
        <f t="shared" si="12"/>
        <v>1</v>
      </c>
      <c r="AC19" s="163">
        <f t="shared" si="13"/>
        <v>1.0274318827006046</v>
      </c>
      <c r="AD19" s="163">
        <f t="shared" si="14"/>
        <v>0.95825583067299314</v>
      </c>
      <c r="AG19" s="154" t="s">
        <v>103</v>
      </c>
      <c r="AH19" s="154" t="s">
        <v>421</v>
      </c>
      <c r="AI19" s="154">
        <v>2023</v>
      </c>
      <c r="AJ19" s="154" t="str">
        <f t="shared" ref="AJ19:AL19" si="24">A9</f>
        <v>Road</v>
      </c>
      <c r="AK19" s="154" t="str">
        <f t="shared" si="24"/>
        <v>Dry bulk</v>
      </c>
      <c r="AL19" s="154" t="str">
        <f t="shared" si="24"/>
        <v>Hydrogen</v>
      </c>
      <c r="AM19" s="164">
        <f t="shared" si="23"/>
        <v>0.99328002441193364</v>
      </c>
    </row>
    <row r="20" spans="1:39" x14ac:dyDescent="0.25">
      <c r="A20" s="154" t="s">
        <v>221</v>
      </c>
      <c r="B20" s="154" t="s">
        <v>226</v>
      </c>
      <c r="C20" s="154" t="s">
        <v>87</v>
      </c>
      <c r="D20" s="154">
        <f>FIGURES!BC17</f>
        <v>0.12257559398774524</v>
      </c>
      <c r="E20" s="154">
        <v>0.12125411664778149</v>
      </c>
      <c r="F20" s="154">
        <v>0.1206753430279999</v>
      </c>
      <c r="G20" s="154">
        <v>0.12257559398774524</v>
      </c>
      <c r="I20" s="163">
        <f t="shared" si="6"/>
        <v>1</v>
      </c>
      <c r="J20" s="163">
        <f t="shared" si="7"/>
        <v>0.99522677138077864</v>
      </c>
      <c r="K20" s="163">
        <f t="shared" si="8"/>
        <v>1.0108984121652742</v>
      </c>
      <c r="M20" s="154">
        <f>FIGURES!DF17</f>
        <v>9.9550466319943506E-2</v>
      </c>
      <c r="N20" s="154">
        <v>9.8560662971452551E-2</v>
      </c>
      <c r="O20" s="154">
        <v>9.7867530926324026E-2</v>
      </c>
      <c r="P20" s="154">
        <v>9.9550466319943506E-2</v>
      </c>
      <c r="R20" s="163">
        <f t="shared" si="9"/>
        <v>1</v>
      </c>
      <c r="S20" s="163">
        <f t="shared" si="10"/>
        <v>0.99296745756134686</v>
      </c>
      <c r="T20" s="163">
        <f t="shared" si="11"/>
        <v>1.0100425800583104</v>
      </c>
      <c r="W20" s="154">
        <f>FIGURES!FI17</f>
        <v>9.0486902077712511E-2</v>
      </c>
      <c r="X20" s="154">
        <v>8.9743777277312642E-2</v>
      </c>
      <c r="Y20" s="154">
        <v>8.8951110823552781E-2</v>
      </c>
      <c r="Z20" s="154">
        <v>9.0486902077712511E-2</v>
      </c>
      <c r="AB20" s="163">
        <f t="shared" si="12"/>
        <v>1</v>
      </c>
      <c r="AC20" s="163">
        <f t="shared" si="13"/>
        <v>0.99116744940085943</v>
      </c>
      <c r="AD20" s="163">
        <f t="shared" si="14"/>
        <v>1.0082805161866941</v>
      </c>
      <c r="AG20" s="154" t="s">
        <v>423</v>
      </c>
      <c r="AH20" s="154" t="s">
        <v>421</v>
      </c>
      <c r="AI20" s="154">
        <v>2023</v>
      </c>
      <c r="AJ20" s="154" t="str">
        <f t="shared" ref="AJ20:AL20" si="25">A10</f>
        <v>Road</v>
      </c>
      <c r="AK20" s="154" t="str">
        <f t="shared" si="25"/>
        <v>Liquid bulk</v>
      </c>
      <c r="AL20" s="154" t="str">
        <f t="shared" si="25"/>
        <v>Diesel</v>
      </c>
      <c r="AM20" s="164">
        <f t="shared" si="23"/>
        <v>1.005240823499894</v>
      </c>
    </row>
    <row r="21" spans="1:39" x14ac:dyDescent="0.25">
      <c r="A21" s="154" t="s">
        <v>221</v>
      </c>
      <c r="B21" s="154" t="s">
        <v>226</v>
      </c>
      <c r="C21" s="154" t="s">
        <v>103</v>
      </c>
      <c r="D21" s="154">
        <f>FIGURES!BD17</f>
        <v>0.14817175095677115</v>
      </c>
      <c r="E21" s="154">
        <v>0.14486718387877273</v>
      </c>
      <c r="F21" s="154">
        <v>0.14341986715853552</v>
      </c>
      <c r="G21" s="154">
        <v>0.14817175095677115</v>
      </c>
      <c r="I21" s="163">
        <f t="shared" si="6"/>
        <v>1</v>
      </c>
      <c r="J21" s="163">
        <f t="shared" si="7"/>
        <v>0.99000935421338521</v>
      </c>
      <c r="K21" s="163">
        <f t="shared" si="8"/>
        <v>1.0228110120561447</v>
      </c>
      <c r="M21" s="154">
        <f>FIGURES!DG17</f>
        <v>0.11631368968632125</v>
      </c>
      <c r="N21" s="154">
        <v>0.11396386749411043</v>
      </c>
      <c r="O21" s="154">
        <v>0.11232137514637038</v>
      </c>
      <c r="P21" s="154">
        <v>0.11631368968632125</v>
      </c>
      <c r="R21" s="163">
        <f t="shared" si="9"/>
        <v>1</v>
      </c>
      <c r="S21" s="163">
        <f t="shared" si="10"/>
        <v>0.98558760435341541</v>
      </c>
      <c r="T21" s="163">
        <f t="shared" si="11"/>
        <v>1.0206190106029198</v>
      </c>
      <c r="W21" s="154">
        <f>FIGURES!FJ17</f>
        <v>9.8614255232537446E-2</v>
      </c>
      <c r="X21" s="154">
        <v>9.7043996882390932E-2</v>
      </c>
      <c r="Y21" s="154">
        <v>9.5369054642234719E-2</v>
      </c>
      <c r="Z21" s="154">
        <v>9.8614255232537446E-2</v>
      </c>
      <c r="AB21" s="163">
        <f t="shared" si="12"/>
        <v>1</v>
      </c>
      <c r="AC21" s="163">
        <f t="shared" si="13"/>
        <v>0.98274038277518494</v>
      </c>
      <c r="AD21" s="163">
        <f t="shared" si="14"/>
        <v>1.0161808911482648</v>
      </c>
      <c r="AG21" s="154" t="s">
        <v>87</v>
      </c>
      <c r="AH21" s="154" t="s">
        <v>421</v>
      </c>
      <c r="AI21" s="154">
        <v>2023</v>
      </c>
      <c r="AJ21" s="154" t="str">
        <f t="shared" ref="AJ21:AL21" si="26">A11</f>
        <v>Road</v>
      </c>
      <c r="AK21" s="154" t="str">
        <f t="shared" si="26"/>
        <v>Liquid bulk</v>
      </c>
      <c r="AL21" s="154" t="str">
        <f t="shared" si="26"/>
        <v>Battery</v>
      </c>
      <c r="AM21" s="164">
        <f t="shared" si="23"/>
        <v>0.99443430171316261</v>
      </c>
    </row>
    <row r="22" spans="1:39" x14ac:dyDescent="0.25">
      <c r="R22" s="163"/>
      <c r="S22" s="163"/>
      <c r="T22" s="163"/>
      <c r="AG22" s="154" t="s">
        <v>103</v>
      </c>
      <c r="AH22" s="154" t="s">
        <v>421</v>
      </c>
      <c r="AI22" s="154">
        <v>2023</v>
      </c>
      <c r="AJ22" s="154" t="str">
        <f t="shared" ref="AJ22:AL22" si="27">A12</f>
        <v>Road</v>
      </c>
      <c r="AK22" s="154" t="str">
        <f t="shared" si="27"/>
        <v>Liquid bulk</v>
      </c>
      <c r="AL22" s="154" t="str">
        <f t="shared" si="27"/>
        <v>Hydrogen</v>
      </c>
      <c r="AM22" s="164">
        <f t="shared" si="23"/>
        <v>0.98859305864777691</v>
      </c>
    </row>
    <row r="23" spans="1:39" x14ac:dyDescent="0.25">
      <c r="A23" s="154" t="s">
        <v>227</v>
      </c>
      <c r="I23" s="197" t="s">
        <v>414</v>
      </c>
      <c r="J23" s="197"/>
      <c r="K23" s="197"/>
      <c r="R23" s="197" t="s">
        <v>414</v>
      </c>
      <c r="S23" s="197"/>
      <c r="T23" s="197"/>
      <c r="AB23" s="197" t="s">
        <v>414</v>
      </c>
      <c r="AC23" s="197"/>
      <c r="AD23" s="197"/>
      <c r="AG23" s="154" t="s">
        <v>423</v>
      </c>
      <c r="AH23" s="154" t="s">
        <v>421</v>
      </c>
      <c r="AI23" s="154">
        <v>2023</v>
      </c>
      <c r="AJ23" s="154" t="str">
        <f t="shared" ref="AJ23:AL23" si="28">A13</f>
        <v>Road</v>
      </c>
      <c r="AK23" s="154" t="str">
        <f t="shared" si="28"/>
        <v>Container</v>
      </c>
      <c r="AL23" s="154" t="str">
        <f t="shared" si="28"/>
        <v>Diesel</v>
      </c>
      <c r="AM23" s="164">
        <f t="shared" si="23"/>
        <v>1.0051922420392942</v>
      </c>
    </row>
    <row r="24" spans="1:39" x14ac:dyDescent="0.25">
      <c r="D24" s="161" t="s">
        <v>413</v>
      </c>
      <c r="E24" s="154" t="s">
        <v>420</v>
      </c>
      <c r="F24" s="154" t="s">
        <v>421</v>
      </c>
      <c r="G24" s="154" t="s">
        <v>422</v>
      </c>
      <c r="I24" s="154" t="s">
        <v>410</v>
      </c>
      <c r="J24" s="154" t="s">
        <v>325</v>
      </c>
      <c r="K24" s="154" t="s">
        <v>326</v>
      </c>
      <c r="M24" s="161" t="s">
        <v>413</v>
      </c>
      <c r="N24" s="154" t="s">
        <v>420</v>
      </c>
      <c r="O24" s="154" t="s">
        <v>421</v>
      </c>
      <c r="P24" s="154" t="s">
        <v>422</v>
      </c>
      <c r="R24" s="154" t="s">
        <v>420</v>
      </c>
      <c r="S24" s="154" t="s">
        <v>421</v>
      </c>
      <c r="T24" s="154" t="s">
        <v>422</v>
      </c>
      <c r="W24" s="161" t="s">
        <v>413</v>
      </c>
      <c r="X24" s="154" t="s">
        <v>420</v>
      </c>
      <c r="Y24" s="154" t="s">
        <v>421</v>
      </c>
      <c r="Z24" s="154" t="s">
        <v>422</v>
      </c>
      <c r="AB24" s="154" t="s">
        <v>420</v>
      </c>
      <c r="AC24" s="154" t="s">
        <v>421</v>
      </c>
      <c r="AD24" s="154" t="s">
        <v>422</v>
      </c>
      <c r="AG24" s="154" t="s">
        <v>87</v>
      </c>
      <c r="AH24" s="154" t="s">
        <v>421</v>
      </c>
      <c r="AI24" s="154">
        <v>2023</v>
      </c>
      <c r="AJ24" s="154" t="str">
        <f t="shared" ref="AJ24:AL24" si="29">A14</f>
        <v>Road</v>
      </c>
      <c r="AK24" s="154" t="str">
        <f t="shared" si="29"/>
        <v>Container</v>
      </c>
      <c r="AL24" s="154" t="str">
        <f t="shared" si="29"/>
        <v>Battery</v>
      </c>
      <c r="AM24" s="164">
        <f t="shared" si="23"/>
        <v>0.99452766196037456</v>
      </c>
    </row>
    <row r="25" spans="1:39" x14ac:dyDescent="0.25">
      <c r="A25" s="154" t="s">
        <v>227</v>
      </c>
      <c r="B25" s="154" t="s">
        <v>222</v>
      </c>
      <c r="C25" s="154" t="s">
        <v>11</v>
      </c>
      <c r="D25" s="154">
        <f>FIGURES!V17</f>
        <v>1.4673217391859582E-2</v>
      </c>
      <c r="E25" s="154">
        <v>1.504014858290743E-2</v>
      </c>
      <c r="F25" s="154">
        <v>1.5166281179830127E-2</v>
      </c>
      <c r="G25" s="154">
        <v>1.4673217391859582E-2</v>
      </c>
      <c r="I25" s="163">
        <f>E25/E25</f>
        <v>1</v>
      </c>
      <c r="J25" s="163">
        <f>F25/E25</f>
        <v>1.0083863930085133</v>
      </c>
      <c r="K25" s="163">
        <f>G25/E25</f>
        <v>0.97560322033887004</v>
      </c>
      <c r="M25" s="154">
        <f>FIGURES!BY17</f>
        <v>1.3095815431312328E-2</v>
      </c>
      <c r="N25" s="154">
        <v>1.4341852600912312E-2</v>
      </c>
      <c r="O25" s="154">
        <v>1.4854027388416598E-2</v>
      </c>
      <c r="P25" s="154">
        <v>1.3095815431312328E-2</v>
      </c>
      <c r="R25" s="163">
        <f>N25/N25</f>
        <v>1</v>
      </c>
      <c r="S25" s="163">
        <f>O25/N25</f>
        <v>1.0357118987174436</v>
      </c>
      <c r="T25" s="163">
        <f>P25/N25</f>
        <v>0.91311881356800995</v>
      </c>
      <c r="W25" s="154">
        <f>FIGURES!EB17</f>
        <v>1.2642546688743159E-2</v>
      </c>
      <c r="X25" s="154">
        <v>1.3980316656105102E-2</v>
      </c>
      <c r="Y25" s="154">
        <v>1.4859422634657239E-2</v>
      </c>
      <c r="Z25" s="154">
        <v>1.2642546688743159E-2</v>
      </c>
      <c r="AB25" s="163">
        <f>X25/X25</f>
        <v>1</v>
      </c>
      <c r="AC25" s="163">
        <f>Y25/X25</f>
        <v>1.0628816928955782</v>
      </c>
      <c r="AD25" s="163">
        <f>Z25/X25</f>
        <v>0.90431046733281617</v>
      </c>
      <c r="AG25" s="154" t="s">
        <v>103</v>
      </c>
      <c r="AH25" s="154" t="s">
        <v>421</v>
      </c>
      <c r="AI25" s="154">
        <v>2023</v>
      </c>
      <c r="AJ25" s="154" t="str">
        <f t="shared" ref="AJ25:AL25" si="30">A15</f>
        <v>Road</v>
      </c>
      <c r="AK25" s="154" t="str">
        <f t="shared" si="30"/>
        <v>Container</v>
      </c>
      <c r="AL25" s="154" t="str">
        <f t="shared" si="30"/>
        <v>Hydrogen</v>
      </c>
      <c r="AM25" s="164">
        <f t="shared" si="23"/>
        <v>0.98877174458275574</v>
      </c>
    </row>
    <row r="26" spans="1:39" x14ac:dyDescent="0.25">
      <c r="A26" s="154" t="s">
        <v>227</v>
      </c>
      <c r="B26" s="154" t="s">
        <v>222</v>
      </c>
      <c r="C26" s="154" t="s">
        <v>136</v>
      </c>
      <c r="D26" s="154">
        <f>FIGURES!W17</f>
        <v>1.2515885154245758E-2</v>
      </c>
      <c r="E26" s="154">
        <v>1.222552871882062E-2</v>
      </c>
      <c r="F26" s="154">
        <v>1.2098359950900243E-2</v>
      </c>
      <c r="G26" s="154">
        <v>1.2515885154245758E-2</v>
      </c>
      <c r="I26" s="163">
        <f t="shared" ref="I26:I39" si="31">E26/E26</f>
        <v>1</v>
      </c>
      <c r="J26" s="163">
        <f t="shared" ref="J26:J39" si="32">F26/E26</f>
        <v>0.98959809666762255</v>
      </c>
      <c r="K26" s="163">
        <f t="shared" ref="K26:K39" si="33">G26/E26</f>
        <v>1.0237500104987809</v>
      </c>
      <c r="M26" s="154">
        <f>FIGURES!BZ17</f>
        <v>1.2677602662583812E-2</v>
      </c>
      <c r="N26" s="154">
        <v>1.2407828455492606E-2</v>
      </c>
      <c r="O26" s="154">
        <v>1.2218913002570428E-2</v>
      </c>
      <c r="P26" s="154">
        <v>1.2677602662583812E-2</v>
      </c>
      <c r="R26" s="163">
        <f t="shared" ref="R26:R39" si="34">N26/N26</f>
        <v>1</v>
      </c>
      <c r="S26" s="163">
        <f t="shared" ref="S26:S39" si="35">O26/N26</f>
        <v>0.98477449510203774</v>
      </c>
      <c r="T26" s="163">
        <f t="shared" ref="T26:T39" si="36">P26/N26</f>
        <v>1.0217422579671291</v>
      </c>
      <c r="W26" s="154">
        <f>FIGURES!EC17</f>
        <v>1.2387246227158675E-2</v>
      </c>
      <c r="X26" s="154">
        <v>1.2166722352152239E-2</v>
      </c>
      <c r="Y26" s="154">
        <v>1.1931496885478711E-2</v>
      </c>
      <c r="Z26" s="154">
        <v>1.2387246227158675E-2</v>
      </c>
      <c r="AB26" s="163">
        <f t="shared" ref="AB26:AB39" si="37">X26/X26</f>
        <v>1</v>
      </c>
      <c r="AC26" s="163">
        <f t="shared" ref="AC26:AC39" si="38">Y26/X26</f>
        <v>0.98066648848677651</v>
      </c>
      <c r="AD26" s="163">
        <f t="shared" ref="AD26:AD39" si="39">Z26/X26</f>
        <v>1.0181251670436473</v>
      </c>
      <c r="AG26" s="154" t="s">
        <v>423</v>
      </c>
      <c r="AH26" s="154" t="s">
        <v>421</v>
      </c>
      <c r="AI26" s="154">
        <v>2023</v>
      </c>
      <c r="AJ26" s="154" t="str">
        <f t="shared" ref="AJ26:AL26" si="40">A16</f>
        <v>Road</v>
      </c>
      <c r="AK26" s="154" t="str">
        <f t="shared" si="40"/>
        <v>Break bulk</v>
      </c>
      <c r="AL26" s="154" t="str">
        <f t="shared" si="40"/>
        <v>Diesel</v>
      </c>
      <c r="AM26" s="164">
        <f t="shared" si="23"/>
        <v>1.0040557798417171</v>
      </c>
    </row>
    <row r="27" spans="1:39" x14ac:dyDescent="0.25">
      <c r="A27" s="154" t="s">
        <v>227</v>
      </c>
      <c r="B27" s="154" t="s">
        <v>222</v>
      </c>
      <c r="C27" s="154" t="s">
        <v>87</v>
      </c>
      <c r="D27" s="154">
        <f>FIGURES!X17</f>
        <v>1.733080925299478E-2</v>
      </c>
      <c r="E27" s="154">
        <v>1.7015042906868429E-2</v>
      </c>
      <c r="F27" s="154">
        <v>1.6876745241349807E-2</v>
      </c>
      <c r="G27" s="154">
        <v>1.733080925299478E-2</v>
      </c>
      <c r="I27" s="163">
        <f t="shared" si="31"/>
        <v>1</v>
      </c>
      <c r="J27" s="163">
        <f t="shared" si="32"/>
        <v>0.99187203545265257</v>
      </c>
      <c r="K27" s="163">
        <f t="shared" si="33"/>
        <v>1.0185580693422105</v>
      </c>
      <c r="M27" s="154">
        <f>FIGURES!CA17</f>
        <v>1.5970411683245658E-2</v>
      </c>
      <c r="N27" s="154">
        <v>1.5678518738614936E-2</v>
      </c>
      <c r="O27" s="154">
        <v>1.5474114142511137E-2</v>
      </c>
      <c r="P27" s="154">
        <v>1.5970411683245658E-2</v>
      </c>
      <c r="R27" s="163">
        <f t="shared" si="34"/>
        <v>1</v>
      </c>
      <c r="S27" s="163">
        <f t="shared" si="35"/>
        <v>0.98696276099091129</v>
      </c>
      <c r="T27" s="163">
        <f t="shared" si="36"/>
        <v>1.0186173802192049</v>
      </c>
      <c r="W27" s="154">
        <f>FIGURES!ED17</f>
        <v>1.3671916904513842E-2</v>
      </c>
      <c r="X27" s="154">
        <v>1.3434877631593524E-2</v>
      </c>
      <c r="Y27" s="154">
        <v>1.3182035740478514E-2</v>
      </c>
      <c r="Z27" s="154">
        <v>1.3671916904513842E-2</v>
      </c>
      <c r="AB27" s="163">
        <f t="shared" si="37"/>
        <v>1</v>
      </c>
      <c r="AC27" s="163">
        <f t="shared" si="38"/>
        <v>0.98118018652284367</v>
      </c>
      <c r="AD27" s="163">
        <f t="shared" si="39"/>
        <v>1.0176435751348338</v>
      </c>
      <c r="AG27" s="154" t="s">
        <v>87</v>
      </c>
      <c r="AH27" s="154" t="s">
        <v>421</v>
      </c>
      <c r="AI27" s="154">
        <v>2023</v>
      </c>
      <c r="AJ27" s="154" t="str">
        <f t="shared" ref="AJ27:AL27" si="41">A17</f>
        <v>Road</v>
      </c>
      <c r="AK27" s="154" t="str">
        <f t="shared" si="41"/>
        <v>Break bulk</v>
      </c>
      <c r="AL27" s="154" t="str">
        <f t="shared" si="41"/>
        <v>Battery</v>
      </c>
      <c r="AM27" s="164">
        <f t="shared" si="23"/>
        <v>0.99581006248616732</v>
      </c>
    </row>
    <row r="28" spans="1:39" x14ac:dyDescent="0.25">
      <c r="A28" s="154" t="s">
        <v>227</v>
      </c>
      <c r="B28" s="154" t="s">
        <v>222</v>
      </c>
      <c r="C28" s="154" t="s">
        <v>103</v>
      </c>
      <c r="D28" s="154">
        <f>FIGURES!Y17</f>
        <v>2.2041384862265825E-2</v>
      </c>
      <c r="E28" s="154">
        <v>2.133769640797668E-2</v>
      </c>
      <c r="F28" s="154">
        <v>2.1029498679895606E-2</v>
      </c>
      <c r="G28" s="154">
        <v>2.2041384862265825E-2</v>
      </c>
      <c r="I28" s="163">
        <f t="shared" si="31"/>
        <v>1</v>
      </c>
      <c r="J28" s="163">
        <f t="shared" si="32"/>
        <v>0.98555618553248037</v>
      </c>
      <c r="K28" s="163">
        <f t="shared" si="33"/>
        <v>1.0329786515298851</v>
      </c>
      <c r="M28" s="154">
        <f>FIGURES!CB17</f>
        <v>1.8362459770413571E-2</v>
      </c>
      <c r="N28" s="154">
        <v>1.7772633240648497E-2</v>
      </c>
      <c r="O28" s="154">
        <v>1.736035287116159E-2</v>
      </c>
      <c r="P28" s="154">
        <v>1.8362459770413571E-2</v>
      </c>
      <c r="R28" s="163">
        <f t="shared" si="34"/>
        <v>1</v>
      </c>
      <c r="S28" s="163">
        <f t="shared" si="35"/>
        <v>0.97680251632358206</v>
      </c>
      <c r="T28" s="163">
        <f t="shared" si="36"/>
        <v>1.0331873460605747</v>
      </c>
      <c r="W28" s="154">
        <f>FIGURES!EE17</f>
        <v>1.3379883134876433E-2</v>
      </c>
      <c r="X28" s="154">
        <v>1.2975657245638596E-2</v>
      </c>
      <c r="Y28" s="154">
        <v>1.2544482963784907E-2</v>
      </c>
      <c r="Z28" s="154">
        <v>1.3379883134876433E-2</v>
      </c>
      <c r="AB28" s="163">
        <f t="shared" si="37"/>
        <v>1</v>
      </c>
      <c r="AC28" s="163">
        <f t="shared" si="38"/>
        <v>0.9667705247070536</v>
      </c>
      <c r="AD28" s="163">
        <f t="shared" si="39"/>
        <v>1.0311526330871377</v>
      </c>
      <c r="AG28" s="154" t="s">
        <v>103</v>
      </c>
      <c r="AH28" s="154" t="s">
        <v>421</v>
      </c>
      <c r="AI28" s="154">
        <v>2023</v>
      </c>
      <c r="AJ28" s="154" t="str">
        <f t="shared" ref="AJ28:AL28" si="42">A18</f>
        <v>Road</v>
      </c>
      <c r="AK28" s="154" t="str">
        <f t="shared" si="42"/>
        <v>Break bulk</v>
      </c>
      <c r="AL28" s="154" t="str">
        <f t="shared" si="42"/>
        <v>Hydrogen</v>
      </c>
      <c r="AM28" s="164">
        <f t="shared" si="23"/>
        <v>0.99108020374294459</v>
      </c>
    </row>
    <row r="29" spans="1:39" x14ac:dyDescent="0.25">
      <c r="A29" s="154" t="s">
        <v>227</v>
      </c>
      <c r="B29" s="154" t="s">
        <v>223</v>
      </c>
      <c r="C29" s="154" t="s">
        <v>11</v>
      </c>
      <c r="D29" s="154">
        <f>FIGURES!Z17</f>
        <v>2.2179603065261261E-2</v>
      </c>
      <c r="E29" s="154">
        <v>2.2729999851833028E-2</v>
      </c>
      <c r="F29" s="154">
        <v>2.2919198747217075E-2</v>
      </c>
      <c r="G29" s="154">
        <v>2.2179603065261261E-2</v>
      </c>
      <c r="I29" s="163">
        <f t="shared" si="31"/>
        <v>1</v>
      </c>
      <c r="J29" s="163">
        <f t="shared" si="32"/>
        <v>1.0083237526008513</v>
      </c>
      <c r="K29" s="163">
        <f t="shared" si="33"/>
        <v>0.97578544697934166</v>
      </c>
      <c r="M29" s="154">
        <f>FIGURES!CC17</f>
        <v>1.9813500124440376E-2</v>
      </c>
      <c r="N29" s="154">
        <v>2.168255587884035E-2</v>
      </c>
      <c r="O29" s="154">
        <v>2.2450818060096783E-2</v>
      </c>
      <c r="P29" s="154">
        <v>1.9813500124440376E-2</v>
      </c>
      <c r="R29" s="163">
        <f t="shared" si="34"/>
        <v>1</v>
      </c>
      <c r="S29" s="163">
        <f t="shared" si="35"/>
        <v>1.0354322703259429</v>
      </c>
      <c r="T29" s="163">
        <f t="shared" si="36"/>
        <v>0.91379910353539295</v>
      </c>
      <c r="W29" s="154">
        <f>FIGURES!EF17</f>
        <v>1.9133597010586624E-2</v>
      </c>
      <c r="X29" s="154">
        <v>2.1140251961629539E-2</v>
      </c>
      <c r="Y29" s="154">
        <v>2.2458910929457742E-2</v>
      </c>
      <c r="Z29" s="154">
        <v>1.9133597010586624E-2</v>
      </c>
      <c r="AB29" s="163">
        <f t="shared" si="37"/>
        <v>1</v>
      </c>
      <c r="AC29" s="163">
        <f t="shared" si="38"/>
        <v>1.062376691168186</v>
      </c>
      <c r="AD29" s="163">
        <f t="shared" si="39"/>
        <v>0.90507894822232582</v>
      </c>
      <c r="AG29" s="154" t="s">
        <v>423</v>
      </c>
      <c r="AH29" s="154" t="s">
        <v>421</v>
      </c>
      <c r="AI29" s="154">
        <v>2023</v>
      </c>
      <c r="AJ29" s="154" t="str">
        <f t="shared" ref="AJ29:AL29" si="43">A19</f>
        <v>Road</v>
      </c>
      <c r="AK29" s="154" t="str">
        <f t="shared" si="43"/>
        <v>Neo bulk</v>
      </c>
      <c r="AL29" s="154" t="str">
        <f t="shared" si="43"/>
        <v>Diesel</v>
      </c>
      <c r="AM29" s="164">
        <f t="shared" si="23"/>
        <v>1.0045796038386168</v>
      </c>
    </row>
    <row r="30" spans="1:39" x14ac:dyDescent="0.25">
      <c r="A30" s="154" t="s">
        <v>227</v>
      </c>
      <c r="B30" s="154" t="s">
        <v>223</v>
      </c>
      <c r="C30" s="154" t="s">
        <v>136</v>
      </c>
      <c r="D30" s="154">
        <f>FIGURES!AA17</f>
        <v>1.8943604708840517E-2</v>
      </c>
      <c r="E30" s="154">
        <v>1.8508070055702812E-2</v>
      </c>
      <c r="F30" s="154">
        <v>1.831731690382225E-2</v>
      </c>
      <c r="G30" s="154">
        <v>1.8943604708840517E-2</v>
      </c>
      <c r="I30" s="163">
        <f t="shared" si="31"/>
        <v>1</v>
      </c>
      <c r="J30" s="163">
        <f t="shared" si="32"/>
        <v>0.98969351470431755</v>
      </c>
      <c r="K30" s="163">
        <f t="shared" si="33"/>
        <v>1.0235321485074833</v>
      </c>
      <c r="M30" s="154">
        <f>FIGURES!CD17</f>
        <v>1.9186180971347597E-2</v>
      </c>
      <c r="N30" s="154">
        <v>1.8781519660710795E-2</v>
      </c>
      <c r="O30" s="154">
        <v>1.8498146481327523E-2</v>
      </c>
      <c r="P30" s="154">
        <v>1.9186180971347597E-2</v>
      </c>
      <c r="R30" s="163">
        <f t="shared" si="34"/>
        <v>1</v>
      </c>
      <c r="S30" s="163">
        <f t="shared" si="35"/>
        <v>0.98491212721321675</v>
      </c>
      <c r="T30" s="163">
        <f t="shared" si="36"/>
        <v>1.0215457171702307</v>
      </c>
      <c r="W30" s="154">
        <f>FIGURES!EG17</f>
        <v>1.8750646318209892E-2</v>
      </c>
      <c r="X30" s="154">
        <v>1.8419860505700242E-2</v>
      </c>
      <c r="Y30" s="154">
        <v>1.8067022305689948E-2</v>
      </c>
      <c r="Z30" s="154">
        <v>1.8750646318209892E-2</v>
      </c>
      <c r="AB30" s="163">
        <f t="shared" si="37"/>
        <v>1</v>
      </c>
      <c r="AC30" s="163">
        <f t="shared" si="38"/>
        <v>0.98084468664129654</v>
      </c>
      <c r="AD30" s="163">
        <f t="shared" si="39"/>
        <v>1.0179581062737844</v>
      </c>
      <c r="AG30" s="154" t="s">
        <v>87</v>
      </c>
      <c r="AH30" s="154" t="s">
        <v>421</v>
      </c>
      <c r="AI30" s="154">
        <v>2023</v>
      </c>
      <c r="AJ30" s="154" t="str">
        <f t="shared" ref="AJ30:AL30" si="44">A20</f>
        <v>Road</v>
      </c>
      <c r="AK30" s="154" t="str">
        <f t="shared" si="44"/>
        <v>Neo bulk</v>
      </c>
      <c r="AL30" s="154" t="str">
        <f t="shared" si="44"/>
        <v>Battery</v>
      </c>
      <c r="AM30" s="164">
        <f t="shared" si="23"/>
        <v>0.99522677138077864</v>
      </c>
    </row>
    <row r="31" spans="1:39" x14ac:dyDescent="0.25">
      <c r="A31" s="154" t="s">
        <v>227</v>
      </c>
      <c r="B31" s="154" t="s">
        <v>223</v>
      </c>
      <c r="C31" s="154" t="s">
        <v>87</v>
      </c>
      <c r="D31" s="154">
        <f>FIGURES!AB17</f>
        <v>2.5968273679995914E-2</v>
      </c>
      <c r="E31" s="154">
        <v>2.5498255477549962E-2</v>
      </c>
      <c r="F31" s="154">
        <v>2.5292399404073643E-2</v>
      </c>
      <c r="G31" s="154">
        <v>2.5968273679995914E-2</v>
      </c>
      <c r="I31" s="163">
        <f t="shared" si="31"/>
        <v>1</v>
      </c>
      <c r="J31" s="163">
        <f t="shared" si="32"/>
        <v>0.99192666048633926</v>
      </c>
      <c r="K31" s="163">
        <f t="shared" si="33"/>
        <v>1.0184333474444862</v>
      </c>
      <c r="M31" s="154">
        <f>FIGURES!CE17</f>
        <v>2.3982790832993116E-2</v>
      </c>
      <c r="N31" s="154">
        <v>2.3547580340845191E-2</v>
      </c>
      <c r="O31" s="154">
        <v>2.3242814410376483E-2</v>
      </c>
      <c r="P31" s="154">
        <v>2.3982790832993116E-2</v>
      </c>
      <c r="R31" s="163">
        <f t="shared" si="34"/>
        <v>1</v>
      </c>
      <c r="S31" s="163">
        <f t="shared" si="35"/>
        <v>0.98705744173892607</v>
      </c>
      <c r="T31" s="163">
        <f t="shared" si="36"/>
        <v>1.0184821746374093</v>
      </c>
      <c r="W31" s="154">
        <f>FIGURES!EH17</f>
        <v>2.0599626753889825E-2</v>
      </c>
      <c r="X31" s="154">
        <v>2.0245434172372331E-2</v>
      </c>
      <c r="Y31" s="154">
        <v>1.9867628752087009E-2</v>
      </c>
      <c r="Z31" s="154">
        <v>2.0599626753889825E-2</v>
      </c>
      <c r="AB31" s="163">
        <f t="shared" si="37"/>
        <v>1</v>
      </c>
      <c r="AC31" s="163">
        <f t="shared" si="38"/>
        <v>0.98133873459721155</v>
      </c>
      <c r="AD31" s="163">
        <f t="shared" si="39"/>
        <v>1.0174949363151145</v>
      </c>
      <c r="AG31" s="154" t="s">
        <v>103</v>
      </c>
      <c r="AH31" s="154" t="s">
        <v>421</v>
      </c>
      <c r="AI31" s="154">
        <v>2023</v>
      </c>
      <c r="AJ31" s="154" t="str">
        <f t="shared" ref="AJ31:AL31" si="45">A21</f>
        <v>Road</v>
      </c>
      <c r="AK31" s="154" t="str">
        <f t="shared" si="45"/>
        <v>Neo bulk</v>
      </c>
      <c r="AL31" s="154" t="str">
        <f t="shared" si="45"/>
        <v>Hydrogen</v>
      </c>
      <c r="AM31" s="164">
        <f t="shared" si="23"/>
        <v>0.99000935421338521</v>
      </c>
    </row>
    <row r="32" spans="1:39" x14ac:dyDescent="0.25">
      <c r="A32" s="154" t="s">
        <v>227</v>
      </c>
      <c r="B32" s="154" t="s">
        <v>223</v>
      </c>
      <c r="C32" s="154" t="s">
        <v>103</v>
      </c>
      <c r="D32" s="154">
        <f>FIGURES!AC17</f>
        <v>3.3105868080487003E-2</v>
      </c>
      <c r="E32" s="154">
        <v>3.2054382492967229E-2</v>
      </c>
      <c r="F32" s="154">
        <v>3.1593858425521863E-2</v>
      </c>
      <c r="G32" s="154">
        <v>3.3105868080487003E-2</v>
      </c>
      <c r="I32" s="163">
        <f t="shared" si="31"/>
        <v>1</v>
      </c>
      <c r="J32" s="163">
        <f t="shared" si="32"/>
        <v>0.98563303886617049</v>
      </c>
      <c r="K32" s="163">
        <f t="shared" si="33"/>
        <v>1.0328031771552757</v>
      </c>
      <c r="M32" s="154">
        <f>FIGURES!CF17</f>
        <v>2.7608638890397191E-2</v>
      </c>
      <c r="N32" s="154">
        <v>2.6727291340349239E-2</v>
      </c>
      <c r="O32" s="154">
        <v>2.6111241916928297E-2</v>
      </c>
      <c r="P32" s="154">
        <v>2.7608638890397191E-2</v>
      </c>
      <c r="R32" s="163">
        <f t="shared" si="34"/>
        <v>1</v>
      </c>
      <c r="S32" s="163">
        <f t="shared" si="35"/>
        <v>0.97695054782858171</v>
      </c>
      <c r="T32" s="163">
        <f t="shared" si="36"/>
        <v>1.032975565642801</v>
      </c>
      <c r="W32" s="154">
        <f>FIGURES!EI17</f>
        <v>2.0163430021264243E-2</v>
      </c>
      <c r="X32" s="154">
        <v>1.9559415994822228E-2</v>
      </c>
      <c r="Y32" s="154">
        <v>1.8915134366617417E-2</v>
      </c>
      <c r="Z32" s="154">
        <v>2.0163430021264243E-2</v>
      </c>
      <c r="AB32" s="163">
        <f t="shared" si="37"/>
        <v>1</v>
      </c>
      <c r="AC32" s="163">
        <f t="shared" si="38"/>
        <v>0.96706028296676316</v>
      </c>
      <c r="AD32" s="163">
        <f t="shared" si="39"/>
        <v>1.0308809847186597</v>
      </c>
      <c r="AG32" s="154" t="s">
        <v>423</v>
      </c>
      <c r="AH32" s="154" t="s">
        <v>422</v>
      </c>
      <c r="AI32" s="154">
        <v>2023</v>
      </c>
      <c r="AJ32" s="154" t="str">
        <f>A7</f>
        <v>Road</v>
      </c>
      <c r="AK32" s="154" t="str">
        <f>B7</f>
        <v>Dry bulk</v>
      </c>
      <c r="AL32" s="154" t="str">
        <f>C7</f>
        <v>Diesel</v>
      </c>
      <c r="AM32" s="164">
        <f>K7</f>
        <v>0.99123237747595705</v>
      </c>
    </row>
    <row r="33" spans="1:39" x14ac:dyDescent="0.25">
      <c r="A33" s="154" t="s">
        <v>227</v>
      </c>
      <c r="B33" s="154" t="s">
        <v>224</v>
      </c>
      <c r="C33" s="154" t="s">
        <v>11</v>
      </c>
      <c r="D33" s="154">
        <f>FIGURES!AD17</f>
        <v>2.0919868645195999E-2</v>
      </c>
      <c r="E33" s="154">
        <v>2.1470265431767766E-2</v>
      </c>
      <c r="F33" s="154">
        <v>2.1659464327151809E-2</v>
      </c>
      <c r="G33" s="154">
        <v>2.0919868645195999E-2</v>
      </c>
      <c r="I33" s="163">
        <f t="shared" si="31"/>
        <v>1</v>
      </c>
      <c r="J33" s="163">
        <f t="shared" si="32"/>
        <v>1.0088121358343387</v>
      </c>
      <c r="K33" s="163">
        <f t="shared" si="33"/>
        <v>0.9743646957546509</v>
      </c>
      <c r="M33" s="154">
        <f>FIGURES!CG17</f>
        <v>1.8553765704375114E-2</v>
      </c>
      <c r="N33" s="154">
        <v>2.0422821458775088E-2</v>
      </c>
      <c r="O33" s="154">
        <v>2.119108364003152E-2</v>
      </c>
      <c r="P33" s="154">
        <v>1.8553765704375114E-2</v>
      </c>
      <c r="R33" s="163">
        <f t="shared" si="34"/>
        <v>1</v>
      </c>
      <c r="S33" s="163">
        <f t="shared" si="35"/>
        <v>1.037617827821059</v>
      </c>
      <c r="T33" s="163">
        <f t="shared" si="36"/>
        <v>0.90848200097264742</v>
      </c>
      <c r="W33" s="154">
        <f>FIGURES!EJ17</f>
        <v>1.7873862590521362E-2</v>
      </c>
      <c r="X33" s="154">
        <v>1.9880517541564273E-2</v>
      </c>
      <c r="Y33" s="154">
        <v>2.119917650939248E-2</v>
      </c>
      <c r="Z33" s="154">
        <v>1.7873862590521362E-2</v>
      </c>
      <c r="AB33" s="163">
        <f t="shared" si="37"/>
        <v>1</v>
      </c>
      <c r="AC33" s="163">
        <f t="shared" si="38"/>
        <v>1.0663292072286992</v>
      </c>
      <c r="AD33" s="163">
        <f t="shared" si="39"/>
        <v>0.89906424986937139</v>
      </c>
      <c r="AG33" s="154" t="s">
        <v>87</v>
      </c>
      <c r="AH33" s="154" t="s">
        <v>422</v>
      </c>
      <c r="AI33" s="154">
        <v>2023</v>
      </c>
      <c r="AJ33" s="154" t="str">
        <f t="shared" ref="AJ33:AL33" si="46">A8</f>
        <v>Road</v>
      </c>
      <c r="AK33" s="154" t="str">
        <f t="shared" si="46"/>
        <v>Dry bulk</v>
      </c>
      <c r="AL33" s="154" t="str">
        <f t="shared" si="46"/>
        <v>Battery</v>
      </c>
      <c r="AM33" s="164">
        <f t="shared" ref="AM33:AM46" si="47">K8</f>
        <v>1.0069706504563516</v>
      </c>
    </row>
    <row r="34" spans="1:39" x14ac:dyDescent="0.25">
      <c r="A34" s="154" t="s">
        <v>227</v>
      </c>
      <c r="B34" s="154" t="s">
        <v>224</v>
      </c>
      <c r="C34" s="154" t="s">
        <v>136</v>
      </c>
      <c r="D34" s="154">
        <f>FIGURES!AE17</f>
        <v>1.7683870288775261E-2</v>
      </c>
      <c r="E34" s="154">
        <v>1.7248335635637553E-2</v>
      </c>
      <c r="F34" s="154">
        <v>1.7057582483756988E-2</v>
      </c>
      <c r="G34" s="154">
        <v>1.7683870288775261E-2</v>
      </c>
      <c r="I34" s="163">
        <f t="shared" si="31"/>
        <v>1</v>
      </c>
      <c r="J34" s="163">
        <f t="shared" si="32"/>
        <v>0.9889407792200865</v>
      </c>
      <c r="K34" s="163">
        <f t="shared" si="33"/>
        <v>1.0252508220119414</v>
      </c>
      <c r="M34" s="154">
        <f>FIGURES!CH17</f>
        <v>1.7926446551282338E-2</v>
      </c>
      <c r="N34" s="154">
        <v>1.7521785240645533E-2</v>
      </c>
      <c r="O34" s="154">
        <v>1.7238412061262268E-2</v>
      </c>
      <c r="P34" s="154">
        <v>1.7926446551282338E-2</v>
      </c>
      <c r="R34" s="163">
        <f t="shared" si="34"/>
        <v>1</v>
      </c>
      <c r="S34" s="163">
        <f t="shared" si="35"/>
        <v>0.98382737971665579</v>
      </c>
      <c r="T34" s="163">
        <f t="shared" si="36"/>
        <v>1.0230947534785499</v>
      </c>
      <c r="W34" s="154">
        <f>FIGURES!EK17</f>
        <v>1.7490911898144633E-2</v>
      </c>
      <c r="X34" s="154">
        <v>1.716012608563498E-2</v>
      </c>
      <c r="Y34" s="154">
        <v>1.6807287885624685E-2</v>
      </c>
      <c r="Z34" s="154">
        <v>1.7490911898144633E-2</v>
      </c>
      <c r="AB34" s="163">
        <f t="shared" si="37"/>
        <v>1</v>
      </c>
      <c r="AC34" s="163">
        <f t="shared" si="38"/>
        <v>0.97943848441150672</v>
      </c>
      <c r="AD34" s="163">
        <f t="shared" si="39"/>
        <v>1.0192764208642127</v>
      </c>
      <c r="AG34" s="154" t="s">
        <v>103</v>
      </c>
      <c r="AH34" s="154" t="s">
        <v>422</v>
      </c>
      <c r="AI34" s="154">
        <v>2023</v>
      </c>
      <c r="AJ34" s="154" t="str">
        <f t="shared" ref="AJ34:AL34" si="48">A9</f>
        <v>Road</v>
      </c>
      <c r="AK34" s="154" t="str">
        <f t="shared" si="48"/>
        <v>Dry bulk</v>
      </c>
      <c r="AL34" s="154" t="str">
        <f t="shared" si="48"/>
        <v>Hydrogen</v>
      </c>
      <c r="AM34" s="164">
        <f t="shared" si="47"/>
        <v>1.0153432968629257</v>
      </c>
    </row>
    <row r="35" spans="1:39" x14ac:dyDescent="0.25">
      <c r="A35" s="154" t="s">
        <v>227</v>
      </c>
      <c r="B35" s="154" t="s">
        <v>224</v>
      </c>
      <c r="C35" s="154" t="s">
        <v>87</v>
      </c>
      <c r="D35" s="154">
        <f>FIGURES!AF17</f>
        <v>2.4687970144163886E-2</v>
      </c>
      <c r="E35" s="154">
        <v>2.4217951941717931E-2</v>
      </c>
      <c r="F35" s="154">
        <v>2.4012095868241601E-2</v>
      </c>
      <c r="G35" s="154">
        <v>2.4687970144163886E-2</v>
      </c>
      <c r="I35" s="163">
        <f t="shared" si="31"/>
        <v>1</v>
      </c>
      <c r="J35" s="163">
        <f t="shared" si="32"/>
        <v>0.99149985622352643</v>
      </c>
      <c r="K35" s="163">
        <f t="shared" si="33"/>
        <v>1.0194078427266304</v>
      </c>
      <c r="M35" s="154">
        <f>FIGURES!CI17</f>
        <v>2.2707029101169868E-2</v>
      </c>
      <c r="N35" s="154">
        <v>2.2271818609021943E-2</v>
      </c>
      <c r="O35" s="154">
        <v>2.1967052678553235E-2</v>
      </c>
      <c r="P35" s="154">
        <v>2.2707029101169868E-2</v>
      </c>
      <c r="R35" s="163">
        <f t="shared" si="34"/>
        <v>1</v>
      </c>
      <c r="S35" s="163">
        <f t="shared" si="35"/>
        <v>0.98631607342809213</v>
      </c>
      <c r="T35" s="163">
        <f t="shared" si="36"/>
        <v>1.0195408601240865</v>
      </c>
      <c r="W35" s="154">
        <f>FIGURES!EL17</f>
        <v>1.9329702144425247E-2</v>
      </c>
      <c r="X35" s="154">
        <v>1.8975509562907757E-2</v>
      </c>
      <c r="Y35" s="154">
        <v>1.8597704142622438E-2</v>
      </c>
      <c r="Z35" s="154">
        <v>1.9329702144425247E-2</v>
      </c>
      <c r="AB35" s="163">
        <f t="shared" si="37"/>
        <v>1</v>
      </c>
      <c r="AC35" s="163">
        <f t="shared" si="38"/>
        <v>0.98008984058990267</v>
      </c>
      <c r="AD35" s="163">
        <f t="shared" si="39"/>
        <v>1.0186657744469665</v>
      </c>
      <c r="AG35" s="154" t="s">
        <v>423</v>
      </c>
      <c r="AH35" s="154" t="s">
        <v>422</v>
      </c>
      <c r="AI35" s="154">
        <v>2023</v>
      </c>
      <c r="AJ35" s="154" t="str">
        <f t="shared" ref="AJ35:AL35" si="49">A10</f>
        <v>Road</v>
      </c>
      <c r="AK35" s="154" t="str">
        <f t="shared" si="49"/>
        <v>Liquid bulk</v>
      </c>
      <c r="AL35" s="154" t="str">
        <f t="shared" si="49"/>
        <v>Diesel</v>
      </c>
      <c r="AM35" s="164">
        <f t="shared" si="47"/>
        <v>0.98475396800030846</v>
      </c>
    </row>
    <row r="36" spans="1:39" x14ac:dyDescent="0.25">
      <c r="A36" s="154" t="s">
        <v>227</v>
      </c>
      <c r="B36" s="154" t="s">
        <v>224</v>
      </c>
      <c r="C36" s="154" t="s">
        <v>103</v>
      </c>
      <c r="D36" s="154">
        <f>FIGURES!AG17</f>
        <v>3.1835966511754063E-2</v>
      </c>
      <c r="E36" s="154">
        <v>3.0784480924234296E-2</v>
      </c>
      <c r="F36" s="154">
        <v>3.0323956856788927E-2</v>
      </c>
      <c r="G36" s="154">
        <v>3.1835966511754063E-2</v>
      </c>
      <c r="I36" s="163">
        <f t="shared" si="31"/>
        <v>1</v>
      </c>
      <c r="J36" s="163">
        <f t="shared" si="32"/>
        <v>0.98504038224393664</v>
      </c>
      <c r="K36" s="163">
        <f t="shared" si="33"/>
        <v>1.0341563526800288</v>
      </c>
      <c r="M36" s="154">
        <f>FIGURES!CJ17</f>
        <v>2.6338737321664259E-2</v>
      </c>
      <c r="N36" s="154">
        <v>2.5457389771616303E-2</v>
      </c>
      <c r="O36" s="154">
        <v>2.4841340348195354E-2</v>
      </c>
      <c r="P36" s="154">
        <v>2.6338737321664259E-2</v>
      </c>
      <c r="R36" s="163">
        <f t="shared" si="34"/>
        <v>1</v>
      </c>
      <c r="S36" s="163">
        <f t="shared" si="35"/>
        <v>0.97580076241328517</v>
      </c>
      <c r="T36" s="163">
        <f t="shared" si="36"/>
        <v>1.0346204995074009</v>
      </c>
      <c r="W36" s="154">
        <f>FIGURES!EM17</f>
        <v>1.8893528452531304E-2</v>
      </c>
      <c r="X36" s="154">
        <v>1.8289514426089285E-2</v>
      </c>
      <c r="Y36" s="154">
        <v>1.7645232797884478E-2</v>
      </c>
      <c r="Z36" s="154">
        <v>1.8893528452531304E-2</v>
      </c>
      <c r="AB36" s="163">
        <f t="shared" si="37"/>
        <v>1</v>
      </c>
      <c r="AC36" s="163">
        <f t="shared" si="38"/>
        <v>0.96477316930373147</v>
      </c>
      <c r="AD36" s="163">
        <f t="shared" si="39"/>
        <v>1.0330251537777524</v>
      </c>
      <c r="AG36" s="154" t="s">
        <v>87</v>
      </c>
      <c r="AH36" s="154" t="s">
        <v>422</v>
      </c>
      <c r="AI36" s="154">
        <v>2023</v>
      </c>
      <c r="AJ36" s="154" t="str">
        <f t="shared" ref="AJ36:AL36" si="50">A11</f>
        <v>Road</v>
      </c>
      <c r="AK36" s="154" t="str">
        <f t="shared" si="50"/>
        <v>Liquid bulk</v>
      </c>
      <c r="AL36" s="154" t="str">
        <f t="shared" si="50"/>
        <v>Battery</v>
      </c>
      <c r="AM36" s="164">
        <f t="shared" si="47"/>
        <v>1.0127078082271725</v>
      </c>
    </row>
    <row r="37" spans="1:39" x14ac:dyDescent="0.25">
      <c r="A37" s="154" t="s">
        <v>227</v>
      </c>
      <c r="B37" s="154" t="s">
        <v>225</v>
      </c>
      <c r="C37" s="154" t="s">
        <v>11</v>
      </c>
      <c r="D37" s="154">
        <f>FIGURES!AH17</f>
        <v>1.8939520639606751E-2</v>
      </c>
      <c r="E37" s="154">
        <v>1.9265681698315947E-2</v>
      </c>
      <c r="F37" s="154">
        <v>1.9377799562247236E-2</v>
      </c>
      <c r="G37" s="154">
        <v>1.8939520639606751E-2</v>
      </c>
      <c r="I37" s="163">
        <f t="shared" si="31"/>
        <v>1</v>
      </c>
      <c r="J37" s="163">
        <f t="shared" si="32"/>
        <v>1.0058195638071343</v>
      </c>
      <c r="K37" s="163">
        <f t="shared" si="33"/>
        <v>0.98307035983379165</v>
      </c>
      <c r="M37" s="154">
        <f>FIGURES!CK17</f>
        <v>1.7537385563564746E-2</v>
      </c>
      <c r="N37" s="154">
        <v>1.8644974158764732E-2</v>
      </c>
      <c r="O37" s="154">
        <v>1.910024063654632E-2</v>
      </c>
      <c r="P37" s="154">
        <v>1.7537385563564746E-2</v>
      </c>
      <c r="R37" s="163">
        <f t="shared" si="34"/>
        <v>1</v>
      </c>
      <c r="S37" s="163">
        <f t="shared" si="35"/>
        <v>1.0244176513147685</v>
      </c>
      <c r="T37" s="163">
        <f t="shared" si="36"/>
        <v>0.94059586321929411</v>
      </c>
      <c r="W37" s="154">
        <f>FIGURES!EN17</f>
        <v>1.7134480014614373E-2</v>
      </c>
      <c r="X37" s="154">
        <v>1.8323608874491658E-2</v>
      </c>
      <c r="Y37" s="154">
        <v>1.9105036410982441E-2</v>
      </c>
      <c r="Z37" s="154">
        <v>1.7134480014614373E-2</v>
      </c>
      <c r="AB37" s="163">
        <f t="shared" si="37"/>
        <v>1</v>
      </c>
      <c r="AC37" s="163">
        <f t="shared" si="38"/>
        <v>1.0426459406464745</v>
      </c>
      <c r="AD37" s="163">
        <f t="shared" si="39"/>
        <v>0.9351040033640603</v>
      </c>
      <c r="AG37" s="154" t="s">
        <v>103</v>
      </c>
      <c r="AH37" s="154" t="s">
        <v>422</v>
      </c>
      <c r="AI37" s="154">
        <v>2023</v>
      </c>
      <c r="AJ37" s="154" t="str">
        <f t="shared" ref="AJ37:AL37" si="51">A12</f>
        <v>Road</v>
      </c>
      <c r="AK37" s="154" t="str">
        <f t="shared" si="51"/>
        <v>Liquid bulk</v>
      </c>
      <c r="AL37" s="154" t="str">
        <f t="shared" si="51"/>
        <v>Hydrogen</v>
      </c>
      <c r="AM37" s="164">
        <f t="shared" si="47"/>
        <v>1.0260447504862893</v>
      </c>
    </row>
    <row r="38" spans="1:39" x14ac:dyDescent="0.25">
      <c r="A38" s="154" t="s">
        <v>227</v>
      </c>
      <c r="B38" s="154" t="s">
        <v>225</v>
      </c>
      <c r="C38" s="154" t="s">
        <v>136</v>
      </c>
      <c r="D38" s="154">
        <f>FIGURES!AI17</f>
        <v>1.7021891983950016E-2</v>
      </c>
      <c r="E38" s="154">
        <v>1.6763797374683229E-2</v>
      </c>
      <c r="F38" s="154">
        <v>1.6650758469865117E-2</v>
      </c>
      <c r="G38" s="154">
        <v>1.7021891983950016E-2</v>
      </c>
      <c r="I38" s="163">
        <f t="shared" si="31"/>
        <v>1</v>
      </c>
      <c r="J38" s="163">
        <f t="shared" si="32"/>
        <v>0.99325696306799649</v>
      </c>
      <c r="K38" s="163">
        <f t="shared" si="33"/>
        <v>1.0153959513765396</v>
      </c>
      <c r="M38" s="154">
        <f>FIGURES!CL17</f>
        <v>1.7165640880250507E-2</v>
      </c>
      <c r="N38" s="154">
        <v>1.6925841585058325E-2</v>
      </c>
      <c r="O38" s="154">
        <v>1.6757916738016389E-2</v>
      </c>
      <c r="P38" s="154">
        <v>1.7165640880250507E-2</v>
      </c>
      <c r="R38" s="163">
        <f t="shared" si="34"/>
        <v>1</v>
      </c>
      <c r="S38" s="163">
        <f t="shared" si="35"/>
        <v>0.99007878892177648</v>
      </c>
      <c r="T38" s="163">
        <f t="shared" si="36"/>
        <v>1.0141676438354399</v>
      </c>
      <c r="W38" s="154">
        <f>FIGURES!EO17</f>
        <v>1.6907546270983717E-2</v>
      </c>
      <c r="X38" s="154">
        <v>1.6711525048755775E-2</v>
      </c>
      <c r="Y38" s="154">
        <v>1.6502435745045972E-2</v>
      </c>
      <c r="Z38" s="154">
        <v>1.6907546270983717E-2</v>
      </c>
      <c r="AB38" s="163">
        <f t="shared" si="37"/>
        <v>1</v>
      </c>
      <c r="AC38" s="163">
        <f t="shared" si="38"/>
        <v>0.9874883170087837</v>
      </c>
      <c r="AD38" s="163">
        <f t="shared" si="39"/>
        <v>1.0117297028042653</v>
      </c>
      <c r="AG38" s="154" t="s">
        <v>423</v>
      </c>
      <c r="AH38" s="154" t="s">
        <v>422</v>
      </c>
      <c r="AI38" s="154">
        <v>2023</v>
      </c>
      <c r="AJ38" s="154" t="str">
        <f t="shared" ref="AJ38:AL38" si="52">A13</f>
        <v>Road</v>
      </c>
      <c r="AK38" s="154" t="str">
        <f t="shared" si="52"/>
        <v>Container</v>
      </c>
      <c r="AL38" s="154" t="str">
        <f t="shared" si="52"/>
        <v>Diesel</v>
      </c>
      <c r="AM38" s="164">
        <f t="shared" si="47"/>
        <v>0.98489529588568936</v>
      </c>
    </row>
    <row r="39" spans="1:39" x14ac:dyDescent="0.25">
      <c r="A39" s="154" t="s">
        <v>227</v>
      </c>
      <c r="B39" s="154" t="s">
        <v>225</v>
      </c>
      <c r="C39" s="154" t="s">
        <v>87</v>
      </c>
      <c r="D39" s="154">
        <f>FIGURES!AJ17</f>
        <v>2.1502702114462001E-2</v>
      </c>
      <c r="E39" s="154">
        <v>2.1221213958628901E-2</v>
      </c>
      <c r="F39" s="154">
        <v>2.1097929272656427E-2</v>
      </c>
      <c r="G39" s="154">
        <v>2.1502702114462001E-2</v>
      </c>
      <c r="I39" s="163">
        <f t="shared" si="31"/>
        <v>1</v>
      </c>
      <c r="J39" s="163">
        <f t="shared" si="32"/>
        <v>0.99419049795111536</v>
      </c>
      <c r="K39" s="163">
        <f t="shared" si="33"/>
        <v>1.0132644699960081</v>
      </c>
      <c r="M39" s="154">
        <f>FIGURES!CM17</f>
        <v>2.0246558840251564E-2</v>
      </c>
      <c r="N39" s="154">
        <v>1.9986514239513552E-2</v>
      </c>
      <c r="O39" s="154">
        <v>1.9804412162157507E-2</v>
      </c>
      <c r="P39" s="154">
        <v>2.0246558840251564E-2</v>
      </c>
      <c r="R39" s="163">
        <f t="shared" si="34"/>
        <v>1</v>
      </c>
      <c r="S39" s="163">
        <f t="shared" si="35"/>
        <v>0.99088875252714015</v>
      </c>
      <c r="T39" s="163">
        <f t="shared" si="36"/>
        <v>1.0130110032005433</v>
      </c>
      <c r="W39" s="154">
        <f>FIGURES!EP17</f>
        <v>1.8144564980957366E-2</v>
      </c>
      <c r="X39" s="154">
        <v>1.7933559776614191E-2</v>
      </c>
      <c r="Y39" s="154">
        <v>1.7708487558648144E-2</v>
      </c>
      <c r="Z39" s="154">
        <v>1.8144564980957366E-2</v>
      </c>
      <c r="AB39" s="163">
        <f t="shared" si="37"/>
        <v>1</v>
      </c>
      <c r="AC39" s="163">
        <f t="shared" si="38"/>
        <v>0.98744966304684545</v>
      </c>
      <c r="AD39" s="163">
        <f t="shared" si="39"/>
        <v>1.0117659408935826</v>
      </c>
      <c r="AG39" s="154" t="s">
        <v>87</v>
      </c>
      <c r="AH39" s="154" t="s">
        <v>422</v>
      </c>
      <c r="AI39" s="154">
        <v>2023</v>
      </c>
      <c r="AJ39" s="154" t="str">
        <f t="shared" ref="AJ39:AL39" si="53">A14</f>
        <v>Road</v>
      </c>
      <c r="AK39" s="154" t="str">
        <f t="shared" si="53"/>
        <v>Container</v>
      </c>
      <c r="AL39" s="154" t="str">
        <f t="shared" si="53"/>
        <v>Battery</v>
      </c>
      <c r="AM39" s="164">
        <f t="shared" si="47"/>
        <v>1.0124946446569481</v>
      </c>
    </row>
    <row r="40" spans="1:39" x14ac:dyDescent="0.25">
      <c r="A40" s="154" t="s">
        <v>227</v>
      </c>
      <c r="B40" s="154" t="s">
        <v>225</v>
      </c>
      <c r="C40" s="154" t="s">
        <v>103</v>
      </c>
      <c r="D40" s="154">
        <f>FIGURES!AK17</f>
        <v>2.5594574169206932E-2</v>
      </c>
      <c r="E40" s="154">
        <v>2.4968173966746804E-2</v>
      </c>
      <c r="F40" s="154">
        <v>2.4693826536302244E-2</v>
      </c>
      <c r="G40" s="154">
        <v>2.5594574169206932E-2</v>
      </c>
      <c r="I40" s="163">
        <f>E40/E40</f>
        <v>1</v>
      </c>
      <c r="J40" s="163">
        <f>F40/E40</f>
        <v>0.98901211475016382</v>
      </c>
      <c r="K40" s="163">
        <f>G40/E40</f>
        <v>1.0250879460906666</v>
      </c>
      <c r="M40" s="154">
        <f>FIGURES!CN17</f>
        <v>2.2319716654740793E-2</v>
      </c>
      <c r="N40" s="154">
        <v>2.1794672573927469E-2</v>
      </c>
      <c r="O40" s="154">
        <v>2.1427674216425909E-2</v>
      </c>
      <c r="P40" s="154">
        <v>2.2319716654740793E-2</v>
      </c>
      <c r="R40" s="163">
        <f>N40/N40</f>
        <v>1</v>
      </c>
      <c r="S40" s="163">
        <f>O40/N40</f>
        <v>0.98316109791249662</v>
      </c>
      <c r="T40" s="163">
        <f>P40/N40</f>
        <v>1.0240904780300037</v>
      </c>
      <c r="W40" s="154">
        <f>FIGURES!EQ17</f>
        <v>1.7884391626669393E-2</v>
      </c>
      <c r="X40" s="154">
        <v>1.7524563101254713E-2</v>
      </c>
      <c r="Y40" s="154">
        <v>1.7140746007479047E-2</v>
      </c>
      <c r="Z40" s="154">
        <v>1.7884391626669393E-2</v>
      </c>
      <c r="AB40" s="163">
        <f>X40/X40</f>
        <v>1</v>
      </c>
      <c r="AC40" s="163">
        <f>Y40/X40</f>
        <v>0.97809833594378248</v>
      </c>
      <c r="AD40" s="163">
        <f>Z40/X40</f>
        <v>1.0205328100527036</v>
      </c>
      <c r="AG40" s="154" t="s">
        <v>103</v>
      </c>
      <c r="AH40" s="154" t="s">
        <v>422</v>
      </c>
      <c r="AI40" s="154">
        <v>2023</v>
      </c>
      <c r="AJ40" s="154" t="str">
        <f t="shared" ref="AJ40:AL40" si="54">A15</f>
        <v>Road</v>
      </c>
      <c r="AK40" s="154" t="str">
        <f t="shared" si="54"/>
        <v>Container</v>
      </c>
      <c r="AL40" s="154" t="str">
        <f t="shared" si="54"/>
        <v>Hydrogen</v>
      </c>
      <c r="AM40" s="164">
        <f t="shared" si="47"/>
        <v>1.0256367681491996</v>
      </c>
    </row>
    <row r="41" spans="1:39" x14ac:dyDescent="0.25">
      <c r="A41" s="154" t="s">
        <v>227</v>
      </c>
      <c r="B41" s="154" t="s">
        <v>226</v>
      </c>
      <c r="C41" s="154" t="s">
        <v>11</v>
      </c>
      <c r="D41" s="154">
        <f>FIGURES!AL17</f>
        <v>2.1760421369870931E-2</v>
      </c>
      <c r="E41" s="154">
        <v>2.2310818156442702E-2</v>
      </c>
      <c r="F41" s="154">
        <v>2.2500017051826748E-2</v>
      </c>
      <c r="G41" s="154">
        <v>2.1760421369870931E-2</v>
      </c>
      <c r="I41" s="163">
        <f t="shared" ref="I41:I44" si="55">E41/E41</f>
        <v>1</v>
      </c>
      <c r="J41" s="163">
        <f t="shared" ref="J41:J44" si="56">F41/E41</f>
        <v>1.008480141519571</v>
      </c>
      <c r="K41" s="163">
        <f t="shared" ref="K41:K44" si="57">G41/E41</f>
        <v>0.97533049739761191</v>
      </c>
      <c r="M41" s="154">
        <f>FIGURES!CO17</f>
        <v>1.939431842905005E-2</v>
      </c>
      <c r="N41" s="154">
        <v>2.1263374183450028E-2</v>
      </c>
      <c r="O41" s="154">
        <v>2.2031636364706456E-2</v>
      </c>
      <c r="P41" s="154">
        <v>1.939431842905005E-2</v>
      </c>
      <c r="R41" s="163">
        <f t="shared" ref="R41:R44" si="58">N41/N41</f>
        <v>1</v>
      </c>
      <c r="S41" s="163">
        <f t="shared" ref="S41:S44" si="59">O41/N41</f>
        <v>1.0361307746657815</v>
      </c>
      <c r="T41" s="163">
        <f t="shared" ref="T41:T44" si="60">P41/N41</f>
        <v>0.91209975715638192</v>
      </c>
      <c r="W41" s="154">
        <f>FIGURES!ER17</f>
        <v>1.8714415315196298E-2</v>
      </c>
      <c r="X41" s="154">
        <v>2.0721070266239212E-2</v>
      </c>
      <c r="Y41" s="154">
        <v>2.2039729234067412E-2</v>
      </c>
      <c r="Z41" s="154">
        <v>1.8714415315196298E-2</v>
      </c>
      <c r="AB41" s="163">
        <f t="shared" ref="AB41:AB44" si="61">X41/X41</f>
        <v>1</v>
      </c>
      <c r="AC41" s="163">
        <f t="shared" ref="AC41:AC44" si="62">Y41/X41</f>
        <v>1.0636385549049889</v>
      </c>
      <c r="AD41" s="163">
        <f t="shared" ref="AD41:AD44" si="63">Z41/X41</f>
        <v>0.90315872079675574</v>
      </c>
      <c r="AG41" s="154" t="s">
        <v>423</v>
      </c>
      <c r="AH41" s="154" t="s">
        <v>422</v>
      </c>
      <c r="AI41" s="154">
        <v>2023</v>
      </c>
      <c r="AJ41" s="154" t="str">
        <f t="shared" ref="AJ41:AL41" si="64">A16</f>
        <v>Road</v>
      </c>
      <c r="AK41" s="154" t="str">
        <f t="shared" si="64"/>
        <v>Break bulk</v>
      </c>
      <c r="AL41" s="154" t="str">
        <f t="shared" si="64"/>
        <v>Diesel</v>
      </c>
      <c r="AM41" s="164">
        <f t="shared" si="47"/>
        <v>0.98820136773318645</v>
      </c>
    </row>
    <row r="42" spans="1:39" x14ac:dyDescent="0.25">
      <c r="A42" s="154" t="s">
        <v>227</v>
      </c>
      <c r="B42" s="154" t="s">
        <v>226</v>
      </c>
      <c r="C42" s="154" t="s">
        <v>136</v>
      </c>
      <c r="D42" s="154">
        <f>FIGURES!AM17</f>
        <v>1.8524423013450197E-2</v>
      </c>
      <c r="E42" s="154">
        <v>1.8088888360312493E-2</v>
      </c>
      <c r="F42" s="154">
        <v>1.7898135208431927E-2</v>
      </c>
      <c r="G42" s="154">
        <v>1.8524423013450197E-2</v>
      </c>
      <c r="I42" s="163">
        <f t="shared" si="55"/>
        <v>1</v>
      </c>
      <c r="J42" s="163">
        <f t="shared" si="56"/>
        <v>0.9894546780276956</v>
      </c>
      <c r="K42" s="163">
        <f t="shared" si="57"/>
        <v>1.0240774692431227</v>
      </c>
      <c r="M42" s="154">
        <f>FIGURES!CP17</f>
        <v>1.8766999275957274E-2</v>
      </c>
      <c r="N42" s="154">
        <v>1.8362337965320469E-2</v>
      </c>
      <c r="O42" s="154">
        <v>1.8078964785937204E-2</v>
      </c>
      <c r="P42" s="154">
        <v>1.8766999275957274E-2</v>
      </c>
      <c r="R42" s="163">
        <f t="shared" si="58"/>
        <v>1</v>
      </c>
      <c r="S42" s="163">
        <f t="shared" si="59"/>
        <v>0.98456769612244088</v>
      </c>
      <c r="T42" s="163">
        <f t="shared" si="60"/>
        <v>1.0220375701286546</v>
      </c>
      <c r="W42" s="154">
        <f>FIGURES!ES17</f>
        <v>1.8331464622819565E-2</v>
      </c>
      <c r="X42" s="154">
        <v>1.8000678810309916E-2</v>
      </c>
      <c r="Y42" s="154">
        <v>1.7647840610299621E-2</v>
      </c>
      <c r="Z42" s="154">
        <v>1.8331464622819565E-2</v>
      </c>
      <c r="AB42" s="163">
        <f t="shared" si="61"/>
        <v>1</v>
      </c>
      <c r="AC42" s="163">
        <f t="shared" si="62"/>
        <v>0.98039861697836606</v>
      </c>
      <c r="AD42" s="163">
        <f t="shared" si="63"/>
        <v>1.0183762965827818</v>
      </c>
      <c r="AG42" s="154" t="s">
        <v>87</v>
      </c>
      <c r="AH42" s="154" t="s">
        <v>422</v>
      </c>
      <c r="AI42" s="154">
        <v>2023</v>
      </c>
      <c r="AJ42" s="154" t="str">
        <f t="shared" ref="AJ42:AL42" si="65">A17</f>
        <v>Road</v>
      </c>
      <c r="AK42" s="154" t="str">
        <f t="shared" si="65"/>
        <v>Break bulk</v>
      </c>
      <c r="AL42" s="154" t="str">
        <f t="shared" si="65"/>
        <v>Battery</v>
      </c>
      <c r="AM42" s="164">
        <f t="shared" si="47"/>
        <v>1.0095666203350515</v>
      </c>
    </row>
    <row r="43" spans="1:39" x14ac:dyDescent="0.25">
      <c r="A43" s="154" t="s">
        <v>227</v>
      </c>
      <c r="B43" s="154" t="s">
        <v>226</v>
      </c>
      <c r="C43" s="154" t="s">
        <v>87</v>
      </c>
      <c r="D43" s="154">
        <f>FIGURES!AN17</f>
        <v>2.5397503776248789E-2</v>
      </c>
      <c r="E43" s="154">
        <v>2.49301340667612E-2</v>
      </c>
      <c r="F43" s="154">
        <v>2.4725437966150184E-2</v>
      </c>
      <c r="G43" s="154">
        <v>2.5397503776248789E-2</v>
      </c>
      <c r="I43" s="163">
        <f t="shared" si="55"/>
        <v>1</v>
      </c>
      <c r="J43" s="163">
        <f t="shared" si="56"/>
        <v>0.99178920979474661</v>
      </c>
      <c r="K43" s="163">
        <f t="shared" si="57"/>
        <v>1.0187471799484111</v>
      </c>
      <c r="M43" s="154">
        <f>FIGURES!CQ17</f>
        <v>2.3454140879343735E-2</v>
      </c>
      <c r="N43" s="154">
        <v>2.302084239242996E-2</v>
      </c>
      <c r="O43" s="154">
        <v>2.2717415386607508E-2</v>
      </c>
      <c r="P43" s="154">
        <v>2.3454140879343735E-2</v>
      </c>
      <c r="R43" s="163">
        <f t="shared" si="58"/>
        <v>1</v>
      </c>
      <c r="S43" s="163">
        <f t="shared" si="59"/>
        <v>0.9868194655673318</v>
      </c>
      <c r="T43" s="163">
        <f t="shared" si="60"/>
        <v>1.0188220083143551</v>
      </c>
      <c r="W43" s="154">
        <f>FIGURES!ET17</f>
        <v>2.0120246053379153E-2</v>
      </c>
      <c r="X43" s="154">
        <v>1.976704357882381E-2</v>
      </c>
      <c r="Y43" s="154">
        <v>1.9390294272631441E-2</v>
      </c>
      <c r="Z43" s="154">
        <v>2.0120246053379153E-2</v>
      </c>
      <c r="AB43" s="163">
        <f t="shared" si="61"/>
        <v>1</v>
      </c>
      <c r="AC43" s="163">
        <f t="shared" si="62"/>
        <v>0.98094053343434851</v>
      </c>
      <c r="AD43" s="163">
        <f t="shared" si="63"/>
        <v>1.0178682499052982</v>
      </c>
      <c r="AG43" s="154" t="s">
        <v>103</v>
      </c>
      <c r="AH43" s="154" t="s">
        <v>422</v>
      </c>
      <c r="AI43" s="154">
        <v>2023</v>
      </c>
      <c r="AJ43" s="154" t="str">
        <f t="shared" ref="AJ43:AL43" si="66">A18</f>
        <v>Road</v>
      </c>
      <c r="AK43" s="154" t="str">
        <f t="shared" si="66"/>
        <v>Break bulk</v>
      </c>
      <c r="AL43" s="154" t="str">
        <f t="shared" si="66"/>
        <v>Hydrogen</v>
      </c>
      <c r="AM43" s="164">
        <f t="shared" si="47"/>
        <v>1.0203660087950106</v>
      </c>
    </row>
    <row r="44" spans="1:39" x14ac:dyDescent="0.25">
      <c r="A44" s="154" t="s">
        <v>227</v>
      </c>
      <c r="B44" s="154" t="s">
        <v>226</v>
      </c>
      <c r="C44" s="154" t="s">
        <v>103</v>
      </c>
      <c r="D44" s="154">
        <f>FIGURES!AO17</f>
        <v>3.259174240264022E-2</v>
      </c>
      <c r="E44" s="154">
        <v>3.1543189491869697E-2</v>
      </c>
      <c r="F44" s="154">
        <v>3.1083949862595519E-2</v>
      </c>
      <c r="G44" s="154">
        <v>3.259174240264022E-2</v>
      </c>
      <c r="I44" s="163">
        <f t="shared" si="55"/>
        <v>1</v>
      </c>
      <c r="J44" s="163">
        <f t="shared" si="56"/>
        <v>0.98544092602326894</v>
      </c>
      <c r="K44" s="163">
        <f t="shared" si="57"/>
        <v>1.033241816305253</v>
      </c>
      <c r="M44" s="154">
        <f>FIGURES!CR17</f>
        <v>2.7109845421020403E-2</v>
      </c>
      <c r="N44" s="154">
        <v>2.6230956019233066E-2</v>
      </c>
      <c r="O44" s="154">
        <v>2.5616624806543579E-2</v>
      </c>
      <c r="P44" s="154">
        <v>2.7109845421020403E-2</v>
      </c>
      <c r="R44" s="163">
        <f t="shared" si="58"/>
        <v>1</v>
      </c>
      <c r="S44" s="163">
        <f t="shared" si="59"/>
        <v>0.97657991526351362</v>
      </c>
      <c r="T44" s="163">
        <f t="shared" si="60"/>
        <v>1.0335058089816824</v>
      </c>
      <c r="W44" s="154">
        <f>FIGURES!EU17</f>
        <v>1.9685401830273497E-2</v>
      </c>
      <c r="X44" s="154">
        <v>1.9083072446885646E-2</v>
      </c>
      <c r="Y44" s="154">
        <v>1.8440587771271937E-2</v>
      </c>
      <c r="Z44" s="154">
        <v>1.9685401830273497E-2</v>
      </c>
      <c r="AB44" s="163">
        <f t="shared" si="61"/>
        <v>1</v>
      </c>
      <c r="AC44" s="163">
        <f t="shared" si="62"/>
        <v>0.96633222048483269</v>
      </c>
      <c r="AD44" s="163">
        <f t="shared" si="63"/>
        <v>1.0315635432954693</v>
      </c>
      <c r="AG44" s="154" t="s">
        <v>423</v>
      </c>
      <c r="AH44" s="154" t="s">
        <v>422</v>
      </c>
      <c r="AI44" s="154">
        <v>2023</v>
      </c>
      <c r="AJ44" s="154" t="str">
        <f t="shared" ref="AJ44:AL44" si="67">A19</f>
        <v>Road</v>
      </c>
      <c r="AK44" s="154" t="str">
        <f t="shared" si="67"/>
        <v>Neo bulk</v>
      </c>
      <c r="AL44" s="154" t="str">
        <f t="shared" si="67"/>
        <v>Diesel</v>
      </c>
      <c r="AM44" s="164">
        <f t="shared" si="47"/>
        <v>0.98667751610584209</v>
      </c>
    </row>
    <row r="45" spans="1:39" x14ac:dyDescent="0.25">
      <c r="AG45" s="154" t="s">
        <v>87</v>
      </c>
      <c r="AH45" s="154" t="s">
        <v>422</v>
      </c>
      <c r="AI45" s="154">
        <v>2023</v>
      </c>
      <c r="AJ45" s="154" t="str">
        <f t="shared" ref="AJ45:AL45" si="68">A20</f>
        <v>Road</v>
      </c>
      <c r="AK45" s="154" t="str">
        <f t="shared" si="68"/>
        <v>Neo bulk</v>
      </c>
      <c r="AL45" s="154" t="str">
        <f t="shared" si="68"/>
        <v>Battery</v>
      </c>
      <c r="AM45" s="164">
        <f t="shared" si="47"/>
        <v>1.0108984121652742</v>
      </c>
    </row>
    <row r="46" spans="1:39" x14ac:dyDescent="0.25">
      <c r="A46" s="154" t="s">
        <v>412</v>
      </c>
      <c r="I46" s="197" t="s">
        <v>414</v>
      </c>
      <c r="J46" s="197"/>
      <c r="K46" s="197"/>
      <c r="S46" s="197" t="s">
        <v>414</v>
      </c>
      <c r="T46" s="197"/>
      <c r="U46" s="197"/>
      <c r="AB46" s="197" t="s">
        <v>414</v>
      </c>
      <c r="AC46" s="197"/>
      <c r="AD46" s="197"/>
      <c r="AG46" s="154" t="s">
        <v>103</v>
      </c>
      <c r="AH46" s="154" t="s">
        <v>422</v>
      </c>
      <c r="AI46" s="154">
        <v>2023</v>
      </c>
      <c r="AJ46" s="154" t="str">
        <f t="shared" ref="AJ46:AL46" si="69">A21</f>
        <v>Road</v>
      </c>
      <c r="AK46" s="154" t="str">
        <f t="shared" si="69"/>
        <v>Neo bulk</v>
      </c>
      <c r="AL46" s="154" t="str">
        <f t="shared" si="69"/>
        <v>Hydrogen</v>
      </c>
      <c r="AM46" s="164">
        <f t="shared" si="47"/>
        <v>1.0228110120561447</v>
      </c>
    </row>
    <row r="47" spans="1:39" x14ac:dyDescent="0.25">
      <c r="D47" s="161" t="s">
        <v>413</v>
      </c>
      <c r="E47" s="154" t="s">
        <v>420</v>
      </c>
      <c r="F47" s="154" t="s">
        <v>421</v>
      </c>
      <c r="G47" s="154" t="s">
        <v>422</v>
      </c>
      <c r="I47" s="154" t="s">
        <v>420</v>
      </c>
      <c r="J47" s="154" t="s">
        <v>421</v>
      </c>
      <c r="K47" s="154" t="s">
        <v>422</v>
      </c>
      <c r="N47" s="161" t="s">
        <v>413</v>
      </c>
      <c r="O47" s="154" t="s">
        <v>420</v>
      </c>
      <c r="P47" s="154" t="s">
        <v>421</v>
      </c>
      <c r="Q47" s="154" t="s">
        <v>422</v>
      </c>
      <c r="S47" s="154" t="s">
        <v>420</v>
      </c>
      <c r="T47" s="154" t="s">
        <v>421</v>
      </c>
      <c r="U47" s="154" t="s">
        <v>422</v>
      </c>
      <c r="W47" s="161" t="s">
        <v>413</v>
      </c>
      <c r="X47" s="154" t="s">
        <v>420</v>
      </c>
      <c r="Y47" s="154" t="s">
        <v>421</v>
      </c>
      <c r="Z47" s="154" t="s">
        <v>422</v>
      </c>
      <c r="AB47" s="154" t="s">
        <v>420</v>
      </c>
      <c r="AC47" s="154" t="s">
        <v>421</v>
      </c>
      <c r="AD47" s="154" t="s">
        <v>422</v>
      </c>
      <c r="AG47" s="154" t="s">
        <v>423</v>
      </c>
      <c r="AH47" s="154" t="s">
        <v>420</v>
      </c>
      <c r="AI47" s="154">
        <v>2034</v>
      </c>
      <c r="AJ47" s="154" t="str">
        <f>A7</f>
        <v>Road</v>
      </c>
      <c r="AK47" s="154" t="str">
        <f>B7</f>
        <v>Dry bulk</v>
      </c>
      <c r="AL47" s="154" t="str">
        <f>C7</f>
        <v>Diesel</v>
      </c>
      <c r="AM47" s="164">
        <f>R7</f>
        <v>1</v>
      </c>
    </row>
    <row r="48" spans="1:39" x14ac:dyDescent="0.25">
      <c r="A48" s="154" t="s">
        <v>168</v>
      </c>
      <c r="B48" s="154" t="s">
        <v>222</v>
      </c>
      <c r="C48" s="154" t="s">
        <v>280</v>
      </c>
      <c r="D48" s="154">
        <f>FIGURES!B17</f>
        <v>6.4142656974671992E-3</v>
      </c>
      <c r="E48" s="154">
        <v>6.723447093602411E-3</v>
      </c>
      <c r="F48" s="154">
        <v>6.8297281985238902E-3</v>
      </c>
      <c r="G48" s="154">
        <v>6.4142656974671992E-3</v>
      </c>
      <c r="I48" s="163">
        <f>E48/E48</f>
        <v>1</v>
      </c>
      <c r="J48" s="163">
        <f>F48/E48</f>
        <v>1.0158075319760618</v>
      </c>
      <c r="K48" s="163">
        <f>G48/E48</f>
        <v>0.9540144524332751</v>
      </c>
      <c r="N48" s="154">
        <f>FIGURES!BE17</f>
        <v>5.0407860100282875E-3</v>
      </c>
      <c r="O48" s="154">
        <v>6.0827461416992253E-3</v>
      </c>
      <c r="P48" s="154">
        <v>6.5110365025701023E-3</v>
      </c>
      <c r="Q48" s="154">
        <v>5.0407860100282875E-3</v>
      </c>
      <c r="S48" s="163">
        <f>O48/O48</f>
        <v>1</v>
      </c>
      <c r="T48" s="163">
        <f>P48/O48</f>
        <v>1.0704106913051665</v>
      </c>
      <c r="U48" s="163">
        <f>Q48/O48</f>
        <v>0.82870234801877418</v>
      </c>
      <c r="W48" s="154">
        <f>FIGURES!DH17</f>
        <v>4.6215283757355171E-3</v>
      </c>
      <c r="X48" s="154">
        <v>5.6683610640826379E-3</v>
      </c>
      <c r="Y48" s="154">
        <v>6.3562796878536042E-3</v>
      </c>
      <c r="Z48" s="154">
        <v>4.6215283757355171E-3</v>
      </c>
      <c r="AB48" s="163">
        <f>X48/X48</f>
        <v>1</v>
      </c>
      <c r="AC48" s="163">
        <f>Y48/X48</f>
        <v>1.121361115848801</v>
      </c>
      <c r="AD48" s="163">
        <f>Z48/X48</f>
        <v>0.81532004109965084</v>
      </c>
      <c r="AG48" s="154" t="s">
        <v>87</v>
      </c>
      <c r="AH48" s="154" t="s">
        <v>420</v>
      </c>
      <c r="AI48" s="154">
        <v>2034</v>
      </c>
      <c r="AJ48" s="154" t="str">
        <f t="shared" ref="AJ48:AL48" si="70">A8</f>
        <v>Road</v>
      </c>
      <c r="AK48" s="154" t="str">
        <f t="shared" si="70"/>
        <v>Dry bulk</v>
      </c>
      <c r="AL48" s="154" t="str">
        <f t="shared" si="70"/>
        <v>Battery</v>
      </c>
      <c r="AM48" s="164">
        <f t="shared" ref="AM48:AM61" si="71">R8</f>
        <v>1</v>
      </c>
    </row>
    <row r="49" spans="1:39" x14ac:dyDescent="0.25">
      <c r="A49" s="154" t="s">
        <v>168</v>
      </c>
      <c r="B49" s="154" t="s">
        <v>222</v>
      </c>
      <c r="C49" s="154" t="s">
        <v>279</v>
      </c>
      <c r="D49" s="154">
        <f>FIGURES!C17</f>
        <v>9.6329818300335598E-3</v>
      </c>
      <c r="E49" s="154">
        <v>1.032270109405839E-2</v>
      </c>
      <c r="F49" s="154">
        <v>1.0559792091066927E-2</v>
      </c>
      <c r="G49" s="154">
        <v>9.6329818300335598E-3</v>
      </c>
      <c r="I49" s="163">
        <f t="shared" ref="I49:I62" si="72">E49/E49</f>
        <v>1</v>
      </c>
      <c r="J49" s="163">
        <f t="shared" ref="J49:J62" si="73">F49/E49</f>
        <v>1.0229679223343009</v>
      </c>
      <c r="K49" s="163">
        <f t="shared" ref="K49:K62" si="74">G49/E49</f>
        <v>0.93318422593657946</v>
      </c>
      <c r="N49" s="154">
        <f>FIGURES!BF17</f>
        <v>6.5592529229094422E-3</v>
      </c>
      <c r="O49" s="154">
        <v>8.8836488411069524E-3</v>
      </c>
      <c r="P49" s="154">
        <v>9.8390753841697334E-3</v>
      </c>
      <c r="Q49" s="154">
        <v>6.5592529229094422E-3</v>
      </c>
      <c r="S49" s="163">
        <f t="shared" ref="S49:S62" si="75">O49/O49</f>
        <v>1</v>
      </c>
      <c r="T49" s="163">
        <f t="shared" ref="T49:T62" si="76">P49/O49</f>
        <v>1.1075488867414225</v>
      </c>
      <c r="U49" s="163">
        <f t="shared" ref="U49:U62" si="77">Q49/O49</f>
        <v>0.73835121583803198</v>
      </c>
      <c r="W49" s="154">
        <f>FIGURES!DI17</f>
        <v>5.5418375817325935E-3</v>
      </c>
      <c r="X49" s="154">
        <v>7.8771031584756231E-3</v>
      </c>
      <c r="Y49" s="154">
        <v>9.4117062517638985E-3</v>
      </c>
      <c r="Z49" s="154">
        <v>5.5418375817325935E-3</v>
      </c>
      <c r="AB49" s="163">
        <f t="shared" ref="AB49:AB62" si="78">X49/X49</f>
        <v>1</v>
      </c>
      <c r="AC49" s="163">
        <f t="shared" ref="AC49:AC62" si="79">Y49/X49</f>
        <v>1.1948182044102178</v>
      </c>
      <c r="AD49" s="163">
        <f t="shared" ref="AD49:AD62" si="80">Z49/X49</f>
        <v>0.70353751502792938</v>
      </c>
      <c r="AG49" s="154" t="s">
        <v>103</v>
      </c>
      <c r="AH49" s="154" t="s">
        <v>420</v>
      </c>
      <c r="AI49" s="154">
        <v>2034</v>
      </c>
      <c r="AJ49" s="154" t="str">
        <f t="shared" ref="AJ49:AL49" si="81">A9</f>
        <v>Road</v>
      </c>
      <c r="AK49" s="154" t="str">
        <f t="shared" si="81"/>
        <v>Dry bulk</v>
      </c>
      <c r="AL49" s="154" t="str">
        <f t="shared" si="81"/>
        <v>Hydrogen</v>
      </c>
      <c r="AM49" s="164">
        <f t="shared" si="71"/>
        <v>1</v>
      </c>
    </row>
    <row r="50" spans="1:39" x14ac:dyDescent="0.25">
      <c r="A50" s="154" t="s">
        <v>168</v>
      </c>
      <c r="B50" s="154" t="s">
        <v>222</v>
      </c>
      <c r="C50" s="154" t="s">
        <v>103</v>
      </c>
      <c r="D50" s="154">
        <f>FIGURES!D17</f>
        <v>2.4923789525740158E-2</v>
      </c>
      <c r="E50" s="154">
        <v>2.2908180703883885E-2</v>
      </c>
      <c r="F50" s="154">
        <v>2.2025395067982276E-2</v>
      </c>
      <c r="G50" s="154">
        <v>2.4923789525740158E-2</v>
      </c>
      <c r="I50" s="163">
        <f t="shared" si="72"/>
        <v>1</v>
      </c>
      <c r="J50" s="163">
        <f t="shared" si="73"/>
        <v>0.96146417529559902</v>
      </c>
      <c r="K50" s="163">
        <f t="shared" si="74"/>
        <v>1.0879864205678518</v>
      </c>
      <c r="N50" s="154">
        <f>FIGURES!BG17</f>
        <v>2.1735347784127789E-2</v>
      </c>
      <c r="O50" s="154">
        <v>1.995234937158101E-2</v>
      </c>
      <c r="P50" s="154">
        <v>1.8706058797618295E-2</v>
      </c>
      <c r="Q50" s="154">
        <v>2.1735347784127789E-2</v>
      </c>
      <c r="S50" s="163">
        <f t="shared" si="75"/>
        <v>1</v>
      </c>
      <c r="T50" s="163">
        <f t="shared" si="76"/>
        <v>0.93753665040880552</v>
      </c>
      <c r="U50" s="163">
        <f t="shared" si="77"/>
        <v>1.0893628303785809</v>
      </c>
      <c r="W50" s="154">
        <f>FIGURES!DJ17</f>
        <v>1.4425422774934169E-2</v>
      </c>
      <c r="X50" s="154">
        <v>1.3237758655356561E-2</v>
      </c>
      <c r="Y50" s="154">
        <v>1.1970916927807121E-2</v>
      </c>
      <c r="Z50" s="154">
        <v>1.4425422774934169E-2</v>
      </c>
      <c r="AB50" s="163">
        <f t="shared" si="78"/>
        <v>1</v>
      </c>
      <c r="AC50" s="163">
        <f t="shared" si="79"/>
        <v>0.90430088955906274</v>
      </c>
      <c r="AD50" s="163">
        <f t="shared" si="80"/>
        <v>1.0897179160383792</v>
      </c>
      <c r="AG50" s="154" t="s">
        <v>423</v>
      </c>
      <c r="AH50" s="154" t="s">
        <v>420</v>
      </c>
      <c r="AI50" s="154">
        <v>2034</v>
      </c>
      <c r="AJ50" s="154" t="str">
        <f t="shared" ref="AJ50:AL50" si="82">A10</f>
        <v>Road</v>
      </c>
      <c r="AK50" s="154" t="str">
        <f t="shared" si="82"/>
        <v>Liquid bulk</v>
      </c>
      <c r="AL50" s="154" t="str">
        <f t="shared" si="82"/>
        <v>Diesel</v>
      </c>
      <c r="AM50" s="164">
        <f t="shared" si="71"/>
        <v>1</v>
      </c>
    </row>
    <row r="51" spans="1:39" x14ac:dyDescent="0.25">
      <c r="A51" s="154" t="s">
        <v>168</v>
      </c>
      <c r="B51" s="154" t="s">
        <v>222</v>
      </c>
      <c r="C51" s="154" t="s">
        <v>186</v>
      </c>
      <c r="D51" s="154">
        <f>FIGURES!E17</f>
        <v>2.2998315569490169E-2</v>
      </c>
      <c r="E51" s="154">
        <v>2.0758202356560212E-2</v>
      </c>
      <c r="F51" s="154">
        <v>1.9777089481023791E-2</v>
      </c>
      <c r="G51" s="154">
        <v>2.2998315569490169E-2</v>
      </c>
      <c r="I51" s="163">
        <f t="shared" si="72"/>
        <v>1</v>
      </c>
      <c r="J51" s="163">
        <f t="shared" si="73"/>
        <v>0.95273613491746512</v>
      </c>
      <c r="K51" s="163">
        <f t="shared" si="74"/>
        <v>1.1079146052462492</v>
      </c>
      <c r="N51" s="154">
        <f>FIGURES!BH17</f>
        <v>2.1249968711118561E-2</v>
      </c>
      <c r="O51" s="154">
        <v>1.9266716721993031E-2</v>
      </c>
      <c r="P51" s="154">
        <v>1.7880451741358844E-2</v>
      </c>
      <c r="Q51" s="154">
        <v>2.1249968711118561E-2</v>
      </c>
      <c r="S51" s="163">
        <f t="shared" si="75"/>
        <v>1</v>
      </c>
      <c r="T51" s="163">
        <f t="shared" si="76"/>
        <v>0.92804871734830874</v>
      </c>
      <c r="U51" s="163">
        <f t="shared" si="77"/>
        <v>1.102936687020557</v>
      </c>
      <c r="W51" s="154">
        <f>FIGURES!DK17</f>
        <v>1.467861872983527E-2</v>
      </c>
      <c r="X51" s="154">
        <v>1.3348446874230126E-2</v>
      </c>
      <c r="Y51" s="154">
        <v>1.1929596894917977E-2</v>
      </c>
      <c r="Z51" s="154">
        <v>1.467861872983527E-2</v>
      </c>
      <c r="AB51" s="163">
        <f t="shared" si="78"/>
        <v>1</v>
      </c>
      <c r="AC51" s="163">
        <f t="shared" si="79"/>
        <v>0.89370673662032452</v>
      </c>
      <c r="AD51" s="163">
        <f t="shared" si="80"/>
        <v>1.0996499344184461</v>
      </c>
      <c r="AG51" s="154" t="s">
        <v>87</v>
      </c>
      <c r="AH51" s="154" t="s">
        <v>420</v>
      </c>
      <c r="AI51" s="154">
        <v>2034</v>
      </c>
      <c r="AJ51" s="154" t="str">
        <f t="shared" ref="AJ51:AL51" si="83">A11</f>
        <v>Road</v>
      </c>
      <c r="AK51" s="154" t="str">
        <f t="shared" si="83"/>
        <v>Liquid bulk</v>
      </c>
      <c r="AL51" s="154" t="str">
        <f t="shared" si="83"/>
        <v>Battery</v>
      </c>
      <c r="AM51" s="164">
        <f t="shared" si="71"/>
        <v>1</v>
      </c>
    </row>
    <row r="52" spans="1:39" x14ac:dyDescent="0.25">
      <c r="A52" s="154" t="s">
        <v>168</v>
      </c>
      <c r="B52" s="154" t="s">
        <v>222</v>
      </c>
      <c r="C52" s="154" t="s">
        <v>187</v>
      </c>
      <c r="D52" s="154">
        <f>FIGURES!F17</f>
        <v>4.2129683891405201E-2</v>
      </c>
      <c r="E52" s="154">
        <v>3.9483224205403566E-2</v>
      </c>
      <c r="F52" s="154">
        <v>3.8324141861914254E-2</v>
      </c>
      <c r="G52" s="154">
        <v>4.2129683891405201E-2</v>
      </c>
      <c r="I52" s="163">
        <f t="shared" si="72"/>
        <v>1</v>
      </c>
      <c r="J52" s="163">
        <f t="shared" si="73"/>
        <v>0.97064367546430808</v>
      </c>
      <c r="K52" s="163">
        <f t="shared" si="74"/>
        <v>1.0670274461942104</v>
      </c>
      <c r="N52" s="154">
        <f>FIGURES!BI17</f>
        <v>2.9430266740142881E-2</v>
      </c>
      <c r="O52" s="154">
        <v>2.7073941845428998E-2</v>
      </c>
      <c r="P52" s="154">
        <v>2.5426904200969786E-2</v>
      </c>
      <c r="Q52" s="154">
        <v>2.9430266740142881E-2</v>
      </c>
      <c r="S52" s="163">
        <f t="shared" si="75"/>
        <v>1</v>
      </c>
      <c r="T52" s="163">
        <f t="shared" si="76"/>
        <v>0.93916520712563734</v>
      </c>
      <c r="U52" s="163">
        <f t="shared" si="77"/>
        <v>1.0870329451162544</v>
      </c>
      <c r="W52" s="154">
        <f>FIGURES!DL17</f>
        <v>1.86591129127694E-2</v>
      </c>
      <c r="X52" s="154">
        <v>1.699467323046517E-2</v>
      </c>
      <c r="Y52" s="154">
        <v>1.5219270902673993E-2</v>
      </c>
      <c r="Z52" s="154">
        <v>1.86591129127694E-2</v>
      </c>
      <c r="AB52" s="163">
        <f t="shared" si="78"/>
        <v>1</v>
      </c>
      <c r="AC52" s="163">
        <f t="shared" si="79"/>
        <v>0.89553183496293787</v>
      </c>
      <c r="AD52" s="163">
        <f t="shared" si="80"/>
        <v>1.0979389047222459</v>
      </c>
      <c r="AG52" s="154" t="s">
        <v>103</v>
      </c>
      <c r="AH52" s="154" t="s">
        <v>420</v>
      </c>
      <c r="AI52" s="154">
        <v>2034</v>
      </c>
      <c r="AJ52" s="154" t="str">
        <f t="shared" ref="AJ52:AL52" si="84">A12</f>
        <v>Road</v>
      </c>
      <c r="AK52" s="154" t="str">
        <f t="shared" si="84"/>
        <v>Liquid bulk</v>
      </c>
      <c r="AL52" s="154" t="str">
        <f t="shared" si="84"/>
        <v>Hydrogen</v>
      </c>
      <c r="AM52" s="164">
        <f t="shared" si="71"/>
        <v>1</v>
      </c>
    </row>
    <row r="53" spans="1:39" x14ac:dyDescent="0.25">
      <c r="A53" s="154" t="s">
        <v>168</v>
      </c>
      <c r="B53" s="154" t="s">
        <v>224</v>
      </c>
      <c r="C53" s="154" t="s">
        <v>280</v>
      </c>
      <c r="D53" s="154">
        <f>FIGURES!G17</f>
        <v>8.2399739101303247E-3</v>
      </c>
      <c r="E53" s="154">
        <v>8.6066774264767394E-3</v>
      </c>
      <c r="F53" s="154">
        <v>8.7327317602208191E-3</v>
      </c>
      <c r="G53" s="154">
        <v>8.2399739101303247E-3</v>
      </c>
      <c r="I53" s="163">
        <f t="shared" si="72"/>
        <v>1</v>
      </c>
      <c r="J53" s="163">
        <f t="shared" si="73"/>
        <v>1.0146461087708827</v>
      </c>
      <c r="K53" s="163">
        <f t="shared" si="74"/>
        <v>0.95739313812106819</v>
      </c>
      <c r="N53" s="154">
        <f>FIGURES!BJ17</f>
        <v>6.6109631180516146E-3</v>
      </c>
      <c r="O53" s="154">
        <v>7.8467762974752837E-3</v>
      </c>
      <c r="P53" s="154">
        <v>8.3547485859500458E-3</v>
      </c>
      <c r="Q53" s="154">
        <v>6.6109631180516146E-3</v>
      </c>
      <c r="S53" s="163">
        <f t="shared" si="75"/>
        <v>1</v>
      </c>
      <c r="T53" s="163">
        <f t="shared" si="76"/>
        <v>1.0647364305056337</v>
      </c>
      <c r="U53" s="163">
        <f t="shared" si="77"/>
        <v>0.84250689294898151</v>
      </c>
      <c r="W53" s="154">
        <f>FIGURES!DM17</f>
        <v>6.1137040634253043E-3</v>
      </c>
      <c r="X53" s="154">
        <v>7.3552963216974732E-3</v>
      </c>
      <c r="Y53" s="154">
        <v>8.1711998057048957E-3</v>
      </c>
      <c r="Z53" s="154">
        <v>6.1137040634253043E-3</v>
      </c>
      <c r="AB53" s="163">
        <f t="shared" si="78"/>
        <v>1</v>
      </c>
      <c r="AC53" s="163">
        <f t="shared" si="79"/>
        <v>1.1109273438244194</v>
      </c>
      <c r="AD53" s="163">
        <f t="shared" si="80"/>
        <v>0.83119752026718741</v>
      </c>
      <c r="AG53" s="154" t="s">
        <v>423</v>
      </c>
      <c r="AH53" s="154" t="s">
        <v>420</v>
      </c>
      <c r="AI53" s="154">
        <v>2034</v>
      </c>
      <c r="AJ53" s="154" t="str">
        <f t="shared" ref="AJ53:AL53" si="85">A13</f>
        <v>Road</v>
      </c>
      <c r="AK53" s="154" t="str">
        <f t="shared" si="85"/>
        <v>Container</v>
      </c>
      <c r="AL53" s="154" t="str">
        <f t="shared" si="85"/>
        <v>Diesel</v>
      </c>
      <c r="AM53" s="164">
        <f t="shared" si="71"/>
        <v>1</v>
      </c>
    </row>
    <row r="54" spans="1:39" x14ac:dyDescent="0.25">
      <c r="A54" s="154" t="s">
        <v>168</v>
      </c>
      <c r="B54" s="154" t="s">
        <v>224</v>
      </c>
      <c r="C54" s="154" t="s">
        <v>279</v>
      </c>
      <c r="D54" s="154">
        <f>FIGURES!H17</f>
        <v>1.2057520951081122E-2</v>
      </c>
      <c r="E54" s="154">
        <v>1.2875560078180342E-2</v>
      </c>
      <c r="F54" s="154">
        <v>1.3156761028120696E-2</v>
      </c>
      <c r="G54" s="154">
        <v>1.2057520951081122E-2</v>
      </c>
      <c r="I54" s="163">
        <f t="shared" si="72"/>
        <v>1</v>
      </c>
      <c r="J54" s="163">
        <f t="shared" si="73"/>
        <v>1.0218399004185375</v>
      </c>
      <c r="K54" s="163">
        <f t="shared" si="74"/>
        <v>0.93646574423698159</v>
      </c>
      <c r="N54" s="154">
        <f>FIGURES!BK17</f>
        <v>8.4119355030967055E-3</v>
      </c>
      <c r="O54" s="154">
        <v>1.1168777173517009E-2</v>
      </c>
      <c r="P54" s="154">
        <v>1.230195749203333E-2</v>
      </c>
      <c r="Q54" s="154">
        <v>8.4119355030967055E-3</v>
      </c>
      <c r="S54" s="163">
        <f t="shared" si="75"/>
        <v>1</v>
      </c>
      <c r="T54" s="163">
        <f t="shared" si="76"/>
        <v>1.1014596585562899</v>
      </c>
      <c r="U54" s="163">
        <f t="shared" si="77"/>
        <v>0.75316530828842887</v>
      </c>
      <c r="W54" s="154">
        <f>FIGURES!DN17</f>
        <v>7.205233586817187E-3</v>
      </c>
      <c r="X54" s="154">
        <v>9.9749671778379886E-3</v>
      </c>
      <c r="Y54" s="154">
        <v>1.1795077823365946E-2</v>
      </c>
      <c r="Z54" s="154">
        <v>7.205233586817187E-3</v>
      </c>
      <c r="AB54" s="163">
        <f t="shared" si="78"/>
        <v>1</v>
      </c>
      <c r="AC54" s="163">
        <f t="shared" si="79"/>
        <v>1.1824678330342591</v>
      </c>
      <c r="AD54" s="163">
        <f t="shared" si="80"/>
        <v>0.72233155842612773</v>
      </c>
      <c r="AG54" s="154" t="s">
        <v>87</v>
      </c>
      <c r="AH54" s="154" t="s">
        <v>420</v>
      </c>
      <c r="AI54" s="154">
        <v>2034</v>
      </c>
      <c r="AJ54" s="154" t="str">
        <f t="shared" ref="AJ54:AL54" si="86">A14</f>
        <v>Road</v>
      </c>
      <c r="AK54" s="154" t="str">
        <f t="shared" si="86"/>
        <v>Container</v>
      </c>
      <c r="AL54" s="154" t="str">
        <f t="shared" si="86"/>
        <v>Battery</v>
      </c>
      <c r="AM54" s="164">
        <f t="shared" si="71"/>
        <v>1</v>
      </c>
    </row>
    <row r="55" spans="1:39" x14ac:dyDescent="0.25">
      <c r="A55" s="154" t="s">
        <v>168</v>
      </c>
      <c r="B55" s="154" t="s">
        <v>224</v>
      </c>
      <c r="C55" s="154" t="s">
        <v>103</v>
      </c>
      <c r="D55" s="154">
        <f>FIGURES!I17</f>
        <v>2.9910973319097162E-2</v>
      </c>
      <c r="E55" s="154">
        <v>2.7546698317471741E-2</v>
      </c>
      <c r="F55" s="154">
        <v>2.6511205721823139E-2</v>
      </c>
      <c r="G55" s="154">
        <v>2.9910973319097162E-2</v>
      </c>
      <c r="I55" s="163">
        <f t="shared" si="72"/>
        <v>1</v>
      </c>
      <c r="J55" s="163">
        <f t="shared" si="73"/>
        <v>0.96240955690171293</v>
      </c>
      <c r="K55" s="163">
        <f t="shared" si="74"/>
        <v>1.0858278903111178</v>
      </c>
      <c r="N55" s="154">
        <f>FIGURES!BL17</f>
        <v>2.6176105056044334E-2</v>
      </c>
      <c r="O55" s="154">
        <v>2.4084175556206774E-2</v>
      </c>
      <c r="P55" s="154">
        <v>2.2621946538673263E-2</v>
      </c>
      <c r="Q55" s="154">
        <v>2.6176105056044334E-2</v>
      </c>
      <c r="S55" s="163">
        <f t="shared" si="75"/>
        <v>1</v>
      </c>
      <c r="T55" s="163">
        <f t="shared" si="76"/>
        <v>0.93928673148387354</v>
      </c>
      <c r="U55" s="163">
        <f t="shared" si="77"/>
        <v>1.0868590869949228</v>
      </c>
      <c r="W55" s="154">
        <f>FIGURES!DO17</f>
        <v>1.7625277468725924E-2</v>
      </c>
      <c r="X55" s="154">
        <v>1.6229039938022057E-2</v>
      </c>
      <c r="Y55" s="154">
        <v>1.4739719905271268E-2</v>
      </c>
      <c r="Z55" s="154">
        <v>1.7625277468725924E-2</v>
      </c>
      <c r="AB55" s="163">
        <f t="shared" si="78"/>
        <v>1</v>
      </c>
      <c r="AC55" s="163">
        <f t="shared" si="79"/>
        <v>0.9082311684216422</v>
      </c>
      <c r="AD55" s="163">
        <f t="shared" si="80"/>
        <v>1.0860332796047107</v>
      </c>
      <c r="AG55" s="154" t="s">
        <v>103</v>
      </c>
      <c r="AH55" s="154" t="s">
        <v>420</v>
      </c>
      <c r="AI55" s="154">
        <v>2034</v>
      </c>
      <c r="AJ55" s="154" t="str">
        <f t="shared" ref="AJ55:AL55" si="87">A15</f>
        <v>Road</v>
      </c>
      <c r="AK55" s="154" t="str">
        <f t="shared" si="87"/>
        <v>Container</v>
      </c>
      <c r="AL55" s="154" t="str">
        <f t="shared" si="87"/>
        <v>Hydrogen</v>
      </c>
      <c r="AM55" s="164">
        <f t="shared" si="71"/>
        <v>1</v>
      </c>
    </row>
    <row r="56" spans="1:39" x14ac:dyDescent="0.25">
      <c r="A56" s="154" t="s">
        <v>168</v>
      </c>
      <c r="B56" s="154" t="s">
        <v>224</v>
      </c>
      <c r="C56" s="154" t="s">
        <v>186</v>
      </c>
      <c r="D56" s="154">
        <f>FIGURES!J17</f>
        <v>2.7704612122780282E-2</v>
      </c>
      <c r="E56" s="154">
        <v>2.5070994787644955E-2</v>
      </c>
      <c r="F56" s="154">
        <v>2.3917537068712261E-2</v>
      </c>
      <c r="G56" s="154">
        <v>2.7704612122780282E-2</v>
      </c>
      <c r="I56" s="163">
        <f t="shared" si="72"/>
        <v>1</v>
      </c>
      <c r="J56" s="163">
        <f t="shared" si="73"/>
        <v>0.9539923433951204</v>
      </c>
      <c r="K56" s="163">
        <f t="shared" si="74"/>
        <v>1.1050463835776145</v>
      </c>
      <c r="N56" s="154">
        <f>FIGURES!BM17</f>
        <v>2.5651620602087057E-2</v>
      </c>
      <c r="O56" s="154">
        <v>2.3319709455922558E-2</v>
      </c>
      <c r="P56" s="154">
        <v>2.168973667505382E-2</v>
      </c>
      <c r="Q56" s="154">
        <v>2.5651620602087057E-2</v>
      </c>
      <c r="S56" s="163">
        <f t="shared" si="75"/>
        <v>1</v>
      </c>
      <c r="T56" s="163">
        <f t="shared" si="76"/>
        <v>0.93010321230847193</v>
      </c>
      <c r="U56" s="163">
        <f t="shared" si="77"/>
        <v>1.0999974356701199</v>
      </c>
      <c r="W56" s="154">
        <f>FIGURES!DP17</f>
        <v>1.7938104362861515E-2</v>
      </c>
      <c r="X56" s="154">
        <v>1.637253687147959E-2</v>
      </c>
      <c r="Y56" s="154">
        <v>1.470259821400554E-2</v>
      </c>
      <c r="Z56" s="154">
        <v>1.7938104362861515E-2</v>
      </c>
      <c r="AB56" s="163">
        <f t="shared" si="78"/>
        <v>1</v>
      </c>
      <c r="AC56" s="163">
        <f t="shared" si="79"/>
        <v>0.89800367098986189</v>
      </c>
      <c r="AD56" s="163">
        <f t="shared" si="80"/>
        <v>1.0956215584470046</v>
      </c>
      <c r="AG56" s="154" t="s">
        <v>423</v>
      </c>
      <c r="AH56" s="154" t="s">
        <v>420</v>
      </c>
      <c r="AI56" s="154">
        <v>2034</v>
      </c>
      <c r="AJ56" s="154" t="str">
        <f t="shared" ref="AJ56:AL56" si="88">A16</f>
        <v>Road</v>
      </c>
      <c r="AK56" s="154" t="str">
        <f t="shared" si="88"/>
        <v>Break bulk</v>
      </c>
      <c r="AL56" s="154" t="str">
        <f t="shared" si="88"/>
        <v>Diesel</v>
      </c>
      <c r="AM56" s="164">
        <f t="shared" si="71"/>
        <v>1</v>
      </c>
    </row>
    <row r="57" spans="1:39" x14ac:dyDescent="0.25">
      <c r="A57" s="154" t="s">
        <v>168</v>
      </c>
      <c r="B57" s="154" t="s">
        <v>224</v>
      </c>
      <c r="C57" s="154" t="s">
        <v>187</v>
      </c>
      <c r="D57" s="154">
        <f>FIGURES!K17</f>
        <v>5.0400453579734043E-2</v>
      </c>
      <c r="E57" s="154">
        <v>4.727519526221427E-2</v>
      </c>
      <c r="F57" s="154">
        <v>4.5906411239604358E-2</v>
      </c>
      <c r="G57" s="154">
        <v>5.0400453579734043E-2</v>
      </c>
      <c r="I57" s="163">
        <f t="shared" si="72"/>
        <v>1</v>
      </c>
      <c r="J57" s="163">
        <f t="shared" si="73"/>
        <v>0.97104646495867697</v>
      </c>
      <c r="K57" s="163">
        <f t="shared" si="74"/>
        <v>1.0661077823197846</v>
      </c>
      <c r="N57" s="154">
        <f>FIGURES!BN17</f>
        <v>3.5403452382410175E-2</v>
      </c>
      <c r="O57" s="154">
        <v>3.2620820168159648E-2</v>
      </c>
      <c r="P57" s="154">
        <v>3.0675799760389429E-2</v>
      </c>
      <c r="Q57" s="154">
        <v>3.5403452382410175E-2</v>
      </c>
      <c r="S57" s="163">
        <f t="shared" si="75"/>
        <v>1</v>
      </c>
      <c r="T57" s="163">
        <f t="shared" si="76"/>
        <v>0.94037487721817903</v>
      </c>
      <c r="U57" s="163">
        <f t="shared" si="77"/>
        <v>1.0853023375839761</v>
      </c>
      <c r="W57" s="154">
        <f>FIGURES!DQ17</f>
        <v>2.2683576743895276E-2</v>
      </c>
      <c r="X57" s="154">
        <v>2.0718005914063236E-2</v>
      </c>
      <c r="Y57" s="154">
        <v>1.8621397028909064E-2</v>
      </c>
      <c r="Z57" s="154">
        <v>2.2683576743895276E-2</v>
      </c>
      <c r="AB57" s="163">
        <f t="shared" si="78"/>
        <v>1</v>
      </c>
      <c r="AC57" s="163">
        <f t="shared" si="79"/>
        <v>0.89880257328573265</v>
      </c>
      <c r="AD57" s="163">
        <f t="shared" si="80"/>
        <v>1.0948725875446259</v>
      </c>
      <c r="AG57" s="154" t="s">
        <v>87</v>
      </c>
      <c r="AH57" s="154" t="s">
        <v>420</v>
      </c>
      <c r="AI57" s="154">
        <v>2034</v>
      </c>
      <c r="AJ57" s="154" t="str">
        <f t="shared" ref="AJ57:AL57" si="89">A17</f>
        <v>Road</v>
      </c>
      <c r="AK57" s="154" t="str">
        <f t="shared" si="89"/>
        <v>Break bulk</v>
      </c>
      <c r="AL57" s="154" t="str">
        <f t="shared" si="89"/>
        <v>Battery</v>
      </c>
      <c r="AM57" s="164">
        <f t="shared" si="71"/>
        <v>1</v>
      </c>
    </row>
    <row r="58" spans="1:39" x14ac:dyDescent="0.25">
      <c r="A58" s="154" t="s">
        <v>168</v>
      </c>
      <c r="B58" s="154" t="s">
        <v>225</v>
      </c>
      <c r="C58" s="154" t="s">
        <v>280</v>
      </c>
      <c r="D58" s="154">
        <f>FIGURES!L17</f>
        <v>8.3854162919468761E-3</v>
      </c>
      <c r="E58" s="154">
        <v>8.7897304253544608E-3</v>
      </c>
      <c r="F58" s="154">
        <v>8.928713408713318E-3</v>
      </c>
      <c r="G58" s="154">
        <v>8.3854162919468761E-3</v>
      </c>
      <c r="I58" s="163">
        <f t="shared" si="72"/>
        <v>1</v>
      </c>
      <c r="J58" s="163">
        <f t="shared" si="73"/>
        <v>1.0158119733635917</v>
      </c>
      <c r="K58" s="163">
        <f t="shared" si="74"/>
        <v>0.95400153203318749</v>
      </c>
      <c r="N58" s="154">
        <f>FIGURES!BO17</f>
        <v>6.5893274699113762E-3</v>
      </c>
      <c r="O58" s="154">
        <v>7.9518907190195276E-3</v>
      </c>
      <c r="P58" s="154">
        <v>8.5119627293891338E-3</v>
      </c>
      <c r="Q58" s="154">
        <v>6.5893274699113762E-3</v>
      </c>
      <c r="S58" s="163">
        <f t="shared" si="75"/>
        <v>1</v>
      </c>
      <c r="T58" s="163">
        <f t="shared" si="76"/>
        <v>1.0704325587661827</v>
      </c>
      <c r="U58" s="163">
        <f t="shared" si="77"/>
        <v>0.82864914807630097</v>
      </c>
      <c r="W58" s="154">
        <f>FIGURES!DR17</f>
        <v>6.0410674866054441E-3</v>
      </c>
      <c r="X58" s="154">
        <v>7.4100025405978345E-3</v>
      </c>
      <c r="Y58" s="154">
        <v>8.3095884332214046E-3</v>
      </c>
      <c r="Z58" s="154">
        <v>6.0410674866054441E-3</v>
      </c>
      <c r="AB58" s="163">
        <f t="shared" si="78"/>
        <v>1</v>
      </c>
      <c r="AC58" s="163">
        <f t="shared" si="79"/>
        <v>1.1214015633186263</v>
      </c>
      <c r="AD58" s="163">
        <f t="shared" si="80"/>
        <v>0.81525849060209021</v>
      </c>
      <c r="AG58" s="154" t="s">
        <v>103</v>
      </c>
      <c r="AH58" s="154" t="s">
        <v>420</v>
      </c>
      <c r="AI58" s="154">
        <v>2034</v>
      </c>
      <c r="AJ58" s="154" t="str">
        <f t="shared" ref="AJ58:AL58" si="90">A18</f>
        <v>Road</v>
      </c>
      <c r="AK58" s="154" t="str">
        <f t="shared" si="90"/>
        <v>Break bulk</v>
      </c>
      <c r="AL58" s="154" t="str">
        <f t="shared" si="90"/>
        <v>Hydrogen</v>
      </c>
      <c r="AM58" s="164">
        <f t="shared" si="71"/>
        <v>1</v>
      </c>
    </row>
    <row r="59" spans="1:39" x14ac:dyDescent="0.25">
      <c r="A59" s="154" t="s">
        <v>168</v>
      </c>
      <c r="B59" s="154" t="s">
        <v>225</v>
      </c>
      <c r="C59" s="154" t="s">
        <v>279</v>
      </c>
      <c r="D59" s="154">
        <f>FIGURES!M17</f>
        <v>1.2594506619149039E-2</v>
      </c>
      <c r="E59" s="154">
        <v>1.3496447195181512E-2</v>
      </c>
      <c r="F59" s="154">
        <v>1.3806489268192671E-2</v>
      </c>
      <c r="G59" s="154">
        <v>1.2594506619149039E-2</v>
      </c>
      <c r="I59" s="163">
        <f t="shared" si="72"/>
        <v>1</v>
      </c>
      <c r="J59" s="163">
        <f t="shared" si="73"/>
        <v>1.0229721250731711</v>
      </c>
      <c r="K59" s="163">
        <f t="shared" si="74"/>
        <v>0.93317199978713794</v>
      </c>
      <c r="N59" s="154">
        <f>FIGURES!BP17</f>
        <v>8.5750149713713468E-3</v>
      </c>
      <c r="O59" s="154">
        <v>1.1614609633629631E-2</v>
      </c>
      <c r="P59" s="154">
        <v>1.2864013574557883E-2</v>
      </c>
      <c r="Q59" s="154">
        <v>8.5750149713713468E-3</v>
      </c>
      <c r="S59" s="163">
        <f t="shared" si="75"/>
        <v>1</v>
      </c>
      <c r="T59" s="163">
        <f t="shared" si="76"/>
        <v>1.1075717549137987</v>
      </c>
      <c r="U59" s="163">
        <f t="shared" si="77"/>
        <v>0.73829558132911666</v>
      </c>
      <c r="W59" s="154">
        <f>FIGURES!DS17</f>
        <v>7.2445487559862371E-3</v>
      </c>
      <c r="X59" s="154">
        <v>1.0298357587111739E-2</v>
      </c>
      <c r="Y59" s="154">
        <v>1.2305146247565638E-2</v>
      </c>
      <c r="Z59" s="154">
        <v>7.2445487559862371E-3</v>
      </c>
      <c r="AB59" s="163">
        <f t="shared" si="78"/>
        <v>1</v>
      </c>
      <c r="AC59" s="163">
        <f t="shared" si="79"/>
        <v>1.1948649232150734</v>
      </c>
      <c r="AD59" s="163">
        <f t="shared" si="80"/>
        <v>0.70346642119445302</v>
      </c>
      <c r="AG59" s="154" t="s">
        <v>423</v>
      </c>
      <c r="AH59" s="154" t="s">
        <v>420</v>
      </c>
      <c r="AI59" s="154">
        <v>2034</v>
      </c>
      <c r="AJ59" s="154" t="str">
        <f t="shared" ref="AJ59:AL59" si="91">A19</f>
        <v>Road</v>
      </c>
      <c r="AK59" s="154" t="str">
        <f t="shared" si="91"/>
        <v>Neo bulk</v>
      </c>
      <c r="AL59" s="154" t="str">
        <f t="shared" si="91"/>
        <v>Diesel</v>
      </c>
      <c r="AM59" s="164">
        <f t="shared" si="71"/>
        <v>1</v>
      </c>
    </row>
    <row r="60" spans="1:39" x14ac:dyDescent="0.25">
      <c r="A60" s="154" t="s">
        <v>168</v>
      </c>
      <c r="B60" s="154" t="s">
        <v>225</v>
      </c>
      <c r="C60" s="154" t="s">
        <v>103</v>
      </c>
      <c r="D60" s="154">
        <f>FIGURES!N17</f>
        <v>3.2051015374837219E-2</v>
      </c>
      <c r="E60" s="154">
        <v>2.9458766332593509E-2</v>
      </c>
      <c r="F60" s="154">
        <v>2.8323426878648798E-2</v>
      </c>
      <c r="G60" s="154">
        <v>3.2051015374837219E-2</v>
      </c>
      <c r="I60" s="163">
        <f t="shared" si="72"/>
        <v>1</v>
      </c>
      <c r="J60" s="163">
        <f t="shared" si="73"/>
        <v>0.96146004754148318</v>
      </c>
      <c r="K60" s="163">
        <f t="shared" si="74"/>
        <v>1.0879958452087526</v>
      </c>
      <c r="N60" s="154">
        <f>FIGURES!BQ17</f>
        <v>2.7960548382774002E-2</v>
      </c>
      <c r="O60" s="154">
        <v>2.5666625479707848E-2</v>
      </c>
      <c r="P60" s="154">
        <v>2.4063205941378039E-2</v>
      </c>
      <c r="Q60" s="154">
        <v>2.7960548382774002E-2</v>
      </c>
      <c r="S60" s="163">
        <f t="shared" si="75"/>
        <v>1</v>
      </c>
      <c r="T60" s="163">
        <f t="shared" si="76"/>
        <v>0.93752900864987176</v>
      </c>
      <c r="U60" s="163">
        <f t="shared" si="77"/>
        <v>1.0893737630168694</v>
      </c>
      <c r="W60" s="154">
        <f>FIGURES!DT17</f>
        <v>1.8612168464710442E-2</v>
      </c>
      <c r="X60" s="154">
        <v>1.7079556011347096E-2</v>
      </c>
      <c r="Y60" s="154">
        <v>1.544476939442619E-2</v>
      </c>
      <c r="Z60" s="154">
        <v>1.8612168464710442E-2</v>
      </c>
      <c r="AB60" s="163">
        <f t="shared" si="78"/>
        <v>1</v>
      </c>
      <c r="AC60" s="163">
        <f t="shared" si="79"/>
        <v>0.90428400973451495</v>
      </c>
      <c r="AD60" s="163">
        <f t="shared" si="80"/>
        <v>1.0897337408738921</v>
      </c>
      <c r="AG60" s="154" t="s">
        <v>87</v>
      </c>
      <c r="AH60" s="154" t="s">
        <v>420</v>
      </c>
      <c r="AI60" s="154">
        <v>2034</v>
      </c>
      <c r="AJ60" s="154" t="str">
        <f t="shared" ref="AJ60:AL60" si="92">A20</f>
        <v>Road</v>
      </c>
      <c r="AK60" s="154" t="str">
        <f t="shared" si="92"/>
        <v>Neo bulk</v>
      </c>
      <c r="AL60" s="154" t="str">
        <f t="shared" si="92"/>
        <v>Battery</v>
      </c>
      <c r="AM60" s="164">
        <f t="shared" si="71"/>
        <v>1</v>
      </c>
    </row>
    <row r="61" spans="1:39" x14ac:dyDescent="0.25">
      <c r="A61" s="154" t="s">
        <v>168</v>
      </c>
      <c r="B61" s="154" t="s">
        <v>225</v>
      </c>
      <c r="C61" s="154" t="s">
        <v>186</v>
      </c>
      <c r="D61" s="154">
        <f>FIGURES!O17</f>
        <v>2.9676751363664457E-2</v>
      </c>
      <c r="E61" s="154">
        <v>2.6785842871702544E-2</v>
      </c>
      <c r="F61" s="154">
        <v>2.5519698139779973E-2</v>
      </c>
      <c r="G61" s="154">
        <v>2.9676751363664457E-2</v>
      </c>
      <c r="I61" s="163">
        <f t="shared" si="72"/>
        <v>1</v>
      </c>
      <c r="J61" s="163">
        <f t="shared" si="73"/>
        <v>0.95273082359263117</v>
      </c>
      <c r="K61" s="163">
        <f t="shared" si="74"/>
        <v>1.1079267322595985</v>
      </c>
      <c r="N61" s="154">
        <f>FIGURES!BR17</f>
        <v>2.7425374041799809E-2</v>
      </c>
      <c r="O61" s="154">
        <v>2.4865493446802132E-2</v>
      </c>
      <c r="P61" s="154">
        <v>2.307617325808773E-2</v>
      </c>
      <c r="Q61" s="154">
        <v>2.7425374041799809E-2</v>
      </c>
      <c r="S61" s="163">
        <f t="shared" si="75"/>
        <v>1</v>
      </c>
      <c r="T61" s="163">
        <f t="shared" si="76"/>
        <v>0.92804002894442783</v>
      </c>
      <c r="U61" s="163">
        <f t="shared" si="77"/>
        <v>1.1029491170353949</v>
      </c>
      <c r="W61" s="154">
        <f>FIGURES!DU17</f>
        <v>1.897174450614468E-2</v>
      </c>
      <c r="X61" s="154">
        <v>1.7252264483677938E-2</v>
      </c>
      <c r="Y61" s="154">
        <v>1.5418152459713414E-2</v>
      </c>
      <c r="Z61" s="154">
        <v>1.897174450614468E-2</v>
      </c>
      <c r="AB61" s="163">
        <f t="shared" si="78"/>
        <v>1</v>
      </c>
      <c r="AC61" s="163">
        <f t="shared" si="79"/>
        <v>0.89368862124159154</v>
      </c>
      <c r="AD61" s="163">
        <f t="shared" si="80"/>
        <v>1.0996669175860081</v>
      </c>
      <c r="AG61" s="154" t="s">
        <v>103</v>
      </c>
      <c r="AH61" s="154" t="s">
        <v>420</v>
      </c>
      <c r="AI61" s="154">
        <v>2034</v>
      </c>
      <c r="AJ61" s="154" t="str">
        <f t="shared" ref="AJ61:AL61" si="93">A21</f>
        <v>Road</v>
      </c>
      <c r="AK61" s="154" t="str">
        <f t="shared" si="93"/>
        <v>Neo bulk</v>
      </c>
      <c r="AL61" s="154" t="str">
        <f t="shared" si="93"/>
        <v>Hydrogen</v>
      </c>
      <c r="AM61" s="164">
        <f t="shared" si="71"/>
        <v>1</v>
      </c>
    </row>
    <row r="62" spans="1:39" x14ac:dyDescent="0.25">
      <c r="A62" s="154" t="s">
        <v>168</v>
      </c>
      <c r="B62" s="154" t="s">
        <v>225</v>
      </c>
      <c r="C62" s="154" t="s">
        <v>187</v>
      </c>
      <c r="D62" s="154">
        <f>FIGURES!P17</f>
        <v>5.47327667247514E-2</v>
      </c>
      <c r="E62" s="154">
        <v>5.1294447763546691E-2</v>
      </c>
      <c r="F62" s="154">
        <v>4.9788551104588685E-2</v>
      </c>
      <c r="G62" s="154">
        <v>5.47327667247514E-2</v>
      </c>
      <c r="I62" s="163">
        <f t="shared" si="72"/>
        <v>1</v>
      </c>
      <c r="J62" s="163">
        <f t="shared" si="73"/>
        <v>0.97064211187339855</v>
      </c>
      <c r="K62" s="163">
        <f t="shared" si="74"/>
        <v>1.0670310162428187</v>
      </c>
      <c r="N62" s="154">
        <f>FIGURES!BS17</f>
        <v>3.823349903577189E-2</v>
      </c>
      <c r="O62" s="154">
        <v>3.5172127420285873E-2</v>
      </c>
      <c r="P62" s="154">
        <v>3.3032272128812309E-2</v>
      </c>
      <c r="Q62" s="154">
        <v>3.823349903577189E-2</v>
      </c>
      <c r="S62" s="163">
        <f t="shared" si="75"/>
        <v>1</v>
      </c>
      <c r="T62" s="163">
        <f t="shared" si="76"/>
        <v>0.93916048165345323</v>
      </c>
      <c r="U62" s="163">
        <f t="shared" si="77"/>
        <v>1.0870397055857457</v>
      </c>
      <c r="W62" s="154">
        <f>FIGURES!DV17</f>
        <v>2.4239459136126077E-2</v>
      </c>
      <c r="X62" s="154">
        <v>2.20769948636797E-2</v>
      </c>
      <c r="Y62" s="154">
        <v>1.9770366306403567E-2</v>
      </c>
      <c r="Z62" s="154">
        <v>2.4239459136126077E-2</v>
      </c>
      <c r="AB62" s="163">
        <f t="shared" si="78"/>
        <v>1</v>
      </c>
      <c r="AC62" s="163">
        <f t="shared" si="79"/>
        <v>0.89551890682952884</v>
      </c>
      <c r="AD62" s="163">
        <f t="shared" si="80"/>
        <v>1.0979510248473168</v>
      </c>
      <c r="AG62" s="154" t="s">
        <v>423</v>
      </c>
      <c r="AH62" s="154" t="s">
        <v>421</v>
      </c>
      <c r="AI62" s="154">
        <v>2034</v>
      </c>
      <c r="AJ62" s="154" t="str">
        <f>A7</f>
        <v>Road</v>
      </c>
      <c r="AK62" s="154" t="str">
        <f>B7</f>
        <v>Dry bulk</v>
      </c>
      <c r="AL62" s="154" t="str">
        <f>C7</f>
        <v>Diesel</v>
      </c>
      <c r="AM62" s="164">
        <f>S7</f>
        <v>1.0114762210930268</v>
      </c>
    </row>
    <row r="63" spans="1:39" x14ac:dyDescent="0.25">
      <c r="A63" s="154" t="s">
        <v>168</v>
      </c>
      <c r="B63" s="154" t="s">
        <v>226</v>
      </c>
      <c r="C63" s="154" t="s">
        <v>280</v>
      </c>
      <c r="D63" s="154">
        <f>FIGURES!Q17</f>
        <v>6.4091309057636167E-3</v>
      </c>
      <c r="E63" s="154">
        <v>6.7183123018988286E-3</v>
      </c>
      <c r="F63" s="154">
        <v>6.8245934068203087E-3</v>
      </c>
      <c r="G63" s="154">
        <v>6.4091309057636167E-3</v>
      </c>
      <c r="I63" s="163">
        <f>E63/E63</f>
        <v>1</v>
      </c>
      <c r="J63" s="163">
        <f>F63/E63</f>
        <v>1.0158196136388957</v>
      </c>
      <c r="K63" s="163">
        <f>G63/E63</f>
        <v>0.95397930577775814</v>
      </c>
      <c r="N63" s="154">
        <f>FIGURES!BT17</f>
        <v>5.035651218324705E-3</v>
      </c>
      <c r="O63" s="154">
        <v>6.0776113499956437E-3</v>
      </c>
      <c r="P63" s="154">
        <v>6.505901710866519E-3</v>
      </c>
      <c r="Q63" s="154">
        <v>5.035651218324705E-3</v>
      </c>
      <c r="S63" s="163">
        <f>O63/O63</f>
        <v>1</v>
      </c>
      <c r="T63" s="163">
        <f>P63/O63</f>
        <v>1.0704701791882731</v>
      </c>
      <c r="U63" s="163">
        <f>Q63/O63</f>
        <v>0.82855762376584252</v>
      </c>
      <c r="W63" s="154">
        <f>FIGURES!DW17</f>
        <v>4.6163935840319338E-3</v>
      </c>
      <c r="X63" s="154">
        <v>5.6632262723790554E-3</v>
      </c>
      <c r="Y63" s="154">
        <v>6.3511448961500218E-3</v>
      </c>
      <c r="Z63" s="154">
        <v>4.6163935840319338E-3</v>
      </c>
      <c r="AB63" s="163">
        <f>X63/X63</f>
        <v>1</v>
      </c>
      <c r="AC63" s="163">
        <f>Y63/X63</f>
        <v>1.1214711527819601</v>
      </c>
      <c r="AD63" s="163">
        <f>Z63/X63</f>
        <v>0.81515259359266967</v>
      </c>
      <c r="AG63" s="154" t="s">
        <v>87</v>
      </c>
      <c r="AH63" s="154" t="s">
        <v>421</v>
      </c>
      <c r="AI63" s="154">
        <v>2034</v>
      </c>
      <c r="AJ63" s="154" t="str">
        <f t="shared" ref="AJ63:AL63" si="94">A8</f>
        <v>Road</v>
      </c>
      <c r="AK63" s="154" t="str">
        <f t="shared" si="94"/>
        <v>Dry bulk</v>
      </c>
      <c r="AL63" s="154" t="str">
        <f t="shared" si="94"/>
        <v>Battery</v>
      </c>
      <c r="AM63" s="164">
        <f t="shared" ref="AM63:AM76" si="95">S8</f>
        <v>1</v>
      </c>
    </row>
    <row r="64" spans="1:39" x14ac:dyDescent="0.25">
      <c r="A64" s="154" t="s">
        <v>168</v>
      </c>
      <c r="B64" s="154" t="s">
        <v>226</v>
      </c>
      <c r="C64" s="154" t="s">
        <v>279</v>
      </c>
      <c r="D64" s="154">
        <f>FIGURES!R17</f>
        <v>9.6278470383299765E-3</v>
      </c>
      <c r="E64" s="154">
        <v>1.0317566302354808E-2</v>
      </c>
      <c r="F64" s="154">
        <v>1.0554657299363342E-2</v>
      </c>
      <c r="G64" s="154">
        <v>9.6278470383299765E-3</v>
      </c>
      <c r="I64" s="163">
        <f t="shared" ref="I64:I67" si="96">E64/E64</f>
        <v>1</v>
      </c>
      <c r="J64" s="163">
        <f t="shared" ref="J64:J67" si="97">F64/E64</f>
        <v>1.0229793528881344</v>
      </c>
      <c r="K64" s="163">
        <f t="shared" ref="K64:K67" si="98">G64/E64</f>
        <v>0.93315097341633613</v>
      </c>
      <c r="N64" s="154">
        <f>FIGURES!BU17</f>
        <v>6.5541181312058598E-3</v>
      </c>
      <c r="O64" s="154">
        <v>8.8785140494033708E-3</v>
      </c>
      <c r="P64" s="154">
        <v>9.8339405924661501E-3</v>
      </c>
      <c r="Q64" s="154">
        <v>6.5541181312058598E-3</v>
      </c>
      <c r="S64" s="163">
        <f t="shared" ref="S64:S67" si="99">O64/O64</f>
        <v>1</v>
      </c>
      <c r="T64" s="163">
        <f t="shared" ref="T64:T67" si="100">P64/O64</f>
        <v>1.1076110864663196</v>
      </c>
      <c r="U64" s="163">
        <f t="shared" ref="U64:U67" si="101">Q64/O64</f>
        <v>0.73819989411925202</v>
      </c>
      <c r="W64" s="154">
        <f>FIGURES!DX17</f>
        <v>5.5367027900290119E-3</v>
      </c>
      <c r="X64" s="154">
        <v>7.8719683667720398E-3</v>
      </c>
      <c r="Y64" s="154">
        <v>9.406571460060317E-3</v>
      </c>
      <c r="Z64" s="154">
        <v>5.5367027900290119E-3</v>
      </c>
      <c r="AB64" s="163">
        <f t="shared" ref="AB64:AB67" si="102">X64/X64</f>
        <v>1</v>
      </c>
      <c r="AC64" s="163">
        <f t="shared" ref="AC64:AC67" si="103">Y64/X64</f>
        <v>1.1949452820168729</v>
      </c>
      <c r="AD64" s="163">
        <f t="shared" ref="AD64:AD67" si="104">Z64/X64</f>
        <v>0.70334413606128077</v>
      </c>
      <c r="AG64" s="154" t="s">
        <v>103</v>
      </c>
      <c r="AH64" s="154" t="s">
        <v>421</v>
      </c>
      <c r="AI64" s="154">
        <v>2034</v>
      </c>
      <c r="AJ64" s="154" t="str">
        <f t="shared" ref="AJ64:AL64" si="105">A9</f>
        <v>Road</v>
      </c>
      <c r="AK64" s="154" t="str">
        <f t="shared" si="105"/>
        <v>Dry bulk</v>
      </c>
      <c r="AL64" s="154" t="str">
        <f t="shared" si="105"/>
        <v>Hydrogen</v>
      </c>
      <c r="AM64" s="164">
        <f t="shared" si="95"/>
        <v>0.99038158734414561</v>
      </c>
    </row>
    <row r="65" spans="1:39" x14ac:dyDescent="0.25">
      <c r="A65" s="154" t="s">
        <v>168</v>
      </c>
      <c r="B65" s="154" t="s">
        <v>226</v>
      </c>
      <c r="C65" s="154" t="s">
        <v>103</v>
      </c>
      <c r="D65" s="154">
        <f>FIGURES!S17</f>
        <v>2.4918266961334933E-2</v>
      </c>
      <c r="E65" s="154">
        <v>2.2902658139478661E-2</v>
      </c>
      <c r="F65" s="154">
        <v>2.2019872503577051E-2</v>
      </c>
      <c r="G65" s="154">
        <v>2.4918266961334933E-2</v>
      </c>
      <c r="I65" s="163">
        <f t="shared" si="96"/>
        <v>1</v>
      </c>
      <c r="J65" s="163">
        <f t="shared" si="97"/>
        <v>0.96145488307403493</v>
      </c>
      <c r="K65" s="163">
        <f t="shared" si="98"/>
        <v>1.0880076369118854</v>
      </c>
      <c r="N65" s="154">
        <f>FIGURES!BV17</f>
        <v>2.1729834203805101E-2</v>
      </c>
      <c r="O65" s="154">
        <v>1.9946835791258326E-2</v>
      </c>
      <c r="P65" s="154">
        <v>1.8700545217295608E-2</v>
      </c>
      <c r="Q65" s="154">
        <v>2.1729834203805101E-2</v>
      </c>
      <c r="S65" s="163">
        <f t="shared" si="99"/>
        <v>1</v>
      </c>
      <c r="T65" s="163">
        <f t="shared" si="100"/>
        <v>0.93751938467810003</v>
      </c>
      <c r="U65" s="163">
        <f t="shared" si="101"/>
        <v>1.089387531496508</v>
      </c>
      <c r="W65" s="154">
        <f>FIGURES!DY17</f>
        <v>1.4419983023509615E-2</v>
      </c>
      <c r="X65" s="154">
        <v>1.3232318903932011E-2</v>
      </c>
      <c r="Y65" s="154">
        <v>1.1965477176382569E-2</v>
      </c>
      <c r="Z65" s="154">
        <v>1.4419983023509615E-2</v>
      </c>
      <c r="AB65" s="163">
        <f t="shared" si="102"/>
        <v>1</v>
      </c>
      <c r="AC65" s="163">
        <f t="shared" si="103"/>
        <v>0.90426154805164216</v>
      </c>
      <c r="AD65" s="163">
        <f t="shared" si="104"/>
        <v>1.0897547987015856</v>
      </c>
      <c r="AG65" s="154" t="s">
        <v>423</v>
      </c>
      <c r="AH65" s="154" t="s">
        <v>421</v>
      </c>
      <c r="AI65" s="154">
        <v>2034</v>
      </c>
      <c r="AJ65" s="154" t="str">
        <f t="shared" ref="AJ65:AL65" si="106">A10</f>
        <v>Road</v>
      </c>
      <c r="AK65" s="154" t="str">
        <f t="shared" si="106"/>
        <v>Liquid bulk</v>
      </c>
      <c r="AL65" s="154" t="str">
        <f t="shared" si="106"/>
        <v>Diesel</v>
      </c>
      <c r="AM65" s="164">
        <f t="shared" si="95"/>
        <v>1.0203292982344305</v>
      </c>
    </row>
    <row r="66" spans="1:39" x14ac:dyDescent="0.25">
      <c r="A66" s="154" t="s">
        <v>168</v>
      </c>
      <c r="B66" s="154" t="s">
        <v>226</v>
      </c>
      <c r="C66" s="154" t="s">
        <v>186</v>
      </c>
      <c r="D66" s="154">
        <f>FIGURES!T17</f>
        <v>2.2992877245920678E-2</v>
      </c>
      <c r="E66" s="154">
        <v>2.0752764032990718E-2</v>
      </c>
      <c r="F66" s="154">
        <v>1.9771651157454294E-2</v>
      </c>
      <c r="G66" s="154">
        <v>2.2992877245920678E-2</v>
      </c>
      <c r="I66" s="163">
        <f t="shared" si="96"/>
        <v>1</v>
      </c>
      <c r="J66" s="163">
        <f t="shared" si="97"/>
        <v>0.95272374928097547</v>
      </c>
      <c r="K66" s="163">
        <f t="shared" si="98"/>
        <v>1.107942884589679</v>
      </c>
      <c r="N66" s="154">
        <f>FIGURES!BW17</f>
        <v>2.1244534691713526E-2</v>
      </c>
      <c r="O66" s="154">
        <v>1.9261282702587999E-2</v>
      </c>
      <c r="P66" s="154">
        <v>1.7875017721953809E-2</v>
      </c>
      <c r="Q66" s="154">
        <v>2.1244534691713526E-2</v>
      </c>
      <c r="S66" s="163">
        <f t="shared" si="99"/>
        <v>1</v>
      </c>
      <c r="T66" s="163">
        <f t="shared" si="100"/>
        <v>0.928028418354094</v>
      </c>
      <c r="U66" s="163">
        <f t="shared" si="101"/>
        <v>1.1029657276594071</v>
      </c>
      <c r="W66" s="154">
        <f>FIGURES!DZ17</f>
        <v>1.4673220470927728E-2</v>
      </c>
      <c r="X66" s="154">
        <v>1.3343048615322588E-2</v>
      </c>
      <c r="Y66" s="154">
        <v>1.1924198636010437E-2</v>
      </c>
      <c r="Z66" s="154">
        <v>1.4673220470927728E-2</v>
      </c>
      <c r="AB66" s="163">
        <f t="shared" si="102"/>
        <v>1</v>
      </c>
      <c r="AC66" s="163">
        <f t="shared" si="103"/>
        <v>0.89366373306301206</v>
      </c>
      <c r="AD66" s="163">
        <f t="shared" si="104"/>
        <v>1.0996902502534263</v>
      </c>
      <c r="AG66" s="154" t="s">
        <v>87</v>
      </c>
      <c r="AH66" s="154" t="s">
        <v>421</v>
      </c>
      <c r="AI66" s="154">
        <v>2034</v>
      </c>
      <c r="AJ66" s="154" t="str">
        <f t="shared" ref="AJ66:AL66" si="107">A11</f>
        <v>Road</v>
      </c>
      <c r="AK66" s="154" t="str">
        <f t="shared" si="107"/>
        <v>Liquid bulk</v>
      </c>
      <c r="AL66" s="154" t="str">
        <f t="shared" si="107"/>
        <v>Battery</v>
      </c>
      <c r="AM66" s="164">
        <f t="shared" si="95"/>
        <v>0.99186435407410223</v>
      </c>
    </row>
    <row r="67" spans="1:39" x14ac:dyDescent="0.25">
      <c r="A67" s="154" t="s">
        <v>168</v>
      </c>
      <c r="B67" s="154" t="s">
        <v>226</v>
      </c>
      <c r="C67" s="154" t="s">
        <v>187</v>
      </c>
      <c r="D67" s="154">
        <f>FIGURES!U17</f>
        <v>4.2124403613936684E-2</v>
      </c>
      <c r="E67" s="154">
        <v>3.947794392793505E-2</v>
      </c>
      <c r="F67" s="154">
        <v>3.8318861584445738E-2</v>
      </c>
      <c r="G67" s="154">
        <v>4.2124403613936684E-2</v>
      </c>
      <c r="I67" s="163">
        <f t="shared" si="96"/>
        <v>1</v>
      </c>
      <c r="J67" s="163">
        <f t="shared" si="97"/>
        <v>0.97063974897970484</v>
      </c>
      <c r="K67" s="163">
        <f t="shared" si="98"/>
        <v>1.067036411289114</v>
      </c>
      <c r="N67" s="154">
        <f>FIGURES!BX17</f>
        <v>2.9424986462674364E-2</v>
      </c>
      <c r="O67" s="154">
        <v>2.7068661567960485E-2</v>
      </c>
      <c r="P67" s="154">
        <v>2.5421623923501273E-2</v>
      </c>
      <c r="Q67" s="154">
        <v>2.9424986462674364E-2</v>
      </c>
      <c r="S67" s="163">
        <f t="shared" si="99"/>
        <v>1</v>
      </c>
      <c r="T67" s="163">
        <f t="shared" si="100"/>
        <v>0.93915334009684803</v>
      </c>
      <c r="U67" s="163">
        <f t="shared" si="101"/>
        <v>1.0870499226124619</v>
      </c>
      <c r="W67" s="154">
        <f>FIGURES!EA17</f>
        <v>1.8653832635300887E-2</v>
      </c>
      <c r="X67" s="154">
        <v>1.6989392952996653E-2</v>
      </c>
      <c r="Y67" s="154">
        <v>1.5213990625205476E-2</v>
      </c>
      <c r="Z67" s="154">
        <v>1.8653832635300887E-2</v>
      </c>
      <c r="AB67" s="163">
        <f t="shared" si="102"/>
        <v>1</v>
      </c>
      <c r="AC67" s="163">
        <f t="shared" si="103"/>
        <v>0.89549936641626593</v>
      </c>
      <c r="AD67" s="163">
        <f t="shared" si="104"/>
        <v>1.0979693439847511</v>
      </c>
      <c r="AG67" s="154" t="s">
        <v>103</v>
      </c>
      <c r="AH67" s="154" t="s">
        <v>421</v>
      </c>
      <c r="AI67" s="154">
        <v>2034</v>
      </c>
      <c r="AJ67" s="154" t="str">
        <f t="shared" ref="AJ67:AL67" si="108">A12</f>
        <v>Road</v>
      </c>
      <c r="AK67" s="154" t="str">
        <f t="shared" si="108"/>
        <v>Liquid bulk</v>
      </c>
      <c r="AL67" s="154" t="str">
        <f t="shared" si="108"/>
        <v>Hydrogen</v>
      </c>
      <c r="AM67" s="164">
        <f t="shared" si="95"/>
        <v>0.98355364230582498</v>
      </c>
    </row>
    <row r="68" spans="1:39" x14ac:dyDescent="0.25">
      <c r="AG68" s="154" t="s">
        <v>423</v>
      </c>
      <c r="AH68" s="154" t="s">
        <v>421</v>
      </c>
      <c r="AI68" s="154">
        <v>2034</v>
      </c>
      <c r="AJ68" s="154" t="str">
        <f t="shared" ref="AJ68:AL68" si="109">A13</f>
        <v>Road</v>
      </c>
      <c r="AK68" s="154" t="str">
        <f t="shared" si="109"/>
        <v>Container</v>
      </c>
      <c r="AL68" s="154" t="str">
        <f t="shared" si="109"/>
        <v>Diesel</v>
      </c>
      <c r="AM68" s="164">
        <f t="shared" si="95"/>
        <v>1.0201260789001456</v>
      </c>
    </row>
    <row r="69" spans="1:39" x14ac:dyDescent="0.25">
      <c r="AG69" s="154" t="s">
        <v>87</v>
      </c>
      <c r="AH69" s="154" t="s">
        <v>421</v>
      </c>
      <c r="AI69" s="154">
        <v>2034</v>
      </c>
      <c r="AJ69" s="154" t="str">
        <f t="shared" ref="AJ69:AL69" si="110">A14</f>
        <v>Road</v>
      </c>
      <c r="AK69" s="154" t="str">
        <f t="shared" si="110"/>
        <v>Container</v>
      </c>
      <c r="AL69" s="154" t="str">
        <f t="shared" si="110"/>
        <v>Battery</v>
      </c>
      <c r="AM69" s="164">
        <f t="shared" si="95"/>
        <v>0.99195669374895978</v>
      </c>
    </row>
    <row r="70" spans="1:39" x14ac:dyDescent="0.25">
      <c r="AG70" s="154" t="s">
        <v>103</v>
      </c>
      <c r="AH70" s="154" t="s">
        <v>421</v>
      </c>
      <c r="AI70" s="154">
        <v>2034</v>
      </c>
      <c r="AJ70" s="154" t="str">
        <f t="shared" ref="AJ70:AL70" si="111">A15</f>
        <v>Road</v>
      </c>
      <c r="AK70" s="154" t="str">
        <f t="shared" si="111"/>
        <v>Container</v>
      </c>
      <c r="AL70" s="154" t="str">
        <f t="shared" si="111"/>
        <v>Hydrogen</v>
      </c>
      <c r="AM70" s="164">
        <f t="shared" si="95"/>
        <v>0.98374999839971577</v>
      </c>
    </row>
    <row r="71" spans="1:39" x14ac:dyDescent="0.25">
      <c r="AG71" s="154" t="s">
        <v>423</v>
      </c>
      <c r="AH71" s="154" t="s">
        <v>421</v>
      </c>
      <c r="AI71" s="154">
        <v>2034</v>
      </c>
      <c r="AJ71" s="154" t="str">
        <f t="shared" ref="AJ71:AL71" si="112">A16</f>
        <v>Road</v>
      </c>
      <c r="AK71" s="154" t="str">
        <f t="shared" si="112"/>
        <v>Break bulk</v>
      </c>
      <c r="AL71" s="154" t="str">
        <f t="shared" si="112"/>
        <v>Diesel</v>
      </c>
      <c r="AM71" s="164">
        <f t="shared" si="95"/>
        <v>1.0155757639205536</v>
      </c>
    </row>
    <row r="72" spans="1:39" x14ac:dyDescent="0.25">
      <c r="AG72" s="154" t="s">
        <v>87</v>
      </c>
      <c r="AH72" s="154" t="s">
        <v>421</v>
      </c>
      <c r="AI72" s="154">
        <v>2034</v>
      </c>
      <c r="AJ72" s="154" t="str">
        <f t="shared" ref="AJ72:AL72" si="113">A17</f>
        <v>Road</v>
      </c>
      <c r="AK72" s="154" t="str">
        <f t="shared" si="113"/>
        <v>Break bulk</v>
      </c>
      <c r="AL72" s="154" t="str">
        <f t="shared" si="113"/>
        <v>Battery</v>
      </c>
      <c r="AM72" s="164">
        <f t="shared" si="95"/>
        <v>0.9938166203526887</v>
      </c>
    </row>
    <row r="73" spans="1:39" x14ac:dyDescent="0.25">
      <c r="AG73" s="154" t="s">
        <v>103</v>
      </c>
      <c r="AH73" s="154" t="s">
        <v>421</v>
      </c>
      <c r="AI73" s="154">
        <v>2034</v>
      </c>
      <c r="AJ73" s="154" t="str">
        <f t="shared" ref="AJ73:AL73" si="114">A18</f>
        <v>Road</v>
      </c>
      <c r="AK73" s="154" t="str">
        <f t="shared" si="114"/>
        <v>Break bulk</v>
      </c>
      <c r="AL73" s="154" t="str">
        <f t="shared" si="114"/>
        <v>Hydrogen</v>
      </c>
      <c r="AM73" s="164">
        <f t="shared" si="95"/>
        <v>0.98717183517906304</v>
      </c>
    </row>
    <row r="74" spans="1:39" x14ac:dyDescent="0.25">
      <c r="AG74" s="154" t="s">
        <v>423</v>
      </c>
      <c r="AH74" s="154" t="s">
        <v>421</v>
      </c>
      <c r="AI74" s="154">
        <v>2034</v>
      </c>
      <c r="AJ74" s="154" t="str">
        <f t="shared" ref="AJ74:AL74" si="115">A19</f>
        <v>Road</v>
      </c>
      <c r="AK74" s="154" t="str">
        <f t="shared" si="115"/>
        <v>Neo bulk</v>
      </c>
      <c r="AL74" s="154" t="str">
        <f t="shared" si="115"/>
        <v>Diesel</v>
      </c>
      <c r="AM74" s="164">
        <f t="shared" si="95"/>
        <v>1.0176624197536175</v>
      </c>
    </row>
    <row r="75" spans="1:39" x14ac:dyDescent="0.25">
      <c r="AG75" s="154" t="s">
        <v>87</v>
      </c>
      <c r="AH75" s="154" t="s">
        <v>421</v>
      </c>
      <c r="AI75" s="154">
        <v>2034</v>
      </c>
      <c r="AJ75" s="154" t="str">
        <f t="shared" ref="AJ75:AL75" si="116">A20</f>
        <v>Road</v>
      </c>
      <c r="AK75" s="154" t="str">
        <f t="shared" si="116"/>
        <v>Neo bulk</v>
      </c>
      <c r="AL75" s="154" t="str">
        <f t="shared" si="116"/>
        <v>Battery</v>
      </c>
      <c r="AM75" s="164">
        <f t="shared" si="95"/>
        <v>0.99296745756134686</v>
      </c>
    </row>
    <row r="76" spans="1:39" x14ac:dyDescent="0.25">
      <c r="AG76" s="154" t="s">
        <v>103</v>
      </c>
      <c r="AH76" s="154" t="s">
        <v>421</v>
      </c>
      <c r="AI76" s="154">
        <v>2034</v>
      </c>
      <c r="AJ76" s="154" t="str">
        <f t="shared" ref="AJ76:AL76" si="117">A21</f>
        <v>Road</v>
      </c>
      <c r="AK76" s="154" t="str">
        <f t="shared" si="117"/>
        <v>Neo bulk</v>
      </c>
      <c r="AL76" s="154" t="str">
        <f t="shared" si="117"/>
        <v>Hydrogen</v>
      </c>
      <c r="AM76" s="164">
        <f t="shared" si="95"/>
        <v>0.98558760435341541</v>
      </c>
    </row>
    <row r="77" spans="1:39" x14ac:dyDescent="0.25">
      <c r="AG77" s="154" t="s">
        <v>423</v>
      </c>
      <c r="AH77" s="154" t="s">
        <v>422</v>
      </c>
      <c r="AI77" s="154">
        <v>2034</v>
      </c>
      <c r="AJ77" s="154" t="str">
        <f>A7</f>
        <v>Road</v>
      </c>
      <c r="AK77" s="154" t="str">
        <f>B7</f>
        <v>Dry bulk</v>
      </c>
      <c r="AL77" s="154" t="str">
        <f>C7</f>
        <v>Diesel</v>
      </c>
      <c r="AM77" s="164">
        <f>T7</f>
        <v>0.97208023823636724</v>
      </c>
    </row>
    <row r="78" spans="1:39" x14ac:dyDescent="0.25">
      <c r="AG78" s="154" t="s">
        <v>87</v>
      </c>
      <c r="AH78" s="154" t="s">
        <v>422</v>
      </c>
      <c r="AI78" s="154">
        <v>2034</v>
      </c>
      <c r="AJ78" s="154" t="str">
        <f t="shared" ref="AJ78:AL78" si="118">A8</f>
        <v>Road</v>
      </c>
      <c r="AK78" s="154" t="str">
        <f t="shared" si="118"/>
        <v>Dry bulk</v>
      </c>
      <c r="AL78" s="154" t="str">
        <f t="shared" si="118"/>
        <v>Battery</v>
      </c>
      <c r="AM78" s="164">
        <f t="shared" ref="AM78:AM91" si="119">T8</f>
        <v>1</v>
      </c>
    </row>
    <row r="79" spans="1:39" x14ac:dyDescent="0.25">
      <c r="AG79" s="154" t="s">
        <v>103</v>
      </c>
      <c r="AH79" s="154" t="s">
        <v>422</v>
      </c>
      <c r="AI79" s="154">
        <v>2034</v>
      </c>
      <c r="AJ79" s="154" t="str">
        <f t="shared" ref="AJ79:AL79" si="120">A9</f>
        <v>Road</v>
      </c>
      <c r="AK79" s="154" t="str">
        <f t="shared" si="120"/>
        <v>Dry bulk</v>
      </c>
      <c r="AL79" s="154" t="str">
        <f t="shared" si="120"/>
        <v>Hydrogen</v>
      </c>
      <c r="AM79" s="164">
        <f t="shared" si="119"/>
        <v>1.0137605265215794</v>
      </c>
    </row>
    <row r="80" spans="1:39" x14ac:dyDescent="0.25">
      <c r="AG80" s="154" t="s">
        <v>423</v>
      </c>
      <c r="AH80" s="154" t="s">
        <v>422</v>
      </c>
      <c r="AI80" s="154">
        <v>2034</v>
      </c>
      <c r="AJ80" s="154" t="str">
        <f t="shared" ref="AJ80:AL80" si="121">A10</f>
        <v>Road</v>
      </c>
      <c r="AK80" s="154" t="str">
        <f t="shared" si="121"/>
        <v>Liquid bulk</v>
      </c>
      <c r="AL80" s="154" t="str">
        <f t="shared" si="121"/>
        <v>Diesel</v>
      </c>
      <c r="AM80" s="164">
        <f t="shared" si="119"/>
        <v>0.95054215504160899</v>
      </c>
    </row>
    <row r="81" spans="33:39" x14ac:dyDescent="0.25">
      <c r="AG81" s="154" t="s">
        <v>87</v>
      </c>
      <c r="AH81" s="154" t="s">
        <v>422</v>
      </c>
      <c r="AI81" s="154">
        <v>2034</v>
      </c>
      <c r="AJ81" s="154" t="str">
        <f t="shared" ref="AJ81:AL81" si="122">A11</f>
        <v>Road</v>
      </c>
      <c r="AK81" s="154" t="str">
        <f t="shared" si="122"/>
        <v>Liquid bulk</v>
      </c>
      <c r="AL81" s="154" t="str">
        <f t="shared" si="122"/>
        <v>Battery</v>
      </c>
      <c r="AM81" s="164">
        <f t="shared" si="119"/>
        <v>1.0116178290070217</v>
      </c>
    </row>
    <row r="82" spans="33:39" x14ac:dyDescent="0.25">
      <c r="AG82" s="154" t="s">
        <v>103</v>
      </c>
      <c r="AH82" s="154" t="s">
        <v>422</v>
      </c>
      <c r="AI82" s="154">
        <v>2034</v>
      </c>
      <c r="AJ82" s="154" t="str">
        <f t="shared" ref="AJ82:AL82" si="123">A12</f>
        <v>Road</v>
      </c>
      <c r="AK82" s="154" t="str">
        <f t="shared" si="123"/>
        <v>Liquid bulk</v>
      </c>
      <c r="AL82" s="154" t="str">
        <f t="shared" si="123"/>
        <v>Hydrogen</v>
      </c>
      <c r="AM82" s="164">
        <f t="shared" si="119"/>
        <v>1.0235288866605576</v>
      </c>
    </row>
    <row r="83" spans="33:39" x14ac:dyDescent="0.25">
      <c r="AG83" s="154" t="s">
        <v>423</v>
      </c>
      <c r="AH83" s="154" t="s">
        <v>422</v>
      </c>
      <c r="AI83" s="154">
        <v>2034</v>
      </c>
      <c r="AJ83" s="154" t="str">
        <f t="shared" ref="AJ83:AL83" si="124">A13</f>
        <v>Road</v>
      </c>
      <c r="AK83" s="154" t="str">
        <f t="shared" si="124"/>
        <v>Container</v>
      </c>
      <c r="AL83" s="154" t="str">
        <f t="shared" si="124"/>
        <v>Diesel</v>
      </c>
      <c r="AM83" s="164">
        <f t="shared" si="119"/>
        <v>0.95103655431755652</v>
      </c>
    </row>
    <row r="84" spans="33:39" x14ac:dyDescent="0.25">
      <c r="AG84" s="154" t="s">
        <v>87</v>
      </c>
      <c r="AH84" s="154" t="s">
        <v>422</v>
      </c>
      <c r="AI84" s="154">
        <v>2034</v>
      </c>
      <c r="AJ84" s="154" t="str">
        <f t="shared" ref="AJ84:AL84" si="125">A14</f>
        <v>Road</v>
      </c>
      <c r="AK84" s="154" t="str">
        <f t="shared" si="125"/>
        <v>Container</v>
      </c>
      <c r="AL84" s="154" t="str">
        <f t="shared" si="125"/>
        <v>Battery</v>
      </c>
      <c r="AM84" s="164">
        <f t="shared" si="119"/>
        <v>1.0114859665141314</v>
      </c>
    </row>
    <row r="85" spans="33:39" x14ac:dyDescent="0.25">
      <c r="AG85" s="154" t="s">
        <v>103</v>
      </c>
      <c r="AH85" s="154" t="s">
        <v>422</v>
      </c>
      <c r="AI85" s="154">
        <v>2034</v>
      </c>
      <c r="AJ85" s="154" t="str">
        <f t="shared" ref="AJ85:AL85" si="126">A15</f>
        <v>Road</v>
      </c>
      <c r="AK85" s="154" t="str">
        <f t="shared" si="126"/>
        <v>Container</v>
      </c>
      <c r="AL85" s="154" t="str">
        <f t="shared" si="126"/>
        <v>Hydrogen</v>
      </c>
      <c r="AM85" s="164">
        <f t="shared" si="119"/>
        <v>1.0232479709487527</v>
      </c>
    </row>
    <row r="86" spans="33:39" x14ac:dyDescent="0.25">
      <c r="AG86" s="154" t="s">
        <v>423</v>
      </c>
      <c r="AH86" s="154" t="s">
        <v>422</v>
      </c>
      <c r="AI86" s="154">
        <v>2034</v>
      </c>
      <c r="AJ86" s="154" t="str">
        <f t="shared" ref="AJ86:AL86" si="127">A16</f>
        <v>Road</v>
      </c>
      <c r="AK86" s="154" t="str">
        <f t="shared" si="127"/>
        <v>Break bulk</v>
      </c>
      <c r="AL86" s="154" t="str">
        <f t="shared" si="127"/>
        <v>Diesel</v>
      </c>
      <c r="AM86" s="164">
        <f t="shared" si="119"/>
        <v>0.96210672359626503</v>
      </c>
    </row>
    <row r="87" spans="33:39" x14ac:dyDescent="0.25">
      <c r="AG87" s="154" t="s">
        <v>87</v>
      </c>
      <c r="AH87" s="154" t="s">
        <v>422</v>
      </c>
      <c r="AI87" s="154">
        <v>2034</v>
      </c>
      <c r="AJ87" s="154" t="str">
        <f t="shared" ref="AJ87:AL87" si="128">A17</f>
        <v>Road</v>
      </c>
      <c r="AK87" s="154" t="str">
        <f t="shared" si="128"/>
        <v>Break bulk</v>
      </c>
      <c r="AL87" s="154" t="str">
        <f t="shared" si="128"/>
        <v>Battery</v>
      </c>
      <c r="AM87" s="164">
        <f t="shared" si="119"/>
        <v>1.0088299623757324</v>
      </c>
    </row>
    <row r="88" spans="33:39" x14ac:dyDescent="0.25">
      <c r="AG88" s="154" t="s">
        <v>103</v>
      </c>
      <c r="AH88" s="154" t="s">
        <v>422</v>
      </c>
      <c r="AI88" s="154">
        <v>2034</v>
      </c>
      <c r="AJ88" s="154" t="str">
        <f t="shared" ref="AJ88:AL88" si="129">A18</f>
        <v>Road</v>
      </c>
      <c r="AK88" s="154" t="str">
        <f t="shared" si="129"/>
        <v>Break bulk</v>
      </c>
      <c r="AL88" s="154" t="str">
        <f t="shared" si="129"/>
        <v>Hydrogen</v>
      </c>
      <c r="AM88" s="164">
        <f t="shared" si="119"/>
        <v>1.0183525399208411</v>
      </c>
    </row>
    <row r="89" spans="33:39" x14ac:dyDescent="0.25">
      <c r="AG89" s="154" t="s">
        <v>423</v>
      </c>
      <c r="AH89" s="154" t="s">
        <v>422</v>
      </c>
      <c r="AI89" s="154">
        <v>2034</v>
      </c>
      <c r="AJ89" s="154" t="str">
        <f t="shared" ref="AJ89:AL89" si="130">A19</f>
        <v>Road</v>
      </c>
      <c r="AK89" s="154" t="str">
        <f t="shared" si="130"/>
        <v>Neo bulk</v>
      </c>
      <c r="AL89" s="154" t="str">
        <f t="shared" si="130"/>
        <v>Diesel</v>
      </c>
      <c r="AM89" s="164">
        <f t="shared" si="119"/>
        <v>0.95703023253970709</v>
      </c>
    </row>
    <row r="90" spans="33:39" x14ac:dyDescent="0.25">
      <c r="AG90" s="154" t="s">
        <v>87</v>
      </c>
      <c r="AH90" s="154" t="s">
        <v>422</v>
      </c>
      <c r="AI90" s="154">
        <v>2034</v>
      </c>
      <c r="AJ90" s="154" t="str">
        <f t="shared" ref="AJ90:AL90" si="131">A20</f>
        <v>Road</v>
      </c>
      <c r="AK90" s="154" t="str">
        <f t="shared" si="131"/>
        <v>Neo bulk</v>
      </c>
      <c r="AL90" s="154" t="str">
        <f t="shared" si="131"/>
        <v>Battery</v>
      </c>
      <c r="AM90" s="164">
        <f t="shared" si="119"/>
        <v>1.0100425800583104</v>
      </c>
    </row>
    <row r="91" spans="33:39" x14ac:dyDescent="0.25">
      <c r="AG91" s="154" t="s">
        <v>103</v>
      </c>
      <c r="AH91" s="154" t="s">
        <v>422</v>
      </c>
      <c r="AI91" s="154">
        <v>2034</v>
      </c>
      <c r="AJ91" s="154" t="str">
        <f t="shared" ref="AJ91:AL91" si="132">A21</f>
        <v>Road</v>
      </c>
      <c r="AK91" s="154" t="str">
        <f t="shared" si="132"/>
        <v>Neo bulk</v>
      </c>
      <c r="AL91" s="154" t="str">
        <f t="shared" si="132"/>
        <v>Hydrogen</v>
      </c>
      <c r="AM91" s="164">
        <f t="shared" si="119"/>
        <v>1.0206190106029198</v>
      </c>
    </row>
    <row r="92" spans="33:39" x14ac:dyDescent="0.25">
      <c r="AG92" s="154" t="s">
        <v>423</v>
      </c>
      <c r="AH92" s="154" t="s">
        <v>420</v>
      </c>
      <c r="AI92" s="154">
        <v>2050</v>
      </c>
      <c r="AJ92" s="154" t="str">
        <f>A7</f>
        <v>Road</v>
      </c>
      <c r="AK92" s="154" t="str">
        <f>B7</f>
        <v>Dry bulk</v>
      </c>
      <c r="AL92" s="154" t="str">
        <f>C7</f>
        <v>Diesel</v>
      </c>
      <c r="AM92" s="164">
        <f>AB7</f>
        <v>1</v>
      </c>
    </row>
    <row r="93" spans="33:39" x14ac:dyDescent="0.25">
      <c r="AG93" s="154" t="s">
        <v>87</v>
      </c>
      <c r="AH93" s="154" t="s">
        <v>420</v>
      </c>
      <c r="AI93" s="154">
        <v>2050</v>
      </c>
      <c r="AJ93" s="154" t="str">
        <f t="shared" ref="AJ93:AL93" si="133">A8</f>
        <v>Road</v>
      </c>
      <c r="AK93" s="154" t="str">
        <f t="shared" si="133"/>
        <v>Dry bulk</v>
      </c>
      <c r="AL93" s="154" t="str">
        <f t="shared" si="133"/>
        <v>Battery</v>
      </c>
      <c r="AM93" s="164">
        <f t="shared" ref="AM93:AM105" si="134">AB8</f>
        <v>1</v>
      </c>
    </row>
    <row r="94" spans="33:39" x14ac:dyDescent="0.25">
      <c r="AG94" s="154" t="s">
        <v>103</v>
      </c>
      <c r="AH94" s="154" t="s">
        <v>420</v>
      </c>
      <c r="AI94" s="154">
        <v>2050</v>
      </c>
      <c r="AJ94" s="154" t="str">
        <f t="shared" ref="AJ94:AL94" si="135">A9</f>
        <v>Road</v>
      </c>
      <c r="AK94" s="154" t="str">
        <f t="shared" si="135"/>
        <v>Dry bulk</v>
      </c>
      <c r="AL94" s="154" t="str">
        <f t="shared" si="135"/>
        <v>Hydrogen</v>
      </c>
      <c r="AM94" s="164">
        <f t="shared" si="134"/>
        <v>1</v>
      </c>
    </row>
    <row r="95" spans="33:39" x14ac:dyDescent="0.25">
      <c r="AG95" s="154" t="s">
        <v>423</v>
      </c>
      <c r="AH95" s="154" t="s">
        <v>420</v>
      </c>
      <c r="AI95" s="154">
        <v>2050</v>
      </c>
      <c r="AJ95" s="154" t="str">
        <f t="shared" ref="AJ95:AL95" si="136">A10</f>
        <v>Road</v>
      </c>
      <c r="AK95" s="154" t="str">
        <f t="shared" si="136"/>
        <v>Liquid bulk</v>
      </c>
      <c r="AL95" s="154" t="str">
        <f t="shared" si="136"/>
        <v>Diesel</v>
      </c>
      <c r="AM95" s="164">
        <f t="shared" si="134"/>
        <v>1</v>
      </c>
    </row>
    <row r="96" spans="33:39" x14ac:dyDescent="0.25">
      <c r="AG96" s="154" t="s">
        <v>87</v>
      </c>
      <c r="AH96" s="154" t="s">
        <v>420</v>
      </c>
      <c r="AI96" s="154">
        <v>2050</v>
      </c>
      <c r="AJ96" s="154" t="str">
        <f t="shared" ref="AJ96:AL96" si="137">A11</f>
        <v>Road</v>
      </c>
      <c r="AK96" s="154" t="str">
        <f t="shared" si="137"/>
        <v>Liquid bulk</v>
      </c>
      <c r="AL96" s="154" t="str">
        <f t="shared" si="137"/>
        <v>Battery</v>
      </c>
      <c r="AM96" s="164">
        <f t="shared" si="134"/>
        <v>1</v>
      </c>
    </row>
    <row r="97" spans="33:39" x14ac:dyDescent="0.25">
      <c r="AG97" s="154" t="s">
        <v>103</v>
      </c>
      <c r="AH97" s="154" t="s">
        <v>420</v>
      </c>
      <c r="AI97" s="154">
        <v>2050</v>
      </c>
      <c r="AJ97" s="154" t="str">
        <f t="shared" ref="AJ97:AL97" si="138">A12</f>
        <v>Road</v>
      </c>
      <c r="AK97" s="154" t="str">
        <f t="shared" si="138"/>
        <v>Liquid bulk</v>
      </c>
      <c r="AL97" s="154" t="str">
        <f t="shared" si="138"/>
        <v>Hydrogen</v>
      </c>
      <c r="AM97" s="164">
        <f t="shared" si="134"/>
        <v>1</v>
      </c>
    </row>
    <row r="98" spans="33:39" x14ac:dyDescent="0.25">
      <c r="AG98" s="154" t="s">
        <v>423</v>
      </c>
      <c r="AH98" s="154" t="s">
        <v>420</v>
      </c>
      <c r="AI98" s="154">
        <v>2050</v>
      </c>
      <c r="AJ98" s="154" t="str">
        <f t="shared" ref="AJ98:AL98" si="139">A13</f>
        <v>Road</v>
      </c>
      <c r="AK98" s="154" t="str">
        <f t="shared" si="139"/>
        <v>Container</v>
      </c>
      <c r="AL98" s="154" t="str">
        <f t="shared" si="139"/>
        <v>Diesel</v>
      </c>
      <c r="AM98" s="164">
        <f t="shared" si="134"/>
        <v>1</v>
      </c>
    </row>
    <row r="99" spans="33:39" x14ac:dyDescent="0.25">
      <c r="AG99" s="154" t="s">
        <v>87</v>
      </c>
      <c r="AH99" s="154" t="s">
        <v>420</v>
      </c>
      <c r="AI99" s="154">
        <v>2050</v>
      </c>
      <c r="AJ99" s="154" t="str">
        <f t="shared" ref="AJ99:AL99" si="140">A14</f>
        <v>Road</v>
      </c>
      <c r="AK99" s="154" t="str">
        <f t="shared" si="140"/>
        <v>Container</v>
      </c>
      <c r="AL99" s="154" t="str">
        <f t="shared" si="140"/>
        <v>Battery</v>
      </c>
      <c r="AM99" s="164">
        <f t="shared" si="134"/>
        <v>1</v>
      </c>
    </row>
    <row r="100" spans="33:39" x14ac:dyDescent="0.25">
      <c r="AG100" s="154" t="s">
        <v>103</v>
      </c>
      <c r="AH100" s="154" t="s">
        <v>420</v>
      </c>
      <c r="AI100" s="154">
        <v>2050</v>
      </c>
      <c r="AJ100" s="154" t="str">
        <f t="shared" ref="AJ100:AL100" si="141">A15</f>
        <v>Road</v>
      </c>
      <c r="AK100" s="154" t="str">
        <f t="shared" si="141"/>
        <v>Container</v>
      </c>
      <c r="AL100" s="154" t="str">
        <f t="shared" si="141"/>
        <v>Hydrogen</v>
      </c>
      <c r="AM100" s="164">
        <f t="shared" si="134"/>
        <v>1</v>
      </c>
    </row>
    <row r="101" spans="33:39" x14ac:dyDescent="0.25">
      <c r="AG101" s="154" t="s">
        <v>423</v>
      </c>
      <c r="AH101" s="154" t="s">
        <v>420</v>
      </c>
      <c r="AI101" s="154">
        <v>2050</v>
      </c>
      <c r="AJ101" s="154" t="str">
        <f t="shared" ref="AJ101:AL101" si="142">A16</f>
        <v>Road</v>
      </c>
      <c r="AK101" s="154" t="str">
        <f t="shared" si="142"/>
        <v>Break bulk</v>
      </c>
      <c r="AL101" s="154" t="str">
        <f t="shared" si="142"/>
        <v>Diesel</v>
      </c>
      <c r="AM101" s="164">
        <f t="shared" si="134"/>
        <v>1</v>
      </c>
    </row>
    <row r="102" spans="33:39" x14ac:dyDescent="0.25">
      <c r="AG102" s="154" t="s">
        <v>87</v>
      </c>
      <c r="AH102" s="154" t="s">
        <v>420</v>
      </c>
      <c r="AI102" s="154">
        <v>2050</v>
      </c>
      <c r="AJ102" s="154" t="str">
        <f t="shared" ref="AJ102:AL102" si="143">A17</f>
        <v>Road</v>
      </c>
      <c r="AK102" s="154" t="str">
        <f t="shared" si="143"/>
        <v>Break bulk</v>
      </c>
      <c r="AL102" s="154" t="str">
        <f t="shared" si="143"/>
        <v>Battery</v>
      </c>
      <c r="AM102" s="164">
        <f t="shared" si="134"/>
        <v>1</v>
      </c>
    </row>
    <row r="103" spans="33:39" x14ac:dyDescent="0.25">
      <c r="AG103" s="154" t="s">
        <v>103</v>
      </c>
      <c r="AH103" s="154" t="s">
        <v>420</v>
      </c>
      <c r="AI103" s="154">
        <v>2050</v>
      </c>
      <c r="AJ103" s="154" t="str">
        <f t="shared" ref="AJ103:AL103" si="144">A18</f>
        <v>Road</v>
      </c>
      <c r="AK103" s="154" t="str">
        <f t="shared" si="144"/>
        <v>Break bulk</v>
      </c>
      <c r="AL103" s="154" t="str">
        <f t="shared" si="144"/>
        <v>Hydrogen</v>
      </c>
      <c r="AM103" s="164">
        <f t="shared" si="134"/>
        <v>1</v>
      </c>
    </row>
    <row r="104" spans="33:39" x14ac:dyDescent="0.25">
      <c r="AG104" s="154" t="s">
        <v>423</v>
      </c>
      <c r="AH104" s="154" t="s">
        <v>420</v>
      </c>
      <c r="AI104" s="154">
        <v>2050</v>
      </c>
      <c r="AJ104" s="154" t="str">
        <f t="shared" ref="AJ104:AL104" si="145">A19</f>
        <v>Road</v>
      </c>
      <c r="AK104" s="154" t="str">
        <f t="shared" si="145"/>
        <v>Neo bulk</v>
      </c>
      <c r="AL104" s="154" t="str">
        <f t="shared" si="145"/>
        <v>Diesel</v>
      </c>
      <c r="AM104" s="164">
        <f t="shared" si="134"/>
        <v>1</v>
      </c>
    </row>
    <row r="105" spans="33:39" x14ac:dyDescent="0.25">
      <c r="AG105" s="154" t="s">
        <v>87</v>
      </c>
      <c r="AH105" s="154" t="s">
        <v>420</v>
      </c>
      <c r="AI105" s="154">
        <v>2050</v>
      </c>
      <c r="AJ105" s="154" t="str">
        <f t="shared" ref="AJ105:AL105" si="146">A20</f>
        <v>Road</v>
      </c>
      <c r="AK105" s="154" t="str">
        <f t="shared" si="146"/>
        <v>Neo bulk</v>
      </c>
      <c r="AL105" s="154" t="str">
        <f t="shared" si="146"/>
        <v>Battery</v>
      </c>
      <c r="AM105" s="164">
        <f t="shared" si="134"/>
        <v>1</v>
      </c>
    </row>
    <row r="106" spans="33:39" x14ac:dyDescent="0.25">
      <c r="AG106" s="154" t="s">
        <v>103</v>
      </c>
      <c r="AH106" s="154" t="s">
        <v>420</v>
      </c>
      <c r="AI106" s="154">
        <v>2050</v>
      </c>
      <c r="AJ106" s="154" t="str">
        <f>A21</f>
        <v>Road</v>
      </c>
      <c r="AK106" s="154" t="str">
        <f>B21</f>
        <v>Neo bulk</v>
      </c>
      <c r="AL106" s="154" t="str">
        <f>C21</f>
        <v>Hydrogen</v>
      </c>
      <c r="AM106" s="164">
        <f>AB21</f>
        <v>1</v>
      </c>
    </row>
    <row r="107" spans="33:39" x14ac:dyDescent="0.25">
      <c r="AG107" s="154" t="s">
        <v>423</v>
      </c>
      <c r="AH107" s="154" t="s">
        <v>421</v>
      </c>
      <c r="AI107" s="154">
        <v>2050</v>
      </c>
      <c r="AJ107" s="154" t="str">
        <f>A7</f>
        <v>Road</v>
      </c>
      <c r="AK107" s="154" t="str">
        <f>B7</f>
        <v>Dry bulk</v>
      </c>
      <c r="AL107" s="154" t="str">
        <f>C7</f>
        <v>Diesel</v>
      </c>
      <c r="AM107" s="164">
        <f>AC7</f>
        <v>1.0176655009547446</v>
      </c>
    </row>
    <row r="108" spans="33:39" x14ac:dyDescent="0.25">
      <c r="AG108" s="154" t="s">
        <v>87</v>
      </c>
      <c r="AH108" s="154" t="s">
        <v>421</v>
      </c>
      <c r="AI108" s="154">
        <v>2050</v>
      </c>
      <c r="AJ108" s="154" t="str">
        <f t="shared" ref="AJ108:AL108" si="147">A8</f>
        <v>Road</v>
      </c>
      <c r="AK108" s="154" t="str">
        <f t="shared" si="147"/>
        <v>Dry bulk</v>
      </c>
      <c r="AL108" s="154" t="str">
        <f t="shared" si="147"/>
        <v>Battery</v>
      </c>
      <c r="AM108" s="164">
        <f t="shared" ref="AM108:AM121" si="148">AC8</f>
        <v>1</v>
      </c>
    </row>
    <row r="109" spans="33:39" x14ac:dyDescent="0.25">
      <c r="AG109" s="154" t="s">
        <v>103</v>
      </c>
      <c r="AH109" s="154" t="s">
        <v>421</v>
      </c>
      <c r="AI109" s="154">
        <v>2050</v>
      </c>
      <c r="AJ109" s="154" t="str">
        <f t="shared" ref="AJ109:AL109" si="149">A9</f>
        <v>Road</v>
      </c>
      <c r="AK109" s="154" t="str">
        <f t="shared" si="149"/>
        <v>Dry bulk</v>
      </c>
      <c r="AL109" s="154" t="str">
        <f t="shared" si="149"/>
        <v>Hydrogen</v>
      </c>
      <c r="AM109" s="164">
        <f t="shared" si="148"/>
        <v>0.9886675353383011</v>
      </c>
    </row>
    <row r="110" spans="33:39" x14ac:dyDescent="0.25">
      <c r="AG110" s="154" t="s">
        <v>423</v>
      </c>
      <c r="AH110" s="154" t="s">
        <v>421</v>
      </c>
      <c r="AI110" s="154">
        <v>2050</v>
      </c>
      <c r="AJ110" s="154" t="str">
        <f t="shared" ref="AJ110:AL110" si="150">A10</f>
        <v>Road</v>
      </c>
      <c r="AK110" s="154" t="str">
        <f t="shared" si="150"/>
        <v>Liquid bulk</v>
      </c>
      <c r="AL110" s="154" t="str">
        <f t="shared" si="150"/>
        <v>Diesel</v>
      </c>
      <c r="AM110" s="164">
        <f t="shared" si="148"/>
        <v>1.0317094812355776</v>
      </c>
    </row>
    <row r="111" spans="33:39" x14ac:dyDescent="0.25">
      <c r="AG111" s="154" t="s">
        <v>87</v>
      </c>
      <c r="AH111" s="154" t="s">
        <v>421</v>
      </c>
      <c r="AI111" s="154">
        <v>2050</v>
      </c>
      <c r="AJ111" s="154" t="str">
        <f t="shared" ref="AJ111:AL111" si="151">A11</f>
        <v>Road</v>
      </c>
      <c r="AK111" s="154" t="str">
        <f t="shared" si="151"/>
        <v>Liquid bulk</v>
      </c>
      <c r="AL111" s="154" t="str">
        <f t="shared" si="151"/>
        <v>Battery</v>
      </c>
      <c r="AM111" s="164">
        <f t="shared" si="148"/>
        <v>0.98979227923177993</v>
      </c>
    </row>
    <row r="112" spans="33:39" x14ac:dyDescent="0.25">
      <c r="AG112" s="154" t="s">
        <v>103</v>
      </c>
      <c r="AH112" s="154" t="s">
        <v>421</v>
      </c>
      <c r="AI112" s="154">
        <v>2050</v>
      </c>
      <c r="AJ112" s="154" t="str">
        <f t="shared" ref="AJ112:AL112" si="152">A12</f>
        <v>Road</v>
      </c>
      <c r="AK112" s="154" t="str">
        <f t="shared" si="152"/>
        <v>Liquid bulk</v>
      </c>
      <c r="AL112" s="154" t="str">
        <f t="shared" si="152"/>
        <v>Hydrogen</v>
      </c>
      <c r="AM112" s="164">
        <f t="shared" si="148"/>
        <v>0.98021265974116756</v>
      </c>
    </row>
    <row r="113" spans="33:39" x14ac:dyDescent="0.25">
      <c r="AG113" s="154" t="s">
        <v>423</v>
      </c>
      <c r="AH113" s="154" t="s">
        <v>421</v>
      </c>
      <c r="AI113" s="154">
        <v>2050</v>
      </c>
      <c r="AJ113" s="154" t="str">
        <f t="shared" ref="AJ113:AL113" si="153">A13</f>
        <v>Road</v>
      </c>
      <c r="AK113" s="154" t="str">
        <f t="shared" si="153"/>
        <v>Container</v>
      </c>
      <c r="AL113" s="154" t="str">
        <f t="shared" si="153"/>
        <v>Diesel</v>
      </c>
      <c r="AM113" s="164">
        <f t="shared" si="148"/>
        <v>1.0313695285659814</v>
      </c>
    </row>
    <row r="114" spans="33:39" x14ac:dyDescent="0.25">
      <c r="AG114" s="154" t="s">
        <v>87</v>
      </c>
      <c r="AH114" s="154" t="s">
        <v>421</v>
      </c>
      <c r="AI114" s="154">
        <v>2050</v>
      </c>
      <c r="AJ114" s="154" t="str">
        <f t="shared" ref="AJ114:AL114" si="154">A14</f>
        <v>Road</v>
      </c>
      <c r="AK114" s="154" t="str">
        <f t="shared" si="154"/>
        <v>Container</v>
      </c>
      <c r="AL114" s="154" t="str">
        <f t="shared" si="154"/>
        <v>Battery</v>
      </c>
      <c r="AM114" s="164">
        <f t="shared" si="148"/>
        <v>0.98989053383858672</v>
      </c>
    </row>
    <row r="115" spans="33:39" x14ac:dyDescent="0.25">
      <c r="AG115" s="154" t="s">
        <v>103</v>
      </c>
      <c r="AH115" s="154" t="s">
        <v>421</v>
      </c>
      <c r="AI115" s="154">
        <v>2050</v>
      </c>
      <c r="AJ115" s="154" t="str">
        <f t="shared" ref="AJ115:AL115" si="155">A15</f>
        <v>Road</v>
      </c>
      <c r="AK115" s="154" t="str">
        <f t="shared" si="155"/>
        <v>Container</v>
      </c>
      <c r="AL115" s="154" t="str">
        <f t="shared" si="155"/>
        <v>Hydrogen</v>
      </c>
      <c r="AM115" s="164">
        <f t="shared" si="148"/>
        <v>0.98041411229009656</v>
      </c>
    </row>
    <row r="116" spans="33:39" x14ac:dyDescent="0.25">
      <c r="AG116" s="154" t="s">
        <v>423</v>
      </c>
      <c r="AH116" s="154" t="s">
        <v>421</v>
      </c>
      <c r="AI116" s="154">
        <v>2050</v>
      </c>
      <c r="AJ116" s="154" t="str">
        <f t="shared" ref="AJ116:AL116" si="156">A16</f>
        <v>Road</v>
      </c>
      <c r="AK116" s="154" t="str">
        <f t="shared" si="156"/>
        <v>Break bulk</v>
      </c>
      <c r="AL116" s="154" t="str">
        <f t="shared" si="156"/>
        <v>Diesel</v>
      </c>
      <c r="AM116" s="164">
        <f t="shared" si="148"/>
        <v>1.0241192842561451</v>
      </c>
    </row>
    <row r="117" spans="33:39" x14ac:dyDescent="0.25">
      <c r="AG117" s="154" t="s">
        <v>87</v>
      </c>
      <c r="AH117" s="154" t="s">
        <v>421</v>
      </c>
      <c r="AI117" s="154">
        <v>2050</v>
      </c>
      <c r="AJ117" s="154" t="str">
        <f t="shared" ref="AJ117:AL117" si="157">A17</f>
        <v>Road</v>
      </c>
      <c r="AK117" s="154" t="str">
        <f t="shared" si="157"/>
        <v>Break bulk</v>
      </c>
      <c r="AL117" s="154" t="str">
        <f t="shared" si="157"/>
        <v>Battery</v>
      </c>
      <c r="AM117" s="164">
        <f t="shared" si="148"/>
        <v>0.99223994415697814</v>
      </c>
    </row>
    <row r="118" spans="33:39" x14ac:dyDescent="0.25">
      <c r="AG118" s="154" t="s">
        <v>103</v>
      </c>
      <c r="AH118" s="154" t="s">
        <v>421</v>
      </c>
      <c r="AI118" s="154">
        <v>2050</v>
      </c>
      <c r="AJ118" s="154" t="str">
        <f t="shared" ref="AJ118:AL118" si="158">A18</f>
        <v>Road</v>
      </c>
      <c r="AK118" s="154" t="str">
        <f t="shared" si="158"/>
        <v>Break bulk</v>
      </c>
      <c r="AL118" s="154" t="str">
        <f t="shared" si="158"/>
        <v>Hydrogen</v>
      </c>
      <c r="AM118" s="164">
        <f t="shared" si="148"/>
        <v>0.98472487085161342</v>
      </c>
    </row>
    <row r="119" spans="33:39" x14ac:dyDescent="0.25">
      <c r="AG119" s="154" t="s">
        <v>423</v>
      </c>
      <c r="AH119" s="154" t="s">
        <v>421</v>
      </c>
      <c r="AI119" s="154">
        <v>2050</v>
      </c>
      <c r="AJ119" s="154" t="str">
        <f t="shared" ref="AJ119:AL119" si="159">A19</f>
        <v>Road</v>
      </c>
      <c r="AK119" s="154" t="str">
        <f t="shared" si="159"/>
        <v>Neo bulk</v>
      </c>
      <c r="AL119" s="154" t="str">
        <f t="shared" si="159"/>
        <v>Diesel</v>
      </c>
      <c r="AM119" s="164">
        <f t="shared" si="148"/>
        <v>1.0274318827006046</v>
      </c>
    </row>
    <row r="120" spans="33:39" x14ac:dyDescent="0.25">
      <c r="AG120" s="154" t="s">
        <v>87</v>
      </c>
      <c r="AH120" s="154" t="s">
        <v>421</v>
      </c>
      <c r="AI120" s="154">
        <v>2050</v>
      </c>
      <c r="AJ120" s="154" t="str">
        <f t="shared" ref="AJ120:AL120" si="160">A20</f>
        <v>Road</v>
      </c>
      <c r="AK120" s="154" t="str">
        <f t="shared" si="160"/>
        <v>Neo bulk</v>
      </c>
      <c r="AL120" s="154" t="str">
        <f t="shared" si="160"/>
        <v>Battery</v>
      </c>
      <c r="AM120" s="164">
        <f t="shared" si="148"/>
        <v>0.99116744940085943</v>
      </c>
    </row>
    <row r="121" spans="33:39" x14ac:dyDescent="0.25">
      <c r="AG121" s="154" t="s">
        <v>103</v>
      </c>
      <c r="AH121" s="154" t="s">
        <v>421</v>
      </c>
      <c r="AI121" s="154">
        <v>2050</v>
      </c>
      <c r="AJ121" s="154" t="str">
        <f t="shared" ref="AJ121:AL121" si="161">A21</f>
        <v>Road</v>
      </c>
      <c r="AK121" s="154" t="str">
        <f t="shared" si="161"/>
        <v>Neo bulk</v>
      </c>
      <c r="AL121" s="154" t="str">
        <f t="shared" si="161"/>
        <v>Hydrogen</v>
      </c>
      <c r="AM121" s="164">
        <f t="shared" si="148"/>
        <v>0.98274038277518494</v>
      </c>
    </row>
    <row r="122" spans="33:39" x14ac:dyDescent="0.25">
      <c r="AG122" s="154" t="s">
        <v>423</v>
      </c>
      <c r="AH122" s="154" t="s">
        <v>422</v>
      </c>
      <c r="AI122" s="154">
        <v>2050</v>
      </c>
      <c r="AJ122" s="154" t="str">
        <f>A7</f>
        <v>Road</v>
      </c>
      <c r="AK122" s="154" t="str">
        <f>B7</f>
        <v>Dry bulk</v>
      </c>
      <c r="AL122" s="154" t="str">
        <f>C7</f>
        <v>Diesel</v>
      </c>
      <c r="AM122" s="164">
        <f>AD7</f>
        <v>0.97311771593843233</v>
      </c>
    </row>
    <row r="123" spans="33:39" x14ac:dyDescent="0.25">
      <c r="AG123" s="154" t="s">
        <v>87</v>
      </c>
      <c r="AH123" s="154" t="s">
        <v>422</v>
      </c>
      <c r="AI123" s="154">
        <v>2050</v>
      </c>
      <c r="AJ123" s="154" t="str">
        <f t="shared" ref="AJ123:AL123" si="162">A8</f>
        <v>Road</v>
      </c>
      <c r="AK123" s="154" t="str">
        <f t="shared" si="162"/>
        <v>Dry bulk</v>
      </c>
      <c r="AL123" s="154" t="str">
        <f t="shared" si="162"/>
        <v>Battery</v>
      </c>
      <c r="AM123" s="164">
        <f t="shared" ref="AM123:AM136" si="163">AD8</f>
        <v>1</v>
      </c>
    </row>
    <row r="124" spans="33:39" x14ac:dyDescent="0.25">
      <c r="AG124" s="154" t="s">
        <v>103</v>
      </c>
      <c r="AH124" s="154" t="s">
        <v>422</v>
      </c>
      <c r="AI124" s="154">
        <v>2050</v>
      </c>
      <c r="AJ124" s="154" t="str">
        <f t="shared" ref="AJ124:AL124" si="164">A9</f>
        <v>Road</v>
      </c>
      <c r="AK124" s="154" t="str">
        <f t="shared" si="164"/>
        <v>Dry bulk</v>
      </c>
      <c r="AL124" s="154" t="str">
        <f t="shared" si="164"/>
        <v>Hydrogen</v>
      </c>
      <c r="AM124" s="164">
        <f t="shared" si="163"/>
        <v>1.0106241856203428</v>
      </c>
    </row>
    <row r="125" spans="33:39" x14ac:dyDescent="0.25">
      <c r="AG125" s="154" t="s">
        <v>423</v>
      </c>
      <c r="AH125" s="154" t="s">
        <v>422</v>
      </c>
      <c r="AI125" s="154">
        <v>2050</v>
      </c>
      <c r="AJ125" s="154" t="str">
        <f t="shared" ref="AJ125:AL125" si="165">A10</f>
        <v>Road</v>
      </c>
      <c r="AK125" s="154" t="str">
        <f t="shared" si="165"/>
        <v>Liquid bulk</v>
      </c>
      <c r="AL125" s="154" t="str">
        <f t="shared" si="165"/>
        <v>Diesel</v>
      </c>
      <c r="AM125" s="164">
        <f t="shared" si="163"/>
        <v>0.95174644159803445</v>
      </c>
    </row>
    <row r="126" spans="33:39" x14ac:dyDescent="0.25">
      <c r="AG126" s="154" t="s">
        <v>87</v>
      </c>
      <c r="AH126" s="154" t="s">
        <v>422</v>
      </c>
      <c r="AI126" s="154">
        <v>2050</v>
      </c>
      <c r="AJ126" s="154" t="str">
        <f t="shared" ref="AJ126:AL126" si="166">A11</f>
        <v>Road</v>
      </c>
      <c r="AK126" s="154" t="str">
        <f t="shared" si="166"/>
        <v>Liquid bulk</v>
      </c>
      <c r="AL126" s="154" t="str">
        <f t="shared" si="166"/>
        <v>Battery</v>
      </c>
      <c r="AM126" s="164">
        <f t="shared" si="163"/>
        <v>1.0095697382202065</v>
      </c>
    </row>
    <row r="127" spans="33:39" x14ac:dyDescent="0.25">
      <c r="AG127" s="154" t="s">
        <v>103</v>
      </c>
      <c r="AH127" s="154" t="s">
        <v>422</v>
      </c>
      <c r="AI127" s="154">
        <v>2050</v>
      </c>
      <c r="AJ127" s="154" t="str">
        <f t="shared" ref="AJ127:AL127" si="167">A12</f>
        <v>Road</v>
      </c>
      <c r="AK127" s="154" t="str">
        <f t="shared" si="167"/>
        <v>Liquid bulk</v>
      </c>
      <c r="AL127" s="154" t="str">
        <f t="shared" si="167"/>
        <v>Hydrogen</v>
      </c>
      <c r="AM127" s="164">
        <f t="shared" si="163"/>
        <v>1.0185506314926556</v>
      </c>
    </row>
    <row r="128" spans="33:39" x14ac:dyDescent="0.25">
      <c r="AG128" s="154" t="s">
        <v>423</v>
      </c>
      <c r="AH128" s="154" t="s">
        <v>422</v>
      </c>
      <c r="AI128" s="154">
        <v>2050</v>
      </c>
      <c r="AJ128" s="154" t="str">
        <f t="shared" ref="AJ128:AL128" si="168">A13</f>
        <v>Road</v>
      </c>
      <c r="AK128" s="154" t="str">
        <f t="shared" si="168"/>
        <v>Container</v>
      </c>
      <c r="AL128" s="154" t="str">
        <f t="shared" si="168"/>
        <v>Diesel</v>
      </c>
      <c r="AM128" s="164">
        <f t="shared" si="163"/>
        <v>0.95226376087785436</v>
      </c>
    </row>
    <row r="129" spans="33:39" x14ac:dyDescent="0.25">
      <c r="AG129" s="154" t="s">
        <v>87</v>
      </c>
      <c r="AH129" s="154" t="s">
        <v>422</v>
      </c>
      <c r="AI129" s="154">
        <v>2050</v>
      </c>
      <c r="AJ129" s="154" t="str">
        <f t="shared" ref="AJ129:AL129" si="169">A14</f>
        <v>Road</v>
      </c>
      <c r="AK129" s="154" t="str">
        <f t="shared" si="169"/>
        <v>Container</v>
      </c>
      <c r="AL129" s="154" t="str">
        <f t="shared" si="169"/>
        <v>Battery</v>
      </c>
      <c r="AM129" s="164">
        <f t="shared" si="163"/>
        <v>1.0094776245263251</v>
      </c>
    </row>
    <row r="130" spans="33:39" x14ac:dyDescent="0.25">
      <c r="AG130" s="154" t="s">
        <v>103</v>
      </c>
      <c r="AH130" s="154" t="s">
        <v>422</v>
      </c>
      <c r="AI130" s="154">
        <v>2050</v>
      </c>
      <c r="AJ130" s="154" t="str">
        <f t="shared" ref="AJ130:AL130" si="170">A15</f>
        <v>Road</v>
      </c>
      <c r="AK130" s="154" t="str">
        <f t="shared" si="170"/>
        <v>Container</v>
      </c>
      <c r="AL130" s="154" t="str">
        <f t="shared" si="170"/>
        <v>Hydrogen</v>
      </c>
      <c r="AM130" s="164">
        <f t="shared" si="163"/>
        <v>1.0183617697280345</v>
      </c>
    </row>
    <row r="131" spans="33:39" x14ac:dyDescent="0.25">
      <c r="AG131" s="154" t="s">
        <v>423</v>
      </c>
      <c r="AH131" s="154" t="s">
        <v>422</v>
      </c>
      <c r="AI131" s="154">
        <v>2050</v>
      </c>
      <c r="AJ131" s="154" t="str">
        <f t="shared" ref="AJ131:AL131" si="171">A16</f>
        <v>Road</v>
      </c>
      <c r="AK131" s="154" t="str">
        <f t="shared" si="171"/>
        <v>Break bulk</v>
      </c>
      <c r="AL131" s="154" t="str">
        <f t="shared" si="171"/>
        <v>Diesel</v>
      </c>
      <c r="AM131" s="164">
        <f t="shared" si="163"/>
        <v>0.9632967413493444</v>
      </c>
    </row>
    <row r="132" spans="33:39" x14ac:dyDescent="0.25">
      <c r="AG132" s="154" t="s">
        <v>87</v>
      </c>
      <c r="AH132" s="154" t="s">
        <v>422</v>
      </c>
      <c r="AI132" s="154">
        <v>2050</v>
      </c>
      <c r="AJ132" s="154" t="str">
        <f t="shared" ref="AJ132:AL132" si="172">A17</f>
        <v>Road</v>
      </c>
      <c r="AK132" s="154" t="str">
        <f t="shared" si="172"/>
        <v>Break bulk</v>
      </c>
      <c r="AL132" s="154" t="str">
        <f t="shared" si="172"/>
        <v>Battery</v>
      </c>
      <c r="AM132" s="164">
        <f t="shared" si="163"/>
        <v>1.0072750523528331</v>
      </c>
    </row>
    <row r="133" spans="33:39" x14ac:dyDescent="0.25">
      <c r="AG133" s="154" t="s">
        <v>103</v>
      </c>
      <c r="AH133" s="154" t="s">
        <v>422</v>
      </c>
      <c r="AI133" s="154">
        <v>2050</v>
      </c>
      <c r="AJ133" s="154" t="str">
        <f t="shared" ref="AJ133:AL133" si="173">A18</f>
        <v>Road</v>
      </c>
      <c r="AK133" s="154" t="str">
        <f t="shared" si="173"/>
        <v>Break bulk</v>
      </c>
      <c r="AL133" s="154" t="str">
        <f t="shared" si="173"/>
        <v>Hydrogen</v>
      </c>
      <c r="AM133" s="164">
        <f t="shared" si="163"/>
        <v>1.0143204335766123</v>
      </c>
    </row>
    <row r="134" spans="33:39" x14ac:dyDescent="0.25">
      <c r="AG134" s="154" t="s">
        <v>423</v>
      </c>
      <c r="AH134" s="154" t="s">
        <v>422</v>
      </c>
      <c r="AI134" s="154">
        <v>2050</v>
      </c>
      <c r="AJ134" s="154" t="str">
        <f t="shared" ref="AJ134:AL134" si="174">A19</f>
        <v>Road</v>
      </c>
      <c r="AK134" s="154" t="str">
        <f t="shared" si="174"/>
        <v>Neo bulk</v>
      </c>
      <c r="AL134" s="154" t="str">
        <f t="shared" si="174"/>
        <v>Diesel</v>
      </c>
      <c r="AM134" s="164">
        <f t="shared" si="163"/>
        <v>0.95825583067299314</v>
      </c>
    </row>
    <row r="135" spans="33:39" x14ac:dyDescent="0.25">
      <c r="AG135" s="154" t="s">
        <v>87</v>
      </c>
      <c r="AH135" s="154" t="s">
        <v>422</v>
      </c>
      <c r="AI135" s="154">
        <v>2050</v>
      </c>
      <c r="AJ135" s="154" t="str">
        <f t="shared" ref="AJ135:AL135" si="175">A20</f>
        <v>Road</v>
      </c>
      <c r="AK135" s="154" t="str">
        <f t="shared" si="175"/>
        <v>Neo bulk</v>
      </c>
      <c r="AL135" s="154" t="str">
        <f t="shared" si="175"/>
        <v>Battery</v>
      </c>
      <c r="AM135" s="164">
        <f t="shared" si="163"/>
        <v>1.0082805161866941</v>
      </c>
    </row>
    <row r="136" spans="33:39" x14ac:dyDescent="0.25">
      <c r="AG136" s="154" t="s">
        <v>103</v>
      </c>
      <c r="AH136" s="154" t="s">
        <v>422</v>
      </c>
      <c r="AI136" s="154">
        <v>2050</v>
      </c>
      <c r="AJ136" s="154" t="str">
        <f t="shared" ref="AJ136:AL136" si="176">A21</f>
        <v>Road</v>
      </c>
      <c r="AK136" s="154" t="str">
        <f t="shared" si="176"/>
        <v>Neo bulk</v>
      </c>
      <c r="AL136" s="154" t="str">
        <f t="shared" si="176"/>
        <v>Hydrogen</v>
      </c>
      <c r="AM136" s="164">
        <f t="shared" si="163"/>
        <v>1.0161808911482648</v>
      </c>
    </row>
    <row r="137" spans="33:39" x14ac:dyDescent="0.25">
      <c r="AG137" s="154" t="s">
        <v>423</v>
      </c>
      <c r="AH137" s="154" t="s">
        <v>420</v>
      </c>
      <c r="AI137" s="154">
        <v>2023</v>
      </c>
      <c r="AJ137" s="154" t="str">
        <f>A25</f>
        <v>Rail</v>
      </c>
      <c r="AK137" s="154" t="str">
        <f>B25</f>
        <v>Dry bulk</v>
      </c>
      <c r="AL137" s="154" t="str">
        <f>C25</f>
        <v>Diesel</v>
      </c>
      <c r="AM137" s="164">
        <f>I25</f>
        <v>1</v>
      </c>
    </row>
    <row r="138" spans="33:39" x14ac:dyDescent="0.25">
      <c r="AG138" s="154" t="s">
        <v>423</v>
      </c>
      <c r="AH138" s="154" t="s">
        <v>420</v>
      </c>
      <c r="AI138" s="154">
        <v>2023</v>
      </c>
      <c r="AJ138" s="154" t="str">
        <f t="shared" ref="AJ138:AL138" si="177">A26</f>
        <v>Rail</v>
      </c>
      <c r="AK138" s="154" t="str">
        <f t="shared" si="177"/>
        <v>Dry bulk</v>
      </c>
      <c r="AL138" s="154" t="str">
        <f t="shared" si="177"/>
        <v>Catenary</v>
      </c>
      <c r="AM138" s="164">
        <f t="shared" ref="AM138:AM156" si="178">I26</f>
        <v>1</v>
      </c>
    </row>
    <row r="139" spans="33:39" x14ac:dyDescent="0.25">
      <c r="AG139" s="154" t="s">
        <v>87</v>
      </c>
      <c r="AH139" s="154" t="s">
        <v>420</v>
      </c>
      <c r="AI139" s="154">
        <v>2023</v>
      </c>
      <c r="AJ139" s="154" t="str">
        <f t="shared" ref="AJ139:AL139" si="179">A27</f>
        <v>Rail</v>
      </c>
      <c r="AK139" s="154" t="str">
        <f t="shared" si="179"/>
        <v>Dry bulk</v>
      </c>
      <c r="AL139" s="154" t="str">
        <f t="shared" si="179"/>
        <v>Battery</v>
      </c>
      <c r="AM139" s="164">
        <f t="shared" si="178"/>
        <v>1</v>
      </c>
    </row>
    <row r="140" spans="33:39" x14ac:dyDescent="0.25">
      <c r="AG140" s="154" t="s">
        <v>103</v>
      </c>
      <c r="AH140" s="154" t="s">
        <v>420</v>
      </c>
      <c r="AI140" s="154">
        <v>2023</v>
      </c>
      <c r="AJ140" s="154" t="str">
        <f t="shared" ref="AJ140:AL140" si="180">A28</f>
        <v>Rail</v>
      </c>
      <c r="AK140" s="154" t="str">
        <f t="shared" si="180"/>
        <v>Dry bulk</v>
      </c>
      <c r="AL140" s="154" t="str">
        <f t="shared" si="180"/>
        <v>Hydrogen</v>
      </c>
      <c r="AM140" s="164">
        <f t="shared" si="178"/>
        <v>1</v>
      </c>
    </row>
    <row r="141" spans="33:39" x14ac:dyDescent="0.25">
      <c r="AG141" s="154" t="s">
        <v>423</v>
      </c>
      <c r="AH141" s="154" t="s">
        <v>420</v>
      </c>
      <c r="AI141" s="154">
        <v>2023</v>
      </c>
      <c r="AJ141" s="154" t="str">
        <f t="shared" ref="AJ141:AL141" si="181">A29</f>
        <v>Rail</v>
      </c>
      <c r="AK141" s="154" t="str">
        <f t="shared" si="181"/>
        <v>Liquid bulk</v>
      </c>
      <c r="AL141" s="154" t="str">
        <f t="shared" si="181"/>
        <v>Diesel</v>
      </c>
      <c r="AM141" s="164">
        <f t="shared" si="178"/>
        <v>1</v>
      </c>
    </row>
    <row r="142" spans="33:39" x14ac:dyDescent="0.25">
      <c r="AG142" s="154" t="s">
        <v>423</v>
      </c>
      <c r="AH142" s="154" t="s">
        <v>420</v>
      </c>
      <c r="AI142" s="154">
        <v>2023</v>
      </c>
      <c r="AJ142" s="154" t="str">
        <f t="shared" ref="AJ142:AL142" si="182">A30</f>
        <v>Rail</v>
      </c>
      <c r="AK142" s="154" t="str">
        <f t="shared" si="182"/>
        <v>Liquid bulk</v>
      </c>
      <c r="AL142" s="154" t="str">
        <f t="shared" si="182"/>
        <v>Catenary</v>
      </c>
      <c r="AM142" s="164">
        <f t="shared" si="178"/>
        <v>1</v>
      </c>
    </row>
    <row r="143" spans="33:39" x14ac:dyDescent="0.25">
      <c r="AG143" s="154" t="s">
        <v>87</v>
      </c>
      <c r="AH143" s="154" t="s">
        <v>420</v>
      </c>
      <c r="AI143" s="154">
        <v>2023</v>
      </c>
      <c r="AJ143" s="154" t="str">
        <f t="shared" ref="AJ143:AL143" si="183">A31</f>
        <v>Rail</v>
      </c>
      <c r="AK143" s="154" t="str">
        <f t="shared" si="183"/>
        <v>Liquid bulk</v>
      </c>
      <c r="AL143" s="154" t="str">
        <f t="shared" si="183"/>
        <v>Battery</v>
      </c>
      <c r="AM143" s="164">
        <f t="shared" si="178"/>
        <v>1</v>
      </c>
    </row>
    <row r="144" spans="33:39" x14ac:dyDescent="0.25">
      <c r="AG144" s="154" t="s">
        <v>103</v>
      </c>
      <c r="AH144" s="154" t="s">
        <v>420</v>
      </c>
      <c r="AI144" s="154">
        <v>2023</v>
      </c>
      <c r="AJ144" s="154" t="str">
        <f t="shared" ref="AJ144:AL144" si="184">A32</f>
        <v>Rail</v>
      </c>
      <c r="AK144" s="154" t="str">
        <f t="shared" si="184"/>
        <v>Liquid bulk</v>
      </c>
      <c r="AL144" s="154" t="str">
        <f t="shared" si="184"/>
        <v>Hydrogen</v>
      </c>
      <c r="AM144" s="164">
        <f t="shared" si="178"/>
        <v>1</v>
      </c>
    </row>
    <row r="145" spans="33:39" x14ac:dyDescent="0.25">
      <c r="AG145" s="154" t="s">
        <v>423</v>
      </c>
      <c r="AH145" s="154" t="s">
        <v>420</v>
      </c>
      <c r="AI145" s="154">
        <v>2023</v>
      </c>
      <c r="AJ145" s="154" t="str">
        <f t="shared" ref="AJ145:AL145" si="185">A33</f>
        <v>Rail</v>
      </c>
      <c r="AK145" s="154" t="str">
        <f t="shared" si="185"/>
        <v>Container</v>
      </c>
      <c r="AL145" s="154" t="str">
        <f t="shared" si="185"/>
        <v>Diesel</v>
      </c>
      <c r="AM145" s="164">
        <f t="shared" si="178"/>
        <v>1</v>
      </c>
    </row>
    <row r="146" spans="33:39" x14ac:dyDescent="0.25">
      <c r="AG146" s="154" t="s">
        <v>423</v>
      </c>
      <c r="AH146" s="154" t="s">
        <v>420</v>
      </c>
      <c r="AI146" s="154">
        <v>2023</v>
      </c>
      <c r="AJ146" s="154" t="str">
        <f t="shared" ref="AJ146:AL146" si="186">A34</f>
        <v>Rail</v>
      </c>
      <c r="AK146" s="154" t="str">
        <f t="shared" si="186"/>
        <v>Container</v>
      </c>
      <c r="AL146" s="154" t="str">
        <f t="shared" si="186"/>
        <v>Catenary</v>
      </c>
      <c r="AM146" s="164">
        <f t="shared" si="178"/>
        <v>1</v>
      </c>
    </row>
    <row r="147" spans="33:39" x14ac:dyDescent="0.25">
      <c r="AG147" s="154" t="s">
        <v>87</v>
      </c>
      <c r="AH147" s="154" t="s">
        <v>420</v>
      </c>
      <c r="AI147" s="154">
        <v>2023</v>
      </c>
      <c r="AJ147" s="154" t="str">
        <f t="shared" ref="AJ147:AL147" si="187">A35</f>
        <v>Rail</v>
      </c>
      <c r="AK147" s="154" t="str">
        <f t="shared" si="187"/>
        <v>Container</v>
      </c>
      <c r="AL147" s="154" t="str">
        <f t="shared" si="187"/>
        <v>Battery</v>
      </c>
      <c r="AM147" s="164">
        <f t="shared" si="178"/>
        <v>1</v>
      </c>
    </row>
    <row r="148" spans="33:39" x14ac:dyDescent="0.25">
      <c r="AG148" s="154" t="s">
        <v>103</v>
      </c>
      <c r="AH148" s="154" t="s">
        <v>420</v>
      </c>
      <c r="AI148" s="154">
        <v>2023</v>
      </c>
      <c r="AJ148" s="154" t="str">
        <f t="shared" ref="AJ148:AL148" si="188">A36</f>
        <v>Rail</v>
      </c>
      <c r="AK148" s="154" t="str">
        <f t="shared" si="188"/>
        <v>Container</v>
      </c>
      <c r="AL148" s="154" t="str">
        <f t="shared" si="188"/>
        <v>Hydrogen</v>
      </c>
      <c r="AM148" s="164">
        <f t="shared" si="178"/>
        <v>1</v>
      </c>
    </row>
    <row r="149" spans="33:39" x14ac:dyDescent="0.25">
      <c r="AG149" s="154" t="s">
        <v>423</v>
      </c>
      <c r="AH149" s="154" t="s">
        <v>420</v>
      </c>
      <c r="AI149" s="154">
        <v>2023</v>
      </c>
      <c r="AJ149" s="154" t="str">
        <f t="shared" ref="AJ149:AL149" si="189">A37</f>
        <v>Rail</v>
      </c>
      <c r="AK149" s="154" t="str">
        <f t="shared" si="189"/>
        <v>Break bulk</v>
      </c>
      <c r="AL149" s="154" t="str">
        <f t="shared" si="189"/>
        <v>Diesel</v>
      </c>
      <c r="AM149" s="164">
        <f t="shared" si="178"/>
        <v>1</v>
      </c>
    </row>
    <row r="150" spans="33:39" x14ac:dyDescent="0.25">
      <c r="AG150" s="154" t="s">
        <v>423</v>
      </c>
      <c r="AH150" s="154" t="s">
        <v>420</v>
      </c>
      <c r="AI150" s="154">
        <v>2023</v>
      </c>
      <c r="AJ150" s="154" t="str">
        <f t="shared" ref="AJ150:AL150" si="190">A38</f>
        <v>Rail</v>
      </c>
      <c r="AK150" s="154" t="str">
        <f t="shared" si="190"/>
        <v>Break bulk</v>
      </c>
      <c r="AL150" s="154" t="str">
        <f t="shared" si="190"/>
        <v>Catenary</v>
      </c>
      <c r="AM150" s="164">
        <f t="shared" si="178"/>
        <v>1</v>
      </c>
    </row>
    <row r="151" spans="33:39" x14ac:dyDescent="0.25">
      <c r="AG151" s="154" t="s">
        <v>87</v>
      </c>
      <c r="AH151" s="154" t="s">
        <v>420</v>
      </c>
      <c r="AI151" s="154">
        <v>2023</v>
      </c>
      <c r="AJ151" s="154" t="str">
        <f t="shared" ref="AJ151:AL151" si="191">A39</f>
        <v>Rail</v>
      </c>
      <c r="AK151" s="154" t="str">
        <f t="shared" si="191"/>
        <v>Break bulk</v>
      </c>
      <c r="AL151" s="154" t="str">
        <f t="shared" si="191"/>
        <v>Battery</v>
      </c>
      <c r="AM151" s="164">
        <f t="shared" si="178"/>
        <v>1</v>
      </c>
    </row>
    <row r="152" spans="33:39" x14ac:dyDescent="0.25">
      <c r="AG152" s="154" t="s">
        <v>103</v>
      </c>
      <c r="AH152" s="154" t="s">
        <v>420</v>
      </c>
      <c r="AI152" s="154">
        <v>2023</v>
      </c>
      <c r="AJ152" s="154" t="str">
        <f t="shared" ref="AJ152:AL152" si="192">A40</f>
        <v>Rail</v>
      </c>
      <c r="AK152" s="154" t="str">
        <f t="shared" si="192"/>
        <v>Break bulk</v>
      </c>
      <c r="AL152" s="154" t="str">
        <f t="shared" si="192"/>
        <v>Hydrogen</v>
      </c>
      <c r="AM152" s="164">
        <f t="shared" si="178"/>
        <v>1</v>
      </c>
    </row>
    <row r="153" spans="33:39" x14ac:dyDescent="0.25">
      <c r="AG153" s="154" t="s">
        <v>423</v>
      </c>
      <c r="AH153" s="154" t="s">
        <v>420</v>
      </c>
      <c r="AI153" s="154">
        <v>2023</v>
      </c>
      <c r="AJ153" s="154" t="str">
        <f t="shared" ref="AJ153:AL153" si="193">A41</f>
        <v>Rail</v>
      </c>
      <c r="AK153" s="154" t="str">
        <f t="shared" si="193"/>
        <v>Neo bulk</v>
      </c>
      <c r="AL153" s="154" t="str">
        <f t="shared" si="193"/>
        <v>Diesel</v>
      </c>
      <c r="AM153" s="164">
        <f t="shared" si="178"/>
        <v>1</v>
      </c>
    </row>
    <row r="154" spans="33:39" x14ac:dyDescent="0.25">
      <c r="AG154" s="154" t="s">
        <v>423</v>
      </c>
      <c r="AH154" s="154" t="s">
        <v>420</v>
      </c>
      <c r="AI154" s="154">
        <v>2023</v>
      </c>
      <c r="AJ154" s="154" t="str">
        <f t="shared" ref="AJ154:AL154" si="194">A42</f>
        <v>Rail</v>
      </c>
      <c r="AK154" s="154" t="str">
        <f t="shared" si="194"/>
        <v>Neo bulk</v>
      </c>
      <c r="AL154" s="154" t="str">
        <f t="shared" si="194"/>
        <v>Catenary</v>
      </c>
      <c r="AM154" s="164">
        <f t="shared" si="178"/>
        <v>1</v>
      </c>
    </row>
    <row r="155" spans="33:39" x14ac:dyDescent="0.25">
      <c r="AG155" s="154" t="s">
        <v>87</v>
      </c>
      <c r="AH155" s="154" t="s">
        <v>420</v>
      </c>
      <c r="AI155" s="154">
        <v>2023</v>
      </c>
      <c r="AJ155" s="154" t="str">
        <f t="shared" ref="AJ155:AL155" si="195">A43</f>
        <v>Rail</v>
      </c>
      <c r="AK155" s="154" t="str">
        <f t="shared" si="195"/>
        <v>Neo bulk</v>
      </c>
      <c r="AL155" s="154" t="str">
        <f t="shared" si="195"/>
        <v>Battery</v>
      </c>
      <c r="AM155" s="164">
        <f t="shared" si="178"/>
        <v>1</v>
      </c>
    </row>
    <row r="156" spans="33:39" x14ac:dyDescent="0.25">
      <c r="AG156" s="154" t="s">
        <v>103</v>
      </c>
      <c r="AH156" s="154" t="s">
        <v>420</v>
      </c>
      <c r="AI156" s="154">
        <v>2023</v>
      </c>
      <c r="AJ156" s="154" t="str">
        <f t="shared" ref="AJ156:AL156" si="196">A44</f>
        <v>Rail</v>
      </c>
      <c r="AK156" s="154" t="str">
        <f t="shared" si="196"/>
        <v>Neo bulk</v>
      </c>
      <c r="AL156" s="154" t="str">
        <f t="shared" si="196"/>
        <v>Hydrogen</v>
      </c>
      <c r="AM156" s="164">
        <f t="shared" si="178"/>
        <v>1</v>
      </c>
    </row>
    <row r="157" spans="33:39" x14ac:dyDescent="0.25">
      <c r="AG157" s="154" t="s">
        <v>423</v>
      </c>
      <c r="AH157" s="154" t="s">
        <v>421</v>
      </c>
      <c r="AI157" s="154">
        <v>2023</v>
      </c>
      <c r="AJ157" s="154" t="str">
        <f>A25</f>
        <v>Rail</v>
      </c>
      <c r="AK157" s="154" t="str">
        <f>B25</f>
        <v>Dry bulk</v>
      </c>
      <c r="AL157" s="154" t="str">
        <f>C25</f>
        <v>Diesel</v>
      </c>
      <c r="AM157" s="164">
        <f>J25</f>
        <v>1.0083863930085133</v>
      </c>
    </row>
    <row r="158" spans="33:39" x14ac:dyDescent="0.25">
      <c r="AG158" s="154" t="s">
        <v>423</v>
      </c>
      <c r="AH158" s="154" t="s">
        <v>421</v>
      </c>
      <c r="AI158" s="154">
        <v>2023</v>
      </c>
      <c r="AJ158" s="154" t="str">
        <f t="shared" ref="AJ158:AL158" si="197">A26</f>
        <v>Rail</v>
      </c>
      <c r="AK158" s="154" t="str">
        <f t="shared" si="197"/>
        <v>Dry bulk</v>
      </c>
      <c r="AL158" s="154" t="str">
        <f t="shared" si="197"/>
        <v>Catenary</v>
      </c>
      <c r="AM158" s="164">
        <f t="shared" ref="AM158:AM176" si="198">J26</f>
        <v>0.98959809666762255</v>
      </c>
    </row>
    <row r="159" spans="33:39" x14ac:dyDescent="0.25">
      <c r="AG159" s="154" t="s">
        <v>87</v>
      </c>
      <c r="AH159" s="154" t="s">
        <v>421</v>
      </c>
      <c r="AI159" s="154">
        <v>2023</v>
      </c>
      <c r="AJ159" s="154" t="str">
        <f t="shared" ref="AJ159:AL159" si="199">A27</f>
        <v>Rail</v>
      </c>
      <c r="AK159" s="154" t="str">
        <f t="shared" si="199"/>
        <v>Dry bulk</v>
      </c>
      <c r="AL159" s="154" t="str">
        <f t="shared" si="199"/>
        <v>Battery</v>
      </c>
      <c r="AM159" s="164">
        <f t="shared" si="198"/>
        <v>0.99187203545265257</v>
      </c>
    </row>
    <row r="160" spans="33:39" x14ac:dyDescent="0.25">
      <c r="AG160" s="154" t="s">
        <v>103</v>
      </c>
      <c r="AH160" s="154" t="s">
        <v>421</v>
      </c>
      <c r="AI160" s="154">
        <v>2023</v>
      </c>
      <c r="AJ160" s="154" t="str">
        <f t="shared" ref="AJ160:AL160" si="200">A28</f>
        <v>Rail</v>
      </c>
      <c r="AK160" s="154" t="str">
        <f t="shared" si="200"/>
        <v>Dry bulk</v>
      </c>
      <c r="AL160" s="154" t="str">
        <f t="shared" si="200"/>
        <v>Hydrogen</v>
      </c>
      <c r="AM160" s="164">
        <f t="shared" si="198"/>
        <v>0.98555618553248037</v>
      </c>
    </row>
    <row r="161" spans="33:39" x14ac:dyDescent="0.25">
      <c r="AG161" s="154" t="s">
        <v>423</v>
      </c>
      <c r="AH161" s="154" t="s">
        <v>421</v>
      </c>
      <c r="AI161" s="154">
        <v>2023</v>
      </c>
      <c r="AJ161" s="154" t="str">
        <f t="shared" ref="AJ161:AL161" si="201">A29</f>
        <v>Rail</v>
      </c>
      <c r="AK161" s="154" t="str">
        <f t="shared" si="201"/>
        <v>Liquid bulk</v>
      </c>
      <c r="AL161" s="154" t="str">
        <f t="shared" si="201"/>
        <v>Diesel</v>
      </c>
      <c r="AM161" s="164">
        <f t="shared" si="198"/>
        <v>1.0083237526008513</v>
      </c>
    </row>
    <row r="162" spans="33:39" x14ac:dyDescent="0.25">
      <c r="AG162" s="154" t="s">
        <v>423</v>
      </c>
      <c r="AH162" s="154" t="s">
        <v>421</v>
      </c>
      <c r="AI162" s="154">
        <v>2023</v>
      </c>
      <c r="AJ162" s="154" t="str">
        <f t="shared" ref="AJ162:AL162" si="202">A30</f>
        <v>Rail</v>
      </c>
      <c r="AK162" s="154" t="str">
        <f t="shared" si="202"/>
        <v>Liquid bulk</v>
      </c>
      <c r="AL162" s="154" t="str">
        <f t="shared" si="202"/>
        <v>Catenary</v>
      </c>
      <c r="AM162" s="164">
        <f t="shared" si="198"/>
        <v>0.98969351470431755</v>
      </c>
    </row>
    <row r="163" spans="33:39" x14ac:dyDescent="0.25">
      <c r="AG163" s="154" t="s">
        <v>87</v>
      </c>
      <c r="AH163" s="154" t="s">
        <v>421</v>
      </c>
      <c r="AI163" s="154">
        <v>2023</v>
      </c>
      <c r="AJ163" s="154" t="str">
        <f t="shared" ref="AJ163:AL163" si="203">A31</f>
        <v>Rail</v>
      </c>
      <c r="AK163" s="154" t="str">
        <f t="shared" si="203"/>
        <v>Liquid bulk</v>
      </c>
      <c r="AL163" s="154" t="str">
        <f t="shared" si="203"/>
        <v>Battery</v>
      </c>
      <c r="AM163" s="164">
        <f t="shared" si="198"/>
        <v>0.99192666048633926</v>
      </c>
    </row>
    <row r="164" spans="33:39" x14ac:dyDescent="0.25">
      <c r="AG164" s="154" t="s">
        <v>103</v>
      </c>
      <c r="AH164" s="154" t="s">
        <v>421</v>
      </c>
      <c r="AI164" s="154">
        <v>2023</v>
      </c>
      <c r="AJ164" s="154" t="str">
        <f t="shared" ref="AJ164:AL164" si="204">A32</f>
        <v>Rail</v>
      </c>
      <c r="AK164" s="154" t="str">
        <f t="shared" si="204"/>
        <v>Liquid bulk</v>
      </c>
      <c r="AL164" s="154" t="str">
        <f t="shared" si="204"/>
        <v>Hydrogen</v>
      </c>
      <c r="AM164" s="164">
        <f t="shared" si="198"/>
        <v>0.98563303886617049</v>
      </c>
    </row>
    <row r="165" spans="33:39" x14ac:dyDescent="0.25">
      <c r="AG165" s="154" t="s">
        <v>423</v>
      </c>
      <c r="AH165" s="154" t="s">
        <v>421</v>
      </c>
      <c r="AI165" s="154">
        <v>2023</v>
      </c>
      <c r="AJ165" s="154" t="str">
        <f t="shared" ref="AJ165:AL165" si="205">A33</f>
        <v>Rail</v>
      </c>
      <c r="AK165" s="154" t="str">
        <f t="shared" si="205"/>
        <v>Container</v>
      </c>
      <c r="AL165" s="154" t="str">
        <f t="shared" si="205"/>
        <v>Diesel</v>
      </c>
      <c r="AM165" s="164">
        <f t="shared" si="198"/>
        <v>1.0088121358343387</v>
      </c>
    </row>
    <row r="166" spans="33:39" x14ac:dyDescent="0.25">
      <c r="AG166" s="154" t="s">
        <v>423</v>
      </c>
      <c r="AH166" s="154" t="s">
        <v>421</v>
      </c>
      <c r="AI166" s="154">
        <v>2023</v>
      </c>
      <c r="AJ166" s="154" t="str">
        <f t="shared" ref="AJ166:AL166" si="206">A34</f>
        <v>Rail</v>
      </c>
      <c r="AK166" s="154" t="str">
        <f t="shared" si="206"/>
        <v>Container</v>
      </c>
      <c r="AL166" s="154" t="str">
        <f t="shared" si="206"/>
        <v>Catenary</v>
      </c>
      <c r="AM166" s="164">
        <f t="shared" si="198"/>
        <v>0.9889407792200865</v>
      </c>
    </row>
    <row r="167" spans="33:39" x14ac:dyDescent="0.25">
      <c r="AG167" s="154" t="s">
        <v>87</v>
      </c>
      <c r="AH167" s="154" t="s">
        <v>421</v>
      </c>
      <c r="AI167" s="154">
        <v>2023</v>
      </c>
      <c r="AJ167" s="154" t="str">
        <f t="shared" ref="AJ167:AL167" si="207">A35</f>
        <v>Rail</v>
      </c>
      <c r="AK167" s="154" t="str">
        <f t="shared" si="207"/>
        <v>Container</v>
      </c>
      <c r="AL167" s="154" t="str">
        <f t="shared" si="207"/>
        <v>Battery</v>
      </c>
      <c r="AM167" s="164">
        <f t="shared" si="198"/>
        <v>0.99149985622352643</v>
      </c>
    </row>
    <row r="168" spans="33:39" x14ac:dyDescent="0.25">
      <c r="AG168" s="154" t="s">
        <v>103</v>
      </c>
      <c r="AH168" s="154" t="s">
        <v>421</v>
      </c>
      <c r="AI168" s="154">
        <v>2023</v>
      </c>
      <c r="AJ168" s="154" t="str">
        <f t="shared" ref="AJ168:AL168" si="208">A36</f>
        <v>Rail</v>
      </c>
      <c r="AK168" s="154" t="str">
        <f t="shared" si="208"/>
        <v>Container</v>
      </c>
      <c r="AL168" s="154" t="str">
        <f t="shared" si="208"/>
        <v>Hydrogen</v>
      </c>
      <c r="AM168" s="164">
        <f t="shared" si="198"/>
        <v>0.98504038224393664</v>
      </c>
    </row>
    <row r="169" spans="33:39" x14ac:dyDescent="0.25">
      <c r="AG169" s="154" t="s">
        <v>423</v>
      </c>
      <c r="AH169" s="154" t="s">
        <v>421</v>
      </c>
      <c r="AI169" s="154">
        <v>2023</v>
      </c>
      <c r="AJ169" s="154" t="str">
        <f t="shared" ref="AJ169:AL169" si="209">A37</f>
        <v>Rail</v>
      </c>
      <c r="AK169" s="154" t="str">
        <f t="shared" si="209"/>
        <v>Break bulk</v>
      </c>
      <c r="AL169" s="154" t="str">
        <f t="shared" si="209"/>
        <v>Diesel</v>
      </c>
      <c r="AM169" s="164">
        <f t="shared" si="198"/>
        <v>1.0058195638071343</v>
      </c>
    </row>
    <row r="170" spans="33:39" x14ac:dyDescent="0.25">
      <c r="AG170" s="154" t="s">
        <v>423</v>
      </c>
      <c r="AH170" s="154" t="s">
        <v>421</v>
      </c>
      <c r="AI170" s="154">
        <v>2023</v>
      </c>
      <c r="AJ170" s="154" t="str">
        <f t="shared" ref="AJ170:AL170" si="210">A38</f>
        <v>Rail</v>
      </c>
      <c r="AK170" s="154" t="str">
        <f t="shared" si="210"/>
        <v>Break bulk</v>
      </c>
      <c r="AL170" s="154" t="str">
        <f t="shared" si="210"/>
        <v>Catenary</v>
      </c>
      <c r="AM170" s="164">
        <f t="shared" si="198"/>
        <v>0.99325696306799649</v>
      </c>
    </row>
    <row r="171" spans="33:39" x14ac:dyDescent="0.25">
      <c r="AG171" s="154" t="s">
        <v>87</v>
      </c>
      <c r="AH171" s="154" t="s">
        <v>421</v>
      </c>
      <c r="AI171" s="154">
        <v>2023</v>
      </c>
      <c r="AJ171" s="154" t="str">
        <f t="shared" ref="AJ171:AL171" si="211">A39</f>
        <v>Rail</v>
      </c>
      <c r="AK171" s="154" t="str">
        <f t="shared" si="211"/>
        <v>Break bulk</v>
      </c>
      <c r="AL171" s="154" t="str">
        <f t="shared" si="211"/>
        <v>Battery</v>
      </c>
      <c r="AM171" s="164">
        <f t="shared" si="198"/>
        <v>0.99419049795111536</v>
      </c>
    </row>
    <row r="172" spans="33:39" x14ac:dyDescent="0.25">
      <c r="AG172" s="154" t="s">
        <v>103</v>
      </c>
      <c r="AH172" s="154" t="s">
        <v>421</v>
      </c>
      <c r="AI172" s="154">
        <v>2023</v>
      </c>
      <c r="AJ172" s="154" t="str">
        <f t="shared" ref="AJ172:AL172" si="212">A40</f>
        <v>Rail</v>
      </c>
      <c r="AK172" s="154" t="str">
        <f t="shared" si="212"/>
        <v>Break bulk</v>
      </c>
      <c r="AL172" s="154" t="str">
        <f t="shared" si="212"/>
        <v>Hydrogen</v>
      </c>
      <c r="AM172" s="164">
        <f t="shared" si="198"/>
        <v>0.98901211475016382</v>
      </c>
    </row>
    <row r="173" spans="33:39" x14ac:dyDescent="0.25">
      <c r="AG173" s="154" t="s">
        <v>423</v>
      </c>
      <c r="AH173" s="154" t="s">
        <v>421</v>
      </c>
      <c r="AI173" s="154">
        <v>2023</v>
      </c>
      <c r="AJ173" s="154" t="str">
        <f t="shared" ref="AJ173:AL173" si="213">A41</f>
        <v>Rail</v>
      </c>
      <c r="AK173" s="154" t="str">
        <f t="shared" si="213"/>
        <v>Neo bulk</v>
      </c>
      <c r="AL173" s="154" t="str">
        <f t="shared" si="213"/>
        <v>Diesel</v>
      </c>
      <c r="AM173" s="164">
        <f t="shared" si="198"/>
        <v>1.008480141519571</v>
      </c>
    </row>
    <row r="174" spans="33:39" x14ac:dyDescent="0.25">
      <c r="AG174" s="154" t="s">
        <v>423</v>
      </c>
      <c r="AH174" s="154" t="s">
        <v>421</v>
      </c>
      <c r="AI174" s="154">
        <v>2023</v>
      </c>
      <c r="AJ174" s="154" t="str">
        <f t="shared" ref="AJ174:AL174" si="214">A42</f>
        <v>Rail</v>
      </c>
      <c r="AK174" s="154" t="str">
        <f t="shared" si="214"/>
        <v>Neo bulk</v>
      </c>
      <c r="AL174" s="154" t="str">
        <f t="shared" si="214"/>
        <v>Catenary</v>
      </c>
      <c r="AM174" s="164">
        <f t="shared" si="198"/>
        <v>0.9894546780276956</v>
      </c>
    </row>
    <row r="175" spans="33:39" x14ac:dyDescent="0.25">
      <c r="AG175" s="154" t="s">
        <v>87</v>
      </c>
      <c r="AH175" s="154" t="s">
        <v>421</v>
      </c>
      <c r="AI175" s="154">
        <v>2023</v>
      </c>
      <c r="AJ175" s="154" t="str">
        <f t="shared" ref="AJ175:AL175" si="215">A43</f>
        <v>Rail</v>
      </c>
      <c r="AK175" s="154" t="str">
        <f t="shared" si="215"/>
        <v>Neo bulk</v>
      </c>
      <c r="AL175" s="154" t="str">
        <f t="shared" si="215"/>
        <v>Battery</v>
      </c>
      <c r="AM175" s="164">
        <f t="shared" si="198"/>
        <v>0.99178920979474661</v>
      </c>
    </row>
    <row r="176" spans="33:39" x14ac:dyDescent="0.25">
      <c r="AG176" s="154" t="s">
        <v>103</v>
      </c>
      <c r="AH176" s="154" t="s">
        <v>421</v>
      </c>
      <c r="AI176" s="154">
        <v>2023</v>
      </c>
      <c r="AJ176" s="154" t="str">
        <f t="shared" ref="AJ176:AL176" si="216">A44</f>
        <v>Rail</v>
      </c>
      <c r="AK176" s="154" t="str">
        <f t="shared" si="216"/>
        <v>Neo bulk</v>
      </c>
      <c r="AL176" s="154" t="str">
        <f t="shared" si="216"/>
        <v>Hydrogen</v>
      </c>
      <c r="AM176" s="164">
        <f t="shared" si="198"/>
        <v>0.98544092602326894</v>
      </c>
    </row>
    <row r="177" spans="33:39" x14ac:dyDescent="0.25">
      <c r="AG177" s="154" t="s">
        <v>423</v>
      </c>
      <c r="AH177" s="154" t="s">
        <v>422</v>
      </c>
      <c r="AI177" s="154">
        <v>2023</v>
      </c>
      <c r="AJ177" s="154" t="str">
        <f>A25</f>
        <v>Rail</v>
      </c>
      <c r="AK177" s="154" t="str">
        <f>B25</f>
        <v>Dry bulk</v>
      </c>
      <c r="AL177" s="154" t="str">
        <f>C25</f>
        <v>Diesel</v>
      </c>
      <c r="AM177" s="164">
        <f>K25</f>
        <v>0.97560322033887004</v>
      </c>
    </row>
    <row r="178" spans="33:39" x14ac:dyDescent="0.25">
      <c r="AG178" s="154" t="s">
        <v>423</v>
      </c>
      <c r="AH178" s="154" t="s">
        <v>422</v>
      </c>
      <c r="AI178" s="154">
        <v>2023</v>
      </c>
      <c r="AJ178" s="154" t="str">
        <f t="shared" ref="AJ178:AL178" si="217">A26</f>
        <v>Rail</v>
      </c>
      <c r="AK178" s="154" t="str">
        <f t="shared" si="217"/>
        <v>Dry bulk</v>
      </c>
      <c r="AL178" s="154" t="str">
        <f t="shared" si="217"/>
        <v>Catenary</v>
      </c>
      <c r="AM178" s="164">
        <f t="shared" ref="AM178:AM196" si="218">K26</f>
        <v>1.0237500104987809</v>
      </c>
    </row>
    <row r="179" spans="33:39" x14ac:dyDescent="0.25">
      <c r="AG179" s="154" t="s">
        <v>87</v>
      </c>
      <c r="AH179" s="154" t="s">
        <v>422</v>
      </c>
      <c r="AI179" s="154">
        <v>2023</v>
      </c>
      <c r="AJ179" s="154" t="str">
        <f t="shared" ref="AJ179:AL179" si="219">A27</f>
        <v>Rail</v>
      </c>
      <c r="AK179" s="154" t="str">
        <f t="shared" si="219"/>
        <v>Dry bulk</v>
      </c>
      <c r="AL179" s="154" t="str">
        <f t="shared" si="219"/>
        <v>Battery</v>
      </c>
      <c r="AM179" s="164">
        <f t="shared" si="218"/>
        <v>1.0185580693422105</v>
      </c>
    </row>
    <row r="180" spans="33:39" x14ac:dyDescent="0.25">
      <c r="AG180" s="154" t="s">
        <v>103</v>
      </c>
      <c r="AH180" s="154" t="s">
        <v>422</v>
      </c>
      <c r="AI180" s="154">
        <v>2023</v>
      </c>
      <c r="AJ180" s="154" t="str">
        <f t="shared" ref="AJ180:AL180" si="220">A28</f>
        <v>Rail</v>
      </c>
      <c r="AK180" s="154" t="str">
        <f t="shared" si="220"/>
        <v>Dry bulk</v>
      </c>
      <c r="AL180" s="154" t="str">
        <f t="shared" si="220"/>
        <v>Hydrogen</v>
      </c>
      <c r="AM180" s="164">
        <f t="shared" si="218"/>
        <v>1.0329786515298851</v>
      </c>
    </row>
    <row r="181" spans="33:39" x14ac:dyDescent="0.25">
      <c r="AG181" s="154" t="s">
        <v>423</v>
      </c>
      <c r="AH181" s="154" t="s">
        <v>422</v>
      </c>
      <c r="AI181" s="154">
        <v>2023</v>
      </c>
      <c r="AJ181" s="154" t="str">
        <f t="shared" ref="AJ181:AL181" si="221">A29</f>
        <v>Rail</v>
      </c>
      <c r="AK181" s="154" t="str">
        <f t="shared" si="221"/>
        <v>Liquid bulk</v>
      </c>
      <c r="AL181" s="154" t="str">
        <f t="shared" si="221"/>
        <v>Diesel</v>
      </c>
      <c r="AM181" s="164">
        <f t="shared" si="218"/>
        <v>0.97578544697934166</v>
      </c>
    </row>
    <row r="182" spans="33:39" x14ac:dyDescent="0.25">
      <c r="AG182" s="154" t="s">
        <v>423</v>
      </c>
      <c r="AH182" s="154" t="s">
        <v>422</v>
      </c>
      <c r="AI182" s="154">
        <v>2023</v>
      </c>
      <c r="AJ182" s="154" t="str">
        <f t="shared" ref="AJ182:AL182" si="222">A30</f>
        <v>Rail</v>
      </c>
      <c r="AK182" s="154" t="str">
        <f t="shared" si="222"/>
        <v>Liquid bulk</v>
      </c>
      <c r="AL182" s="154" t="str">
        <f t="shared" si="222"/>
        <v>Catenary</v>
      </c>
      <c r="AM182" s="164">
        <f t="shared" si="218"/>
        <v>1.0235321485074833</v>
      </c>
    </row>
    <row r="183" spans="33:39" x14ac:dyDescent="0.25">
      <c r="AG183" s="154" t="s">
        <v>87</v>
      </c>
      <c r="AH183" s="154" t="s">
        <v>422</v>
      </c>
      <c r="AI183" s="154">
        <v>2023</v>
      </c>
      <c r="AJ183" s="154" t="str">
        <f t="shared" ref="AJ183:AL183" si="223">A31</f>
        <v>Rail</v>
      </c>
      <c r="AK183" s="154" t="str">
        <f t="shared" si="223"/>
        <v>Liquid bulk</v>
      </c>
      <c r="AL183" s="154" t="str">
        <f t="shared" si="223"/>
        <v>Battery</v>
      </c>
      <c r="AM183" s="164">
        <f t="shared" si="218"/>
        <v>1.0184333474444862</v>
      </c>
    </row>
    <row r="184" spans="33:39" x14ac:dyDescent="0.25">
      <c r="AG184" s="154" t="s">
        <v>103</v>
      </c>
      <c r="AH184" s="154" t="s">
        <v>422</v>
      </c>
      <c r="AI184" s="154">
        <v>2023</v>
      </c>
      <c r="AJ184" s="154" t="str">
        <f t="shared" ref="AJ184:AL184" si="224">A32</f>
        <v>Rail</v>
      </c>
      <c r="AK184" s="154" t="str">
        <f t="shared" si="224"/>
        <v>Liquid bulk</v>
      </c>
      <c r="AL184" s="154" t="str">
        <f t="shared" si="224"/>
        <v>Hydrogen</v>
      </c>
      <c r="AM184" s="164">
        <f t="shared" si="218"/>
        <v>1.0328031771552757</v>
      </c>
    </row>
    <row r="185" spans="33:39" x14ac:dyDescent="0.25">
      <c r="AG185" s="154" t="s">
        <v>423</v>
      </c>
      <c r="AH185" s="154" t="s">
        <v>422</v>
      </c>
      <c r="AI185" s="154">
        <v>2023</v>
      </c>
      <c r="AJ185" s="154" t="str">
        <f t="shared" ref="AJ185:AL185" si="225">A33</f>
        <v>Rail</v>
      </c>
      <c r="AK185" s="154" t="str">
        <f t="shared" si="225"/>
        <v>Container</v>
      </c>
      <c r="AL185" s="154" t="str">
        <f t="shared" si="225"/>
        <v>Diesel</v>
      </c>
      <c r="AM185" s="164">
        <f t="shared" si="218"/>
        <v>0.9743646957546509</v>
      </c>
    </row>
    <row r="186" spans="33:39" x14ac:dyDescent="0.25">
      <c r="AG186" s="154" t="s">
        <v>423</v>
      </c>
      <c r="AH186" s="154" t="s">
        <v>422</v>
      </c>
      <c r="AI186" s="154">
        <v>2023</v>
      </c>
      <c r="AJ186" s="154" t="str">
        <f t="shared" ref="AJ186:AL186" si="226">A34</f>
        <v>Rail</v>
      </c>
      <c r="AK186" s="154" t="str">
        <f t="shared" si="226"/>
        <v>Container</v>
      </c>
      <c r="AL186" s="154" t="str">
        <f t="shared" si="226"/>
        <v>Catenary</v>
      </c>
      <c r="AM186" s="164">
        <f t="shared" si="218"/>
        <v>1.0252508220119414</v>
      </c>
    </row>
    <row r="187" spans="33:39" x14ac:dyDescent="0.25">
      <c r="AG187" s="154" t="s">
        <v>87</v>
      </c>
      <c r="AH187" s="154" t="s">
        <v>422</v>
      </c>
      <c r="AI187" s="154">
        <v>2023</v>
      </c>
      <c r="AJ187" s="154" t="str">
        <f t="shared" ref="AJ187:AL187" si="227">A35</f>
        <v>Rail</v>
      </c>
      <c r="AK187" s="154" t="str">
        <f t="shared" si="227"/>
        <v>Container</v>
      </c>
      <c r="AL187" s="154" t="str">
        <f t="shared" si="227"/>
        <v>Battery</v>
      </c>
      <c r="AM187" s="164">
        <f t="shared" si="218"/>
        <v>1.0194078427266304</v>
      </c>
    </row>
    <row r="188" spans="33:39" x14ac:dyDescent="0.25">
      <c r="AG188" s="154" t="s">
        <v>103</v>
      </c>
      <c r="AH188" s="154" t="s">
        <v>422</v>
      </c>
      <c r="AI188" s="154">
        <v>2023</v>
      </c>
      <c r="AJ188" s="154" t="str">
        <f t="shared" ref="AJ188:AL188" si="228">A36</f>
        <v>Rail</v>
      </c>
      <c r="AK188" s="154" t="str">
        <f t="shared" si="228"/>
        <v>Container</v>
      </c>
      <c r="AL188" s="154" t="str">
        <f t="shared" si="228"/>
        <v>Hydrogen</v>
      </c>
      <c r="AM188" s="164">
        <f t="shared" si="218"/>
        <v>1.0341563526800288</v>
      </c>
    </row>
    <row r="189" spans="33:39" x14ac:dyDescent="0.25">
      <c r="AG189" s="154" t="s">
        <v>423</v>
      </c>
      <c r="AH189" s="154" t="s">
        <v>422</v>
      </c>
      <c r="AI189" s="154">
        <v>2023</v>
      </c>
      <c r="AJ189" s="154" t="str">
        <f t="shared" ref="AJ189:AL189" si="229">A37</f>
        <v>Rail</v>
      </c>
      <c r="AK189" s="154" t="str">
        <f t="shared" si="229"/>
        <v>Break bulk</v>
      </c>
      <c r="AL189" s="154" t="str">
        <f t="shared" si="229"/>
        <v>Diesel</v>
      </c>
      <c r="AM189" s="164">
        <f t="shared" si="218"/>
        <v>0.98307035983379165</v>
      </c>
    </row>
    <row r="190" spans="33:39" x14ac:dyDescent="0.25">
      <c r="AG190" s="154" t="s">
        <v>423</v>
      </c>
      <c r="AH190" s="154" t="s">
        <v>422</v>
      </c>
      <c r="AI190" s="154">
        <v>2023</v>
      </c>
      <c r="AJ190" s="154" t="str">
        <f t="shared" ref="AJ190:AL190" si="230">A38</f>
        <v>Rail</v>
      </c>
      <c r="AK190" s="154" t="str">
        <f t="shared" si="230"/>
        <v>Break bulk</v>
      </c>
      <c r="AL190" s="154" t="str">
        <f t="shared" si="230"/>
        <v>Catenary</v>
      </c>
      <c r="AM190" s="164">
        <f t="shared" si="218"/>
        <v>1.0153959513765396</v>
      </c>
    </row>
    <row r="191" spans="33:39" x14ac:dyDescent="0.25">
      <c r="AG191" s="154" t="s">
        <v>87</v>
      </c>
      <c r="AH191" s="154" t="s">
        <v>422</v>
      </c>
      <c r="AI191" s="154">
        <v>2023</v>
      </c>
      <c r="AJ191" s="154" t="str">
        <f t="shared" ref="AJ191:AL191" si="231">A39</f>
        <v>Rail</v>
      </c>
      <c r="AK191" s="154" t="str">
        <f t="shared" si="231"/>
        <v>Break bulk</v>
      </c>
      <c r="AL191" s="154" t="str">
        <f t="shared" si="231"/>
        <v>Battery</v>
      </c>
      <c r="AM191" s="164">
        <f t="shared" si="218"/>
        <v>1.0132644699960081</v>
      </c>
    </row>
    <row r="192" spans="33:39" x14ac:dyDescent="0.25">
      <c r="AG192" s="154" t="s">
        <v>103</v>
      </c>
      <c r="AH192" s="154" t="s">
        <v>422</v>
      </c>
      <c r="AI192" s="154">
        <v>2023</v>
      </c>
      <c r="AJ192" s="154" t="str">
        <f t="shared" ref="AJ192:AL192" si="232">A40</f>
        <v>Rail</v>
      </c>
      <c r="AK192" s="154" t="str">
        <f t="shared" si="232"/>
        <v>Break bulk</v>
      </c>
      <c r="AL192" s="154" t="str">
        <f t="shared" si="232"/>
        <v>Hydrogen</v>
      </c>
      <c r="AM192" s="164">
        <f t="shared" si="218"/>
        <v>1.0250879460906666</v>
      </c>
    </row>
    <row r="193" spans="33:39" x14ac:dyDescent="0.25">
      <c r="AG193" s="154" t="s">
        <v>423</v>
      </c>
      <c r="AH193" s="154" t="s">
        <v>422</v>
      </c>
      <c r="AI193" s="154">
        <v>2023</v>
      </c>
      <c r="AJ193" s="154" t="str">
        <f t="shared" ref="AJ193:AL193" si="233">A41</f>
        <v>Rail</v>
      </c>
      <c r="AK193" s="154" t="str">
        <f t="shared" si="233"/>
        <v>Neo bulk</v>
      </c>
      <c r="AL193" s="154" t="str">
        <f t="shared" si="233"/>
        <v>Diesel</v>
      </c>
      <c r="AM193" s="164">
        <f t="shared" si="218"/>
        <v>0.97533049739761191</v>
      </c>
    </row>
    <row r="194" spans="33:39" x14ac:dyDescent="0.25">
      <c r="AG194" s="154" t="s">
        <v>423</v>
      </c>
      <c r="AH194" s="154" t="s">
        <v>422</v>
      </c>
      <c r="AI194" s="154">
        <v>2023</v>
      </c>
      <c r="AJ194" s="154" t="str">
        <f t="shared" ref="AJ194:AL194" si="234">A42</f>
        <v>Rail</v>
      </c>
      <c r="AK194" s="154" t="str">
        <f t="shared" si="234"/>
        <v>Neo bulk</v>
      </c>
      <c r="AL194" s="154" t="str">
        <f t="shared" si="234"/>
        <v>Catenary</v>
      </c>
      <c r="AM194" s="164">
        <f t="shared" si="218"/>
        <v>1.0240774692431227</v>
      </c>
    </row>
    <row r="195" spans="33:39" x14ac:dyDescent="0.25">
      <c r="AG195" s="154" t="s">
        <v>87</v>
      </c>
      <c r="AH195" s="154" t="s">
        <v>422</v>
      </c>
      <c r="AI195" s="154">
        <v>2023</v>
      </c>
      <c r="AJ195" s="154" t="str">
        <f t="shared" ref="AJ195:AL195" si="235">A43</f>
        <v>Rail</v>
      </c>
      <c r="AK195" s="154" t="str">
        <f t="shared" si="235"/>
        <v>Neo bulk</v>
      </c>
      <c r="AL195" s="154" t="str">
        <f t="shared" si="235"/>
        <v>Battery</v>
      </c>
      <c r="AM195" s="164">
        <f t="shared" si="218"/>
        <v>1.0187471799484111</v>
      </c>
    </row>
    <row r="196" spans="33:39" x14ac:dyDescent="0.25">
      <c r="AG196" s="154" t="s">
        <v>103</v>
      </c>
      <c r="AH196" s="154" t="s">
        <v>422</v>
      </c>
      <c r="AI196" s="154">
        <v>2023</v>
      </c>
      <c r="AJ196" s="154" t="str">
        <f t="shared" ref="AJ196:AL196" si="236">A44</f>
        <v>Rail</v>
      </c>
      <c r="AK196" s="154" t="str">
        <f t="shared" si="236"/>
        <v>Neo bulk</v>
      </c>
      <c r="AL196" s="154" t="str">
        <f t="shared" si="236"/>
        <v>Hydrogen</v>
      </c>
      <c r="AM196" s="164">
        <f t="shared" si="218"/>
        <v>1.033241816305253</v>
      </c>
    </row>
    <row r="197" spans="33:39" x14ac:dyDescent="0.25">
      <c r="AG197" s="154" t="s">
        <v>423</v>
      </c>
      <c r="AH197" s="154" t="s">
        <v>420</v>
      </c>
      <c r="AI197" s="154">
        <v>2034</v>
      </c>
      <c r="AJ197" s="154" t="str">
        <f>A25</f>
        <v>Rail</v>
      </c>
      <c r="AK197" s="154" t="str">
        <f>B25</f>
        <v>Dry bulk</v>
      </c>
      <c r="AL197" s="154" t="str">
        <f>C25</f>
        <v>Diesel</v>
      </c>
      <c r="AM197" s="164">
        <f>R25</f>
        <v>1</v>
      </c>
    </row>
    <row r="198" spans="33:39" x14ac:dyDescent="0.25">
      <c r="AG198" s="154" t="s">
        <v>423</v>
      </c>
      <c r="AH198" s="154" t="s">
        <v>420</v>
      </c>
      <c r="AI198" s="154">
        <v>2034</v>
      </c>
      <c r="AJ198" s="154" t="str">
        <f t="shared" ref="AJ198:AL198" si="237">A26</f>
        <v>Rail</v>
      </c>
      <c r="AK198" s="154" t="str">
        <f t="shared" si="237"/>
        <v>Dry bulk</v>
      </c>
      <c r="AL198" s="154" t="str">
        <f t="shared" si="237"/>
        <v>Catenary</v>
      </c>
      <c r="AM198" s="164">
        <f t="shared" ref="AM198:AM214" si="238">R26</f>
        <v>1</v>
      </c>
    </row>
    <row r="199" spans="33:39" x14ac:dyDescent="0.25">
      <c r="AG199" s="154" t="s">
        <v>87</v>
      </c>
      <c r="AH199" s="154" t="s">
        <v>420</v>
      </c>
      <c r="AI199" s="154">
        <v>2034</v>
      </c>
      <c r="AJ199" s="154" t="str">
        <f t="shared" ref="AJ199:AL199" si="239">A27</f>
        <v>Rail</v>
      </c>
      <c r="AK199" s="154" t="str">
        <f t="shared" si="239"/>
        <v>Dry bulk</v>
      </c>
      <c r="AL199" s="154" t="str">
        <f t="shared" si="239"/>
        <v>Battery</v>
      </c>
      <c r="AM199" s="164">
        <f t="shared" si="238"/>
        <v>1</v>
      </c>
    </row>
    <row r="200" spans="33:39" x14ac:dyDescent="0.25">
      <c r="AG200" s="154" t="s">
        <v>103</v>
      </c>
      <c r="AH200" s="154" t="s">
        <v>420</v>
      </c>
      <c r="AI200" s="154">
        <v>2034</v>
      </c>
      <c r="AJ200" s="154" t="str">
        <f t="shared" ref="AJ200:AL200" si="240">A28</f>
        <v>Rail</v>
      </c>
      <c r="AK200" s="154" t="str">
        <f t="shared" si="240"/>
        <v>Dry bulk</v>
      </c>
      <c r="AL200" s="154" t="str">
        <f t="shared" si="240"/>
        <v>Hydrogen</v>
      </c>
      <c r="AM200" s="164">
        <f t="shared" si="238"/>
        <v>1</v>
      </c>
    </row>
    <row r="201" spans="33:39" x14ac:dyDescent="0.25">
      <c r="AG201" s="154" t="s">
        <v>423</v>
      </c>
      <c r="AH201" s="154" t="s">
        <v>420</v>
      </c>
      <c r="AI201" s="154">
        <v>2034</v>
      </c>
      <c r="AJ201" s="154" t="str">
        <f t="shared" ref="AJ201:AL201" si="241">A29</f>
        <v>Rail</v>
      </c>
      <c r="AK201" s="154" t="str">
        <f t="shared" si="241"/>
        <v>Liquid bulk</v>
      </c>
      <c r="AL201" s="154" t="str">
        <f t="shared" si="241"/>
        <v>Diesel</v>
      </c>
      <c r="AM201" s="164">
        <f t="shared" si="238"/>
        <v>1</v>
      </c>
    </row>
    <row r="202" spans="33:39" x14ac:dyDescent="0.25">
      <c r="AG202" s="154" t="s">
        <v>423</v>
      </c>
      <c r="AH202" s="154" t="s">
        <v>420</v>
      </c>
      <c r="AI202" s="154">
        <v>2034</v>
      </c>
      <c r="AJ202" s="154" t="str">
        <f t="shared" ref="AJ202:AL202" si="242">A30</f>
        <v>Rail</v>
      </c>
      <c r="AK202" s="154" t="str">
        <f t="shared" si="242"/>
        <v>Liquid bulk</v>
      </c>
      <c r="AL202" s="154" t="str">
        <f t="shared" si="242"/>
        <v>Catenary</v>
      </c>
      <c r="AM202" s="164">
        <f t="shared" si="238"/>
        <v>1</v>
      </c>
    </row>
    <row r="203" spans="33:39" x14ac:dyDescent="0.25">
      <c r="AG203" s="154" t="s">
        <v>87</v>
      </c>
      <c r="AH203" s="154" t="s">
        <v>420</v>
      </c>
      <c r="AI203" s="154">
        <v>2034</v>
      </c>
      <c r="AJ203" s="154" t="str">
        <f t="shared" ref="AJ203:AL203" si="243">A31</f>
        <v>Rail</v>
      </c>
      <c r="AK203" s="154" t="str">
        <f t="shared" si="243"/>
        <v>Liquid bulk</v>
      </c>
      <c r="AL203" s="154" t="str">
        <f t="shared" si="243"/>
        <v>Battery</v>
      </c>
      <c r="AM203" s="164">
        <f t="shared" si="238"/>
        <v>1</v>
      </c>
    </row>
    <row r="204" spans="33:39" x14ac:dyDescent="0.25">
      <c r="AG204" s="154" t="s">
        <v>103</v>
      </c>
      <c r="AH204" s="154" t="s">
        <v>420</v>
      </c>
      <c r="AI204" s="154">
        <v>2034</v>
      </c>
      <c r="AJ204" s="154" t="str">
        <f t="shared" ref="AJ204:AL204" si="244">A32</f>
        <v>Rail</v>
      </c>
      <c r="AK204" s="154" t="str">
        <f t="shared" si="244"/>
        <v>Liquid bulk</v>
      </c>
      <c r="AL204" s="154" t="str">
        <f t="shared" si="244"/>
        <v>Hydrogen</v>
      </c>
      <c r="AM204" s="164">
        <f t="shared" si="238"/>
        <v>1</v>
      </c>
    </row>
    <row r="205" spans="33:39" x14ac:dyDescent="0.25">
      <c r="AG205" s="154" t="s">
        <v>423</v>
      </c>
      <c r="AH205" s="154" t="s">
        <v>420</v>
      </c>
      <c r="AI205" s="154">
        <v>2034</v>
      </c>
      <c r="AJ205" s="154" t="str">
        <f t="shared" ref="AJ205:AL205" si="245">A33</f>
        <v>Rail</v>
      </c>
      <c r="AK205" s="154" t="str">
        <f t="shared" si="245"/>
        <v>Container</v>
      </c>
      <c r="AL205" s="154" t="str">
        <f t="shared" si="245"/>
        <v>Diesel</v>
      </c>
      <c r="AM205" s="164">
        <f t="shared" si="238"/>
        <v>1</v>
      </c>
    </row>
    <row r="206" spans="33:39" x14ac:dyDescent="0.25">
      <c r="AG206" s="154" t="s">
        <v>423</v>
      </c>
      <c r="AH206" s="154" t="s">
        <v>420</v>
      </c>
      <c r="AI206" s="154">
        <v>2034</v>
      </c>
      <c r="AJ206" s="154" t="str">
        <f t="shared" ref="AJ206:AL206" si="246">A34</f>
        <v>Rail</v>
      </c>
      <c r="AK206" s="154" t="str">
        <f t="shared" si="246"/>
        <v>Container</v>
      </c>
      <c r="AL206" s="154" t="str">
        <f t="shared" si="246"/>
        <v>Catenary</v>
      </c>
      <c r="AM206" s="164">
        <f t="shared" si="238"/>
        <v>1</v>
      </c>
    </row>
    <row r="207" spans="33:39" x14ac:dyDescent="0.25">
      <c r="AG207" s="154" t="s">
        <v>87</v>
      </c>
      <c r="AH207" s="154" t="s">
        <v>420</v>
      </c>
      <c r="AI207" s="154">
        <v>2034</v>
      </c>
      <c r="AJ207" s="154" t="str">
        <f t="shared" ref="AJ207:AL207" si="247">A35</f>
        <v>Rail</v>
      </c>
      <c r="AK207" s="154" t="str">
        <f t="shared" si="247"/>
        <v>Container</v>
      </c>
      <c r="AL207" s="154" t="str">
        <f t="shared" si="247"/>
        <v>Battery</v>
      </c>
      <c r="AM207" s="164">
        <f t="shared" si="238"/>
        <v>1</v>
      </c>
    </row>
    <row r="208" spans="33:39" x14ac:dyDescent="0.25">
      <c r="AG208" s="154" t="s">
        <v>103</v>
      </c>
      <c r="AH208" s="154" t="s">
        <v>420</v>
      </c>
      <c r="AI208" s="154">
        <v>2034</v>
      </c>
      <c r="AJ208" s="154" t="str">
        <f t="shared" ref="AJ208:AL208" si="248">A36</f>
        <v>Rail</v>
      </c>
      <c r="AK208" s="154" t="str">
        <f t="shared" si="248"/>
        <v>Container</v>
      </c>
      <c r="AL208" s="154" t="str">
        <f t="shared" si="248"/>
        <v>Hydrogen</v>
      </c>
      <c r="AM208" s="164">
        <f t="shared" si="238"/>
        <v>1</v>
      </c>
    </row>
    <row r="209" spans="33:39" x14ac:dyDescent="0.25">
      <c r="AG209" s="154" t="s">
        <v>423</v>
      </c>
      <c r="AH209" s="154" t="s">
        <v>420</v>
      </c>
      <c r="AI209" s="154">
        <v>2034</v>
      </c>
      <c r="AJ209" s="154" t="str">
        <f t="shared" ref="AJ209:AL209" si="249">A37</f>
        <v>Rail</v>
      </c>
      <c r="AK209" s="154" t="str">
        <f t="shared" si="249"/>
        <v>Break bulk</v>
      </c>
      <c r="AL209" s="154" t="str">
        <f t="shared" si="249"/>
        <v>Diesel</v>
      </c>
      <c r="AM209" s="164">
        <f t="shared" si="238"/>
        <v>1</v>
      </c>
    </row>
    <row r="210" spans="33:39" x14ac:dyDescent="0.25">
      <c r="AG210" s="154" t="s">
        <v>423</v>
      </c>
      <c r="AH210" s="154" t="s">
        <v>420</v>
      </c>
      <c r="AI210" s="154">
        <v>2034</v>
      </c>
      <c r="AJ210" s="154" t="str">
        <f t="shared" ref="AJ210:AL210" si="250">A38</f>
        <v>Rail</v>
      </c>
      <c r="AK210" s="154" t="str">
        <f t="shared" si="250"/>
        <v>Break bulk</v>
      </c>
      <c r="AL210" s="154" t="str">
        <f t="shared" si="250"/>
        <v>Catenary</v>
      </c>
      <c r="AM210" s="164">
        <f t="shared" si="238"/>
        <v>1</v>
      </c>
    </row>
    <row r="211" spans="33:39" x14ac:dyDescent="0.25">
      <c r="AG211" s="154" t="s">
        <v>87</v>
      </c>
      <c r="AH211" s="154" t="s">
        <v>420</v>
      </c>
      <c r="AI211" s="154">
        <v>2034</v>
      </c>
      <c r="AJ211" s="154" t="str">
        <f t="shared" ref="AJ211:AL211" si="251">A39</f>
        <v>Rail</v>
      </c>
      <c r="AK211" s="154" t="str">
        <f t="shared" si="251"/>
        <v>Break bulk</v>
      </c>
      <c r="AL211" s="154" t="str">
        <f t="shared" si="251"/>
        <v>Battery</v>
      </c>
      <c r="AM211" s="164">
        <f t="shared" si="238"/>
        <v>1</v>
      </c>
    </row>
    <row r="212" spans="33:39" x14ac:dyDescent="0.25">
      <c r="AG212" s="154" t="s">
        <v>103</v>
      </c>
      <c r="AH212" s="154" t="s">
        <v>420</v>
      </c>
      <c r="AI212" s="154">
        <v>2034</v>
      </c>
      <c r="AJ212" s="154" t="str">
        <f t="shared" ref="AJ212:AL212" si="252">A40</f>
        <v>Rail</v>
      </c>
      <c r="AK212" s="154" t="str">
        <f t="shared" si="252"/>
        <v>Break bulk</v>
      </c>
      <c r="AL212" s="154" t="str">
        <f t="shared" si="252"/>
        <v>Hydrogen</v>
      </c>
      <c r="AM212" s="164">
        <f t="shared" si="238"/>
        <v>1</v>
      </c>
    </row>
    <row r="213" spans="33:39" x14ac:dyDescent="0.25">
      <c r="AG213" s="154" t="s">
        <v>423</v>
      </c>
      <c r="AH213" s="154" t="s">
        <v>420</v>
      </c>
      <c r="AI213" s="154">
        <v>2034</v>
      </c>
      <c r="AJ213" s="154" t="str">
        <f t="shared" ref="AJ213:AL213" si="253">A41</f>
        <v>Rail</v>
      </c>
      <c r="AK213" s="154" t="str">
        <f t="shared" si="253"/>
        <v>Neo bulk</v>
      </c>
      <c r="AL213" s="154" t="str">
        <f t="shared" si="253"/>
        <v>Diesel</v>
      </c>
      <c r="AM213" s="164">
        <f t="shared" si="238"/>
        <v>1</v>
      </c>
    </row>
    <row r="214" spans="33:39" x14ac:dyDescent="0.25">
      <c r="AG214" s="154" t="s">
        <v>423</v>
      </c>
      <c r="AH214" s="154" t="s">
        <v>420</v>
      </c>
      <c r="AI214" s="154">
        <v>2034</v>
      </c>
      <c r="AJ214" s="154" t="str">
        <f t="shared" ref="AJ214:AL214" si="254">A42</f>
        <v>Rail</v>
      </c>
      <c r="AK214" s="154" t="str">
        <f t="shared" si="254"/>
        <v>Neo bulk</v>
      </c>
      <c r="AL214" s="154" t="str">
        <f t="shared" si="254"/>
        <v>Catenary</v>
      </c>
      <c r="AM214" s="164">
        <f t="shared" si="238"/>
        <v>1</v>
      </c>
    </row>
    <row r="215" spans="33:39" x14ac:dyDescent="0.25">
      <c r="AG215" s="154" t="s">
        <v>87</v>
      </c>
      <c r="AH215" s="154" t="s">
        <v>420</v>
      </c>
      <c r="AI215" s="154">
        <v>2034</v>
      </c>
      <c r="AJ215" s="154" t="str">
        <f>A43</f>
        <v>Rail</v>
      </c>
      <c r="AK215" s="154" t="str">
        <f>B43</f>
        <v>Neo bulk</v>
      </c>
      <c r="AL215" s="154" t="str">
        <f>C43</f>
        <v>Battery</v>
      </c>
      <c r="AM215" s="164">
        <f>R43</f>
        <v>1</v>
      </c>
    </row>
    <row r="216" spans="33:39" x14ac:dyDescent="0.25">
      <c r="AG216" s="154" t="s">
        <v>103</v>
      </c>
      <c r="AH216" s="154" t="s">
        <v>420</v>
      </c>
      <c r="AI216" s="154">
        <v>2034</v>
      </c>
      <c r="AJ216" s="154" t="str">
        <f t="shared" ref="AJ216" si="255">A44</f>
        <v>Rail</v>
      </c>
      <c r="AK216" s="154" t="str">
        <f t="shared" ref="AK216" si="256">B44</f>
        <v>Neo bulk</v>
      </c>
      <c r="AL216" s="154" t="str">
        <f t="shared" ref="AL216" si="257">C44</f>
        <v>Hydrogen</v>
      </c>
      <c r="AM216" s="164">
        <f t="shared" ref="AM216" si="258">R44</f>
        <v>1</v>
      </c>
    </row>
    <row r="217" spans="33:39" x14ac:dyDescent="0.25">
      <c r="AG217" s="154" t="s">
        <v>423</v>
      </c>
      <c r="AH217" s="154" t="s">
        <v>421</v>
      </c>
      <c r="AI217" s="154">
        <v>2034</v>
      </c>
      <c r="AJ217" s="154" t="str">
        <f>A25</f>
        <v>Rail</v>
      </c>
      <c r="AK217" s="154" t="str">
        <f>B25</f>
        <v>Dry bulk</v>
      </c>
      <c r="AL217" s="154" t="str">
        <f>C25</f>
        <v>Diesel</v>
      </c>
      <c r="AM217" s="164">
        <f>S25</f>
        <v>1.0357118987174436</v>
      </c>
    </row>
    <row r="218" spans="33:39" x14ac:dyDescent="0.25">
      <c r="AG218" s="154" t="s">
        <v>423</v>
      </c>
      <c r="AH218" s="154" t="s">
        <v>421</v>
      </c>
      <c r="AI218" s="154">
        <v>2034</v>
      </c>
      <c r="AJ218" s="154" t="str">
        <f t="shared" ref="AJ218:AL218" si="259">A26</f>
        <v>Rail</v>
      </c>
      <c r="AK218" s="154" t="str">
        <f t="shared" si="259"/>
        <v>Dry bulk</v>
      </c>
      <c r="AL218" s="154" t="str">
        <f t="shared" si="259"/>
        <v>Catenary</v>
      </c>
      <c r="AM218" s="164">
        <f t="shared" ref="AM218:AM234" si="260">S26</f>
        <v>0.98477449510203774</v>
      </c>
    </row>
    <row r="219" spans="33:39" x14ac:dyDescent="0.25">
      <c r="AG219" s="154" t="s">
        <v>87</v>
      </c>
      <c r="AH219" s="154" t="s">
        <v>421</v>
      </c>
      <c r="AI219" s="154">
        <v>2034</v>
      </c>
      <c r="AJ219" s="154" t="str">
        <f t="shared" ref="AJ219:AL219" si="261">A27</f>
        <v>Rail</v>
      </c>
      <c r="AK219" s="154" t="str">
        <f t="shared" si="261"/>
        <v>Dry bulk</v>
      </c>
      <c r="AL219" s="154" t="str">
        <f t="shared" si="261"/>
        <v>Battery</v>
      </c>
      <c r="AM219" s="164">
        <f t="shared" si="260"/>
        <v>0.98696276099091129</v>
      </c>
    </row>
    <row r="220" spans="33:39" x14ac:dyDescent="0.25">
      <c r="AG220" s="154" t="s">
        <v>103</v>
      </c>
      <c r="AH220" s="154" t="s">
        <v>421</v>
      </c>
      <c r="AI220" s="154">
        <v>2034</v>
      </c>
      <c r="AJ220" s="154" t="str">
        <f t="shared" ref="AJ220:AL220" si="262">A28</f>
        <v>Rail</v>
      </c>
      <c r="AK220" s="154" t="str">
        <f t="shared" si="262"/>
        <v>Dry bulk</v>
      </c>
      <c r="AL220" s="154" t="str">
        <f t="shared" si="262"/>
        <v>Hydrogen</v>
      </c>
      <c r="AM220" s="164">
        <f t="shared" si="260"/>
        <v>0.97680251632358206</v>
      </c>
    </row>
    <row r="221" spans="33:39" x14ac:dyDescent="0.25">
      <c r="AG221" s="154" t="s">
        <v>423</v>
      </c>
      <c r="AH221" s="154" t="s">
        <v>421</v>
      </c>
      <c r="AI221" s="154">
        <v>2034</v>
      </c>
      <c r="AJ221" s="154" t="str">
        <f t="shared" ref="AJ221:AL221" si="263">A29</f>
        <v>Rail</v>
      </c>
      <c r="AK221" s="154" t="str">
        <f t="shared" si="263"/>
        <v>Liquid bulk</v>
      </c>
      <c r="AL221" s="154" t="str">
        <f t="shared" si="263"/>
        <v>Diesel</v>
      </c>
      <c r="AM221" s="164">
        <f t="shared" si="260"/>
        <v>1.0354322703259429</v>
      </c>
    </row>
    <row r="222" spans="33:39" x14ac:dyDescent="0.25">
      <c r="AG222" s="154" t="s">
        <v>423</v>
      </c>
      <c r="AH222" s="154" t="s">
        <v>421</v>
      </c>
      <c r="AI222" s="154">
        <v>2034</v>
      </c>
      <c r="AJ222" s="154" t="str">
        <f t="shared" ref="AJ222:AL222" si="264">A30</f>
        <v>Rail</v>
      </c>
      <c r="AK222" s="154" t="str">
        <f t="shared" si="264"/>
        <v>Liquid bulk</v>
      </c>
      <c r="AL222" s="154" t="str">
        <f t="shared" si="264"/>
        <v>Catenary</v>
      </c>
      <c r="AM222" s="164">
        <f t="shared" si="260"/>
        <v>0.98491212721321675</v>
      </c>
    </row>
    <row r="223" spans="33:39" x14ac:dyDescent="0.25">
      <c r="AG223" s="154" t="s">
        <v>87</v>
      </c>
      <c r="AH223" s="154" t="s">
        <v>421</v>
      </c>
      <c r="AI223" s="154">
        <v>2034</v>
      </c>
      <c r="AJ223" s="154" t="str">
        <f t="shared" ref="AJ223:AL223" si="265">A31</f>
        <v>Rail</v>
      </c>
      <c r="AK223" s="154" t="str">
        <f t="shared" si="265"/>
        <v>Liquid bulk</v>
      </c>
      <c r="AL223" s="154" t="str">
        <f t="shared" si="265"/>
        <v>Battery</v>
      </c>
      <c r="AM223" s="164">
        <f t="shared" si="260"/>
        <v>0.98705744173892607</v>
      </c>
    </row>
    <row r="224" spans="33:39" x14ac:dyDescent="0.25">
      <c r="AG224" s="154" t="s">
        <v>103</v>
      </c>
      <c r="AH224" s="154" t="s">
        <v>421</v>
      </c>
      <c r="AI224" s="154">
        <v>2034</v>
      </c>
      <c r="AJ224" s="154" t="str">
        <f t="shared" ref="AJ224:AL224" si="266">A32</f>
        <v>Rail</v>
      </c>
      <c r="AK224" s="154" t="str">
        <f t="shared" si="266"/>
        <v>Liquid bulk</v>
      </c>
      <c r="AL224" s="154" t="str">
        <f t="shared" si="266"/>
        <v>Hydrogen</v>
      </c>
      <c r="AM224" s="164">
        <f t="shared" si="260"/>
        <v>0.97695054782858171</v>
      </c>
    </row>
    <row r="225" spans="33:39" x14ac:dyDescent="0.25">
      <c r="AG225" s="154" t="s">
        <v>423</v>
      </c>
      <c r="AH225" s="154" t="s">
        <v>421</v>
      </c>
      <c r="AI225" s="154">
        <v>2034</v>
      </c>
      <c r="AJ225" s="154" t="str">
        <f t="shared" ref="AJ225:AL225" si="267">A33</f>
        <v>Rail</v>
      </c>
      <c r="AK225" s="154" t="str">
        <f t="shared" si="267"/>
        <v>Container</v>
      </c>
      <c r="AL225" s="154" t="str">
        <f t="shared" si="267"/>
        <v>Diesel</v>
      </c>
      <c r="AM225" s="164">
        <f t="shared" si="260"/>
        <v>1.037617827821059</v>
      </c>
    </row>
    <row r="226" spans="33:39" x14ac:dyDescent="0.25">
      <c r="AG226" s="154" t="s">
        <v>423</v>
      </c>
      <c r="AH226" s="154" t="s">
        <v>421</v>
      </c>
      <c r="AI226" s="154">
        <v>2034</v>
      </c>
      <c r="AJ226" s="154" t="str">
        <f t="shared" ref="AJ226:AL226" si="268">A34</f>
        <v>Rail</v>
      </c>
      <c r="AK226" s="154" t="str">
        <f t="shared" si="268"/>
        <v>Container</v>
      </c>
      <c r="AL226" s="154" t="str">
        <f t="shared" si="268"/>
        <v>Catenary</v>
      </c>
      <c r="AM226" s="164">
        <f t="shared" si="260"/>
        <v>0.98382737971665579</v>
      </c>
    </row>
    <row r="227" spans="33:39" x14ac:dyDescent="0.25">
      <c r="AG227" s="154" t="s">
        <v>87</v>
      </c>
      <c r="AH227" s="154" t="s">
        <v>421</v>
      </c>
      <c r="AI227" s="154">
        <v>2034</v>
      </c>
      <c r="AJ227" s="154" t="str">
        <f t="shared" ref="AJ227:AL227" si="269">A35</f>
        <v>Rail</v>
      </c>
      <c r="AK227" s="154" t="str">
        <f t="shared" si="269"/>
        <v>Container</v>
      </c>
      <c r="AL227" s="154" t="str">
        <f t="shared" si="269"/>
        <v>Battery</v>
      </c>
      <c r="AM227" s="164">
        <f t="shared" si="260"/>
        <v>0.98631607342809213</v>
      </c>
    </row>
    <row r="228" spans="33:39" x14ac:dyDescent="0.25">
      <c r="AG228" s="154" t="s">
        <v>103</v>
      </c>
      <c r="AH228" s="154" t="s">
        <v>421</v>
      </c>
      <c r="AI228" s="154">
        <v>2034</v>
      </c>
      <c r="AJ228" s="154" t="str">
        <f t="shared" ref="AJ228:AL228" si="270">A36</f>
        <v>Rail</v>
      </c>
      <c r="AK228" s="154" t="str">
        <f t="shared" si="270"/>
        <v>Container</v>
      </c>
      <c r="AL228" s="154" t="str">
        <f t="shared" si="270"/>
        <v>Hydrogen</v>
      </c>
      <c r="AM228" s="164">
        <f t="shared" si="260"/>
        <v>0.97580076241328517</v>
      </c>
    </row>
    <row r="229" spans="33:39" x14ac:dyDescent="0.25">
      <c r="AG229" s="154" t="s">
        <v>423</v>
      </c>
      <c r="AH229" s="154" t="s">
        <v>421</v>
      </c>
      <c r="AI229" s="154">
        <v>2034</v>
      </c>
      <c r="AJ229" s="154" t="str">
        <f t="shared" ref="AJ229:AL229" si="271">A37</f>
        <v>Rail</v>
      </c>
      <c r="AK229" s="154" t="str">
        <f t="shared" si="271"/>
        <v>Break bulk</v>
      </c>
      <c r="AL229" s="154" t="str">
        <f t="shared" si="271"/>
        <v>Diesel</v>
      </c>
      <c r="AM229" s="164">
        <f t="shared" si="260"/>
        <v>1.0244176513147685</v>
      </c>
    </row>
    <row r="230" spans="33:39" x14ac:dyDescent="0.25">
      <c r="AG230" s="154" t="s">
        <v>423</v>
      </c>
      <c r="AH230" s="154" t="s">
        <v>421</v>
      </c>
      <c r="AI230" s="154">
        <v>2034</v>
      </c>
      <c r="AJ230" s="154" t="str">
        <f t="shared" ref="AJ230:AL230" si="272">A38</f>
        <v>Rail</v>
      </c>
      <c r="AK230" s="154" t="str">
        <f t="shared" si="272"/>
        <v>Break bulk</v>
      </c>
      <c r="AL230" s="154" t="str">
        <f t="shared" si="272"/>
        <v>Catenary</v>
      </c>
      <c r="AM230" s="164">
        <f t="shared" si="260"/>
        <v>0.99007878892177648</v>
      </c>
    </row>
    <row r="231" spans="33:39" x14ac:dyDescent="0.25">
      <c r="AG231" s="154" t="s">
        <v>87</v>
      </c>
      <c r="AH231" s="154" t="s">
        <v>421</v>
      </c>
      <c r="AI231" s="154">
        <v>2034</v>
      </c>
      <c r="AJ231" s="154" t="str">
        <f t="shared" ref="AJ231:AL231" si="273">A39</f>
        <v>Rail</v>
      </c>
      <c r="AK231" s="154" t="str">
        <f t="shared" si="273"/>
        <v>Break bulk</v>
      </c>
      <c r="AL231" s="154" t="str">
        <f t="shared" si="273"/>
        <v>Battery</v>
      </c>
      <c r="AM231" s="164">
        <f t="shared" si="260"/>
        <v>0.99088875252714015</v>
      </c>
    </row>
    <row r="232" spans="33:39" x14ac:dyDescent="0.25">
      <c r="AG232" s="154" t="s">
        <v>103</v>
      </c>
      <c r="AH232" s="154" t="s">
        <v>421</v>
      </c>
      <c r="AI232" s="154">
        <v>2034</v>
      </c>
      <c r="AJ232" s="154" t="str">
        <f t="shared" ref="AJ232:AL232" si="274">A40</f>
        <v>Rail</v>
      </c>
      <c r="AK232" s="154" t="str">
        <f t="shared" si="274"/>
        <v>Break bulk</v>
      </c>
      <c r="AL232" s="154" t="str">
        <f t="shared" si="274"/>
        <v>Hydrogen</v>
      </c>
      <c r="AM232" s="164">
        <f t="shared" si="260"/>
        <v>0.98316109791249662</v>
      </c>
    </row>
    <row r="233" spans="33:39" x14ac:dyDescent="0.25">
      <c r="AG233" s="154" t="s">
        <v>423</v>
      </c>
      <c r="AH233" s="154" t="s">
        <v>421</v>
      </c>
      <c r="AI233" s="154">
        <v>2034</v>
      </c>
      <c r="AJ233" s="154" t="str">
        <f t="shared" ref="AJ233:AL233" si="275">A41</f>
        <v>Rail</v>
      </c>
      <c r="AK233" s="154" t="str">
        <f t="shared" si="275"/>
        <v>Neo bulk</v>
      </c>
      <c r="AL233" s="154" t="str">
        <f t="shared" si="275"/>
        <v>Diesel</v>
      </c>
      <c r="AM233" s="164">
        <f t="shared" si="260"/>
        <v>1.0361307746657815</v>
      </c>
    </row>
    <row r="234" spans="33:39" x14ac:dyDescent="0.25">
      <c r="AG234" s="154" t="s">
        <v>423</v>
      </c>
      <c r="AH234" s="154" t="s">
        <v>421</v>
      </c>
      <c r="AI234" s="154">
        <v>2034</v>
      </c>
      <c r="AJ234" s="154" t="str">
        <f t="shared" ref="AJ234:AL234" si="276">A42</f>
        <v>Rail</v>
      </c>
      <c r="AK234" s="154" t="str">
        <f t="shared" si="276"/>
        <v>Neo bulk</v>
      </c>
      <c r="AL234" s="154" t="str">
        <f t="shared" si="276"/>
        <v>Catenary</v>
      </c>
      <c r="AM234" s="164">
        <f t="shared" si="260"/>
        <v>0.98456769612244088</v>
      </c>
    </row>
    <row r="235" spans="33:39" x14ac:dyDescent="0.25">
      <c r="AG235" s="154" t="s">
        <v>87</v>
      </c>
      <c r="AH235" s="154" t="s">
        <v>421</v>
      </c>
      <c r="AI235" s="154">
        <v>2034</v>
      </c>
      <c r="AJ235" s="154" t="str">
        <f>A43</f>
        <v>Rail</v>
      </c>
      <c r="AK235" s="154" t="str">
        <f>B43</f>
        <v>Neo bulk</v>
      </c>
      <c r="AL235" s="154" t="str">
        <f>C43</f>
        <v>Battery</v>
      </c>
      <c r="AM235" s="164">
        <f>S43</f>
        <v>0.9868194655673318</v>
      </c>
    </row>
    <row r="236" spans="33:39" x14ac:dyDescent="0.25">
      <c r="AG236" s="154" t="s">
        <v>103</v>
      </c>
      <c r="AH236" s="154" t="s">
        <v>421</v>
      </c>
      <c r="AI236" s="154">
        <v>2034</v>
      </c>
      <c r="AJ236" s="154" t="str">
        <f t="shared" ref="AJ236" si="277">A44</f>
        <v>Rail</v>
      </c>
      <c r="AK236" s="154" t="str">
        <f t="shared" ref="AK236" si="278">B44</f>
        <v>Neo bulk</v>
      </c>
      <c r="AL236" s="154" t="str">
        <f t="shared" ref="AL236" si="279">C44</f>
        <v>Hydrogen</v>
      </c>
      <c r="AM236" s="164">
        <f t="shared" ref="AM236" si="280">S44</f>
        <v>0.97657991526351362</v>
      </c>
    </row>
    <row r="237" spans="33:39" x14ac:dyDescent="0.25">
      <c r="AG237" s="154" t="s">
        <v>423</v>
      </c>
      <c r="AH237" s="154" t="s">
        <v>422</v>
      </c>
      <c r="AI237" s="154">
        <v>2034</v>
      </c>
      <c r="AJ237" s="154" t="str">
        <f>A25</f>
        <v>Rail</v>
      </c>
      <c r="AK237" s="154" t="str">
        <f>B25</f>
        <v>Dry bulk</v>
      </c>
      <c r="AL237" s="154" t="str">
        <f>C25</f>
        <v>Diesel</v>
      </c>
      <c r="AM237" s="164">
        <f>T25</f>
        <v>0.91311881356800995</v>
      </c>
    </row>
    <row r="238" spans="33:39" x14ac:dyDescent="0.25">
      <c r="AG238" s="154" t="s">
        <v>423</v>
      </c>
      <c r="AH238" s="154" t="s">
        <v>422</v>
      </c>
      <c r="AI238" s="154">
        <v>2034</v>
      </c>
      <c r="AJ238" s="154" t="str">
        <f t="shared" ref="AJ238:AL238" si="281">A26</f>
        <v>Rail</v>
      </c>
      <c r="AK238" s="154" t="str">
        <f t="shared" si="281"/>
        <v>Dry bulk</v>
      </c>
      <c r="AL238" s="154" t="str">
        <f t="shared" si="281"/>
        <v>Catenary</v>
      </c>
      <c r="AM238" s="164">
        <f t="shared" ref="AM238:AM253" si="282">T26</f>
        <v>1.0217422579671291</v>
      </c>
    </row>
    <row r="239" spans="33:39" x14ac:dyDescent="0.25">
      <c r="AG239" s="154" t="s">
        <v>87</v>
      </c>
      <c r="AH239" s="154" t="s">
        <v>422</v>
      </c>
      <c r="AI239" s="154">
        <v>2034</v>
      </c>
      <c r="AJ239" s="154" t="str">
        <f t="shared" ref="AJ239:AL239" si="283">A27</f>
        <v>Rail</v>
      </c>
      <c r="AK239" s="154" t="str">
        <f t="shared" si="283"/>
        <v>Dry bulk</v>
      </c>
      <c r="AL239" s="154" t="str">
        <f t="shared" si="283"/>
        <v>Battery</v>
      </c>
      <c r="AM239" s="164">
        <f t="shared" si="282"/>
        <v>1.0186173802192049</v>
      </c>
    </row>
    <row r="240" spans="33:39" x14ac:dyDescent="0.25">
      <c r="AG240" s="154" t="s">
        <v>103</v>
      </c>
      <c r="AH240" s="154" t="s">
        <v>422</v>
      </c>
      <c r="AI240" s="154">
        <v>2034</v>
      </c>
      <c r="AJ240" s="154" t="str">
        <f t="shared" ref="AJ240:AL240" si="284">A28</f>
        <v>Rail</v>
      </c>
      <c r="AK240" s="154" t="str">
        <f t="shared" si="284"/>
        <v>Dry bulk</v>
      </c>
      <c r="AL240" s="154" t="str">
        <f t="shared" si="284"/>
        <v>Hydrogen</v>
      </c>
      <c r="AM240" s="164">
        <f t="shared" si="282"/>
        <v>1.0331873460605747</v>
      </c>
    </row>
    <row r="241" spans="33:39" x14ac:dyDescent="0.25">
      <c r="AG241" s="154" t="s">
        <v>423</v>
      </c>
      <c r="AH241" s="154" t="s">
        <v>422</v>
      </c>
      <c r="AI241" s="154">
        <v>2034</v>
      </c>
      <c r="AJ241" s="154" t="str">
        <f t="shared" ref="AJ241:AL241" si="285">A29</f>
        <v>Rail</v>
      </c>
      <c r="AK241" s="154" t="str">
        <f t="shared" si="285"/>
        <v>Liquid bulk</v>
      </c>
      <c r="AL241" s="154" t="str">
        <f t="shared" si="285"/>
        <v>Diesel</v>
      </c>
      <c r="AM241" s="164">
        <f t="shared" si="282"/>
        <v>0.91379910353539295</v>
      </c>
    </row>
    <row r="242" spans="33:39" x14ac:dyDescent="0.25">
      <c r="AG242" s="154" t="s">
        <v>423</v>
      </c>
      <c r="AH242" s="154" t="s">
        <v>422</v>
      </c>
      <c r="AI242" s="154">
        <v>2034</v>
      </c>
      <c r="AJ242" s="154" t="str">
        <f t="shared" ref="AJ242:AL242" si="286">A30</f>
        <v>Rail</v>
      </c>
      <c r="AK242" s="154" t="str">
        <f t="shared" si="286"/>
        <v>Liquid bulk</v>
      </c>
      <c r="AL242" s="154" t="str">
        <f t="shared" si="286"/>
        <v>Catenary</v>
      </c>
      <c r="AM242" s="164">
        <f t="shared" si="282"/>
        <v>1.0215457171702307</v>
      </c>
    </row>
    <row r="243" spans="33:39" x14ac:dyDescent="0.25">
      <c r="AG243" s="154" t="s">
        <v>87</v>
      </c>
      <c r="AH243" s="154" t="s">
        <v>422</v>
      </c>
      <c r="AI243" s="154">
        <v>2034</v>
      </c>
      <c r="AJ243" s="154" t="str">
        <f t="shared" ref="AJ243:AL243" si="287">A31</f>
        <v>Rail</v>
      </c>
      <c r="AK243" s="154" t="str">
        <f t="shared" si="287"/>
        <v>Liquid bulk</v>
      </c>
      <c r="AL243" s="154" t="str">
        <f t="shared" si="287"/>
        <v>Battery</v>
      </c>
      <c r="AM243" s="164">
        <f t="shared" si="282"/>
        <v>1.0184821746374093</v>
      </c>
    </row>
    <row r="244" spans="33:39" x14ac:dyDescent="0.25">
      <c r="AG244" s="154" t="s">
        <v>103</v>
      </c>
      <c r="AH244" s="154" t="s">
        <v>422</v>
      </c>
      <c r="AI244" s="154">
        <v>2034</v>
      </c>
      <c r="AJ244" s="154" t="str">
        <f t="shared" ref="AJ244:AL244" si="288">A32</f>
        <v>Rail</v>
      </c>
      <c r="AK244" s="154" t="str">
        <f t="shared" si="288"/>
        <v>Liquid bulk</v>
      </c>
      <c r="AL244" s="154" t="str">
        <f t="shared" si="288"/>
        <v>Hydrogen</v>
      </c>
      <c r="AM244" s="164">
        <f t="shared" si="282"/>
        <v>1.032975565642801</v>
      </c>
    </row>
    <row r="245" spans="33:39" x14ac:dyDescent="0.25">
      <c r="AG245" s="154" t="s">
        <v>423</v>
      </c>
      <c r="AH245" s="154" t="s">
        <v>422</v>
      </c>
      <c r="AI245" s="154">
        <v>2034</v>
      </c>
      <c r="AJ245" s="154" t="str">
        <f t="shared" ref="AJ245:AL245" si="289">A33</f>
        <v>Rail</v>
      </c>
      <c r="AK245" s="154" t="str">
        <f t="shared" si="289"/>
        <v>Container</v>
      </c>
      <c r="AL245" s="154" t="str">
        <f t="shared" si="289"/>
        <v>Diesel</v>
      </c>
      <c r="AM245" s="164">
        <f t="shared" si="282"/>
        <v>0.90848200097264742</v>
      </c>
    </row>
    <row r="246" spans="33:39" x14ac:dyDescent="0.25">
      <c r="AG246" s="154" t="s">
        <v>423</v>
      </c>
      <c r="AH246" s="154" t="s">
        <v>422</v>
      </c>
      <c r="AI246" s="154">
        <v>2034</v>
      </c>
      <c r="AJ246" s="154" t="str">
        <f t="shared" ref="AJ246:AL246" si="290">A34</f>
        <v>Rail</v>
      </c>
      <c r="AK246" s="154" t="str">
        <f t="shared" si="290"/>
        <v>Container</v>
      </c>
      <c r="AL246" s="154" t="str">
        <f t="shared" si="290"/>
        <v>Catenary</v>
      </c>
      <c r="AM246" s="164">
        <f t="shared" si="282"/>
        <v>1.0230947534785499</v>
      </c>
    </row>
    <row r="247" spans="33:39" x14ac:dyDescent="0.25">
      <c r="AG247" s="154" t="s">
        <v>87</v>
      </c>
      <c r="AH247" s="154" t="s">
        <v>422</v>
      </c>
      <c r="AI247" s="154">
        <v>2034</v>
      </c>
      <c r="AJ247" s="154" t="str">
        <f t="shared" ref="AJ247:AL247" si="291">A35</f>
        <v>Rail</v>
      </c>
      <c r="AK247" s="154" t="str">
        <f t="shared" si="291"/>
        <v>Container</v>
      </c>
      <c r="AL247" s="154" t="str">
        <f t="shared" si="291"/>
        <v>Battery</v>
      </c>
      <c r="AM247" s="164">
        <f t="shared" si="282"/>
        <v>1.0195408601240865</v>
      </c>
    </row>
    <row r="248" spans="33:39" x14ac:dyDescent="0.25">
      <c r="AG248" s="154" t="s">
        <v>103</v>
      </c>
      <c r="AH248" s="154" t="s">
        <v>422</v>
      </c>
      <c r="AI248" s="154">
        <v>2034</v>
      </c>
      <c r="AJ248" s="154" t="str">
        <f t="shared" ref="AJ248:AL248" si="292">A36</f>
        <v>Rail</v>
      </c>
      <c r="AK248" s="154" t="str">
        <f t="shared" si="292"/>
        <v>Container</v>
      </c>
      <c r="AL248" s="154" t="str">
        <f t="shared" si="292"/>
        <v>Hydrogen</v>
      </c>
      <c r="AM248" s="164">
        <f t="shared" si="282"/>
        <v>1.0346204995074009</v>
      </c>
    </row>
    <row r="249" spans="33:39" x14ac:dyDescent="0.25">
      <c r="AG249" s="154" t="s">
        <v>423</v>
      </c>
      <c r="AH249" s="154" t="s">
        <v>422</v>
      </c>
      <c r="AI249" s="154">
        <v>2034</v>
      </c>
      <c r="AJ249" s="154" t="str">
        <f t="shared" ref="AJ249:AL249" si="293">A37</f>
        <v>Rail</v>
      </c>
      <c r="AK249" s="154" t="str">
        <f t="shared" si="293"/>
        <v>Break bulk</v>
      </c>
      <c r="AL249" s="154" t="str">
        <f t="shared" si="293"/>
        <v>Diesel</v>
      </c>
      <c r="AM249" s="164">
        <f t="shared" si="282"/>
        <v>0.94059586321929411</v>
      </c>
    </row>
    <row r="250" spans="33:39" x14ac:dyDescent="0.25">
      <c r="AG250" s="154" t="s">
        <v>423</v>
      </c>
      <c r="AH250" s="154" t="s">
        <v>422</v>
      </c>
      <c r="AI250" s="154">
        <v>2034</v>
      </c>
      <c r="AJ250" s="154" t="str">
        <f t="shared" ref="AJ250:AL250" si="294">A38</f>
        <v>Rail</v>
      </c>
      <c r="AK250" s="154" t="str">
        <f t="shared" si="294"/>
        <v>Break bulk</v>
      </c>
      <c r="AL250" s="154" t="str">
        <f t="shared" si="294"/>
        <v>Catenary</v>
      </c>
      <c r="AM250" s="164">
        <f t="shared" si="282"/>
        <v>1.0141676438354399</v>
      </c>
    </row>
    <row r="251" spans="33:39" x14ac:dyDescent="0.25">
      <c r="AG251" s="154" t="s">
        <v>87</v>
      </c>
      <c r="AH251" s="154" t="s">
        <v>422</v>
      </c>
      <c r="AI251" s="154">
        <v>2034</v>
      </c>
      <c r="AJ251" s="154" t="str">
        <f t="shared" ref="AJ251:AL251" si="295">A39</f>
        <v>Rail</v>
      </c>
      <c r="AK251" s="154" t="str">
        <f t="shared" si="295"/>
        <v>Break bulk</v>
      </c>
      <c r="AL251" s="154" t="str">
        <f t="shared" si="295"/>
        <v>Battery</v>
      </c>
      <c r="AM251" s="164">
        <f t="shared" si="282"/>
        <v>1.0130110032005433</v>
      </c>
    </row>
    <row r="252" spans="33:39" x14ac:dyDescent="0.25">
      <c r="AG252" s="154" t="s">
        <v>103</v>
      </c>
      <c r="AH252" s="154" t="s">
        <v>422</v>
      </c>
      <c r="AI252" s="154">
        <v>2034</v>
      </c>
      <c r="AJ252" s="154" t="str">
        <f t="shared" ref="AJ252:AL252" si="296">A40</f>
        <v>Rail</v>
      </c>
      <c r="AK252" s="154" t="str">
        <f t="shared" si="296"/>
        <v>Break bulk</v>
      </c>
      <c r="AL252" s="154" t="str">
        <f t="shared" si="296"/>
        <v>Hydrogen</v>
      </c>
      <c r="AM252" s="164">
        <f t="shared" si="282"/>
        <v>1.0240904780300037</v>
      </c>
    </row>
    <row r="253" spans="33:39" x14ac:dyDescent="0.25">
      <c r="AG253" s="154" t="s">
        <v>423</v>
      </c>
      <c r="AH253" s="154" t="s">
        <v>422</v>
      </c>
      <c r="AI253" s="154">
        <v>2034</v>
      </c>
      <c r="AJ253" s="154" t="str">
        <f t="shared" ref="AJ253:AL256" si="297">A41</f>
        <v>Rail</v>
      </c>
      <c r="AK253" s="154" t="str">
        <f t="shared" si="297"/>
        <v>Neo bulk</v>
      </c>
      <c r="AL253" s="154" t="str">
        <f t="shared" si="297"/>
        <v>Diesel</v>
      </c>
      <c r="AM253" s="164">
        <f t="shared" si="282"/>
        <v>0.91209975715638192</v>
      </c>
    </row>
    <row r="254" spans="33:39" x14ac:dyDescent="0.25">
      <c r="AG254" s="154" t="s">
        <v>423</v>
      </c>
      <c r="AH254" s="154" t="s">
        <v>422</v>
      </c>
      <c r="AI254" s="154">
        <v>2034</v>
      </c>
      <c r="AJ254" s="154" t="str">
        <f t="shared" si="297"/>
        <v>Rail</v>
      </c>
      <c r="AK254" s="154" t="str">
        <f>B42</f>
        <v>Neo bulk</v>
      </c>
      <c r="AL254" s="154" t="str">
        <f>C42</f>
        <v>Catenary</v>
      </c>
      <c r="AM254" s="164">
        <f>T42</f>
        <v>1.0220375701286546</v>
      </c>
    </row>
    <row r="255" spans="33:39" x14ac:dyDescent="0.25">
      <c r="AG255" s="154" t="s">
        <v>87</v>
      </c>
      <c r="AH255" s="154" t="s">
        <v>422</v>
      </c>
      <c r="AI255" s="154">
        <v>2034</v>
      </c>
      <c r="AJ255" s="154" t="str">
        <f t="shared" si="297"/>
        <v>Rail</v>
      </c>
      <c r="AK255" s="154" t="str">
        <f t="shared" ref="AK255:AK256" si="298">B43</f>
        <v>Neo bulk</v>
      </c>
      <c r="AL255" s="154" t="str">
        <f t="shared" ref="AL255:AL256" si="299">C43</f>
        <v>Battery</v>
      </c>
      <c r="AM255" s="164">
        <f t="shared" ref="AM255:AM256" si="300">T43</f>
        <v>1.0188220083143551</v>
      </c>
    </row>
    <row r="256" spans="33:39" x14ac:dyDescent="0.25">
      <c r="AG256" s="154" t="s">
        <v>103</v>
      </c>
      <c r="AH256" s="154" t="s">
        <v>422</v>
      </c>
      <c r="AI256" s="154">
        <v>2034</v>
      </c>
      <c r="AJ256" s="154" t="str">
        <f t="shared" si="297"/>
        <v>Rail</v>
      </c>
      <c r="AK256" s="154" t="str">
        <f t="shared" si="298"/>
        <v>Neo bulk</v>
      </c>
      <c r="AL256" s="154" t="str">
        <f t="shared" si="299"/>
        <v>Hydrogen</v>
      </c>
      <c r="AM256" s="164">
        <f t="shared" si="300"/>
        <v>1.0335058089816824</v>
      </c>
    </row>
    <row r="257" spans="33:39" x14ac:dyDescent="0.25">
      <c r="AG257" s="154" t="s">
        <v>423</v>
      </c>
      <c r="AH257" s="154" t="s">
        <v>420</v>
      </c>
      <c r="AI257" s="154">
        <v>2050</v>
      </c>
      <c r="AJ257" s="154" t="str">
        <f t="shared" ref="AJ257:AJ263" si="301">A25</f>
        <v>Rail</v>
      </c>
      <c r="AK257" s="154" t="str">
        <f>B25</f>
        <v>Dry bulk</v>
      </c>
      <c r="AL257" s="154" t="str">
        <f>C25</f>
        <v>Diesel</v>
      </c>
      <c r="AM257" s="164">
        <f>AB25</f>
        <v>1</v>
      </c>
    </row>
    <row r="258" spans="33:39" x14ac:dyDescent="0.25">
      <c r="AG258" s="154" t="s">
        <v>423</v>
      </c>
      <c r="AH258" s="154" t="s">
        <v>420</v>
      </c>
      <c r="AI258" s="154">
        <v>2050</v>
      </c>
      <c r="AJ258" s="154" t="str">
        <f t="shared" si="301"/>
        <v>Rail</v>
      </c>
      <c r="AK258" s="154" t="str">
        <f t="shared" ref="AK258:AL258" si="302">B26</f>
        <v>Dry bulk</v>
      </c>
      <c r="AL258" s="154" t="str">
        <f t="shared" si="302"/>
        <v>Catenary</v>
      </c>
      <c r="AM258" s="164">
        <f t="shared" ref="AM258:AM276" si="303">AB26</f>
        <v>1</v>
      </c>
    </row>
    <row r="259" spans="33:39" x14ac:dyDescent="0.25">
      <c r="AG259" s="154" t="s">
        <v>87</v>
      </c>
      <c r="AH259" s="154" t="s">
        <v>420</v>
      </c>
      <c r="AI259" s="154">
        <v>2050</v>
      </c>
      <c r="AJ259" s="154" t="str">
        <f t="shared" si="301"/>
        <v>Rail</v>
      </c>
      <c r="AK259" s="154" t="str">
        <f t="shared" ref="AK259:AL259" si="304">B27</f>
        <v>Dry bulk</v>
      </c>
      <c r="AL259" s="154" t="str">
        <f t="shared" si="304"/>
        <v>Battery</v>
      </c>
      <c r="AM259" s="164">
        <f t="shared" si="303"/>
        <v>1</v>
      </c>
    </row>
    <row r="260" spans="33:39" x14ac:dyDescent="0.25">
      <c r="AG260" s="154" t="s">
        <v>103</v>
      </c>
      <c r="AH260" s="154" t="s">
        <v>420</v>
      </c>
      <c r="AI260" s="154">
        <v>2050</v>
      </c>
      <c r="AJ260" s="154" t="str">
        <f t="shared" si="301"/>
        <v>Rail</v>
      </c>
      <c r="AK260" s="154" t="str">
        <f t="shared" ref="AK260:AL260" si="305">B28</f>
        <v>Dry bulk</v>
      </c>
      <c r="AL260" s="154" t="str">
        <f t="shared" si="305"/>
        <v>Hydrogen</v>
      </c>
      <c r="AM260" s="164">
        <f t="shared" si="303"/>
        <v>1</v>
      </c>
    </row>
    <row r="261" spans="33:39" x14ac:dyDescent="0.25">
      <c r="AG261" s="154" t="s">
        <v>423</v>
      </c>
      <c r="AH261" s="154" t="s">
        <v>420</v>
      </c>
      <c r="AI261" s="154">
        <v>2050</v>
      </c>
      <c r="AJ261" s="154" t="str">
        <f t="shared" si="301"/>
        <v>Rail</v>
      </c>
      <c r="AK261" s="154" t="str">
        <f t="shared" ref="AK261:AL261" si="306">B29</f>
        <v>Liquid bulk</v>
      </c>
      <c r="AL261" s="154" t="str">
        <f t="shared" si="306"/>
        <v>Diesel</v>
      </c>
      <c r="AM261" s="164">
        <f t="shared" si="303"/>
        <v>1</v>
      </c>
    </row>
    <row r="262" spans="33:39" x14ac:dyDescent="0.25">
      <c r="AG262" s="154" t="s">
        <v>423</v>
      </c>
      <c r="AH262" s="154" t="s">
        <v>420</v>
      </c>
      <c r="AI262" s="154">
        <v>2050</v>
      </c>
      <c r="AJ262" s="154" t="str">
        <f t="shared" si="301"/>
        <v>Rail</v>
      </c>
      <c r="AK262" s="154" t="str">
        <f t="shared" ref="AK262:AL262" si="307">B30</f>
        <v>Liquid bulk</v>
      </c>
      <c r="AL262" s="154" t="str">
        <f t="shared" si="307"/>
        <v>Catenary</v>
      </c>
      <c r="AM262" s="164">
        <f t="shared" si="303"/>
        <v>1</v>
      </c>
    </row>
    <row r="263" spans="33:39" x14ac:dyDescent="0.25">
      <c r="AG263" s="154" t="s">
        <v>87</v>
      </c>
      <c r="AH263" s="154" t="s">
        <v>420</v>
      </c>
      <c r="AI263" s="154">
        <v>2050</v>
      </c>
      <c r="AJ263" s="154" t="str">
        <f t="shared" si="301"/>
        <v>Rail</v>
      </c>
      <c r="AK263" s="154" t="str">
        <f t="shared" ref="AK263:AL263" si="308">B31</f>
        <v>Liquid bulk</v>
      </c>
      <c r="AL263" s="154" t="str">
        <f t="shared" si="308"/>
        <v>Battery</v>
      </c>
      <c r="AM263" s="164">
        <f t="shared" si="303"/>
        <v>1</v>
      </c>
    </row>
    <row r="264" spans="33:39" x14ac:dyDescent="0.25">
      <c r="AG264" s="154" t="s">
        <v>103</v>
      </c>
      <c r="AH264" s="154" t="s">
        <v>420</v>
      </c>
      <c r="AI264" s="154">
        <v>2050</v>
      </c>
      <c r="AJ264" s="154" t="str">
        <f t="shared" ref="AJ264:AL264" si="309">A32</f>
        <v>Rail</v>
      </c>
      <c r="AK264" s="154" t="str">
        <f t="shared" si="309"/>
        <v>Liquid bulk</v>
      </c>
      <c r="AL264" s="154" t="str">
        <f t="shared" si="309"/>
        <v>Hydrogen</v>
      </c>
      <c r="AM264" s="164">
        <f t="shared" si="303"/>
        <v>1</v>
      </c>
    </row>
    <row r="265" spans="33:39" x14ac:dyDescent="0.25">
      <c r="AG265" s="154" t="s">
        <v>423</v>
      </c>
      <c r="AH265" s="154" t="s">
        <v>420</v>
      </c>
      <c r="AI265" s="154">
        <v>2050</v>
      </c>
      <c r="AJ265" s="154" t="str">
        <f t="shared" ref="AJ265:AL265" si="310">A33</f>
        <v>Rail</v>
      </c>
      <c r="AK265" s="154" t="str">
        <f t="shared" si="310"/>
        <v>Container</v>
      </c>
      <c r="AL265" s="154" t="str">
        <f t="shared" si="310"/>
        <v>Diesel</v>
      </c>
      <c r="AM265" s="164">
        <f t="shared" si="303"/>
        <v>1</v>
      </c>
    </row>
    <row r="266" spans="33:39" x14ac:dyDescent="0.25">
      <c r="AG266" s="154" t="s">
        <v>423</v>
      </c>
      <c r="AH266" s="154" t="s">
        <v>420</v>
      </c>
      <c r="AI266" s="154">
        <v>2050</v>
      </c>
      <c r="AJ266" s="154" t="str">
        <f t="shared" ref="AJ266:AL266" si="311">A34</f>
        <v>Rail</v>
      </c>
      <c r="AK266" s="154" t="str">
        <f t="shared" si="311"/>
        <v>Container</v>
      </c>
      <c r="AL266" s="154" t="str">
        <f t="shared" si="311"/>
        <v>Catenary</v>
      </c>
      <c r="AM266" s="164">
        <f t="shared" si="303"/>
        <v>1</v>
      </c>
    </row>
    <row r="267" spans="33:39" x14ac:dyDescent="0.25">
      <c r="AG267" s="154" t="s">
        <v>87</v>
      </c>
      <c r="AH267" s="154" t="s">
        <v>420</v>
      </c>
      <c r="AI267" s="154">
        <v>2050</v>
      </c>
      <c r="AJ267" s="154" t="str">
        <f t="shared" ref="AJ267:AL267" si="312">A35</f>
        <v>Rail</v>
      </c>
      <c r="AK267" s="154" t="str">
        <f t="shared" si="312"/>
        <v>Container</v>
      </c>
      <c r="AL267" s="154" t="str">
        <f t="shared" si="312"/>
        <v>Battery</v>
      </c>
      <c r="AM267" s="164">
        <f t="shared" si="303"/>
        <v>1</v>
      </c>
    </row>
    <row r="268" spans="33:39" x14ac:dyDescent="0.25">
      <c r="AG268" s="154" t="s">
        <v>103</v>
      </c>
      <c r="AH268" s="154" t="s">
        <v>420</v>
      </c>
      <c r="AI268" s="154">
        <v>2050</v>
      </c>
      <c r="AJ268" s="154" t="str">
        <f t="shared" ref="AJ268:AL268" si="313">A36</f>
        <v>Rail</v>
      </c>
      <c r="AK268" s="154" t="str">
        <f t="shared" si="313"/>
        <v>Container</v>
      </c>
      <c r="AL268" s="154" t="str">
        <f t="shared" si="313"/>
        <v>Hydrogen</v>
      </c>
      <c r="AM268" s="164">
        <f t="shared" si="303"/>
        <v>1</v>
      </c>
    </row>
    <row r="269" spans="33:39" x14ac:dyDescent="0.25">
      <c r="AG269" s="154" t="s">
        <v>423</v>
      </c>
      <c r="AH269" s="154" t="s">
        <v>420</v>
      </c>
      <c r="AI269" s="154">
        <v>2050</v>
      </c>
      <c r="AJ269" s="154" t="str">
        <f t="shared" ref="AJ269:AL269" si="314">A37</f>
        <v>Rail</v>
      </c>
      <c r="AK269" s="154" t="str">
        <f t="shared" si="314"/>
        <v>Break bulk</v>
      </c>
      <c r="AL269" s="154" t="str">
        <f t="shared" si="314"/>
        <v>Diesel</v>
      </c>
      <c r="AM269" s="164">
        <f t="shared" si="303"/>
        <v>1</v>
      </c>
    </row>
    <row r="270" spans="33:39" x14ac:dyDescent="0.25">
      <c r="AG270" s="154" t="s">
        <v>423</v>
      </c>
      <c r="AH270" s="154" t="s">
        <v>420</v>
      </c>
      <c r="AI270" s="154">
        <v>2050</v>
      </c>
      <c r="AJ270" s="154" t="str">
        <f t="shared" ref="AJ270:AL270" si="315">A38</f>
        <v>Rail</v>
      </c>
      <c r="AK270" s="154" t="str">
        <f t="shared" si="315"/>
        <v>Break bulk</v>
      </c>
      <c r="AL270" s="154" t="str">
        <f t="shared" si="315"/>
        <v>Catenary</v>
      </c>
      <c r="AM270" s="164">
        <f t="shared" si="303"/>
        <v>1</v>
      </c>
    </row>
    <row r="271" spans="33:39" x14ac:dyDescent="0.25">
      <c r="AG271" s="154" t="s">
        <v>87</v>
      </c>
      <c r="AH271" s="154" t="s">
        <v>420</v>
      </c>
      <c r="AI271" s="154">
        <v>2050</v>
      </c>
      <c r="AJ271" s="154" t="str">
        <f t="shared" ref="AJ271:AL271" si="316">A39</f>
        <v>Rail</v>
      </c>
      <c r="AK271" s="154" t="str">
        <f t="shared" si="316"/>
        <v>Break bulk</v>
      </c>
      <c r="AL271" s="154" t="str">
        <f t="shared" si="316"/>
        <v>Battery</v>
      </c>
      <c r="AM271" s="164">
        <f t="shared" si="303"/>
        <v>1</v>
      </c>
    </row>
    <row r="272" spans="33:39" x14ac:dyDescent="0.25">
      <c r="AG272" s="154" t="s">
        <v>103</v>
      </c>
      <c r="AH272" s="154" t="s">
        <v>420</v>
      </c>
      <c r="AI272" s="154">
        <v>2050</v>
      </c>
      <c r="AJ272" s="154" t="str">
        <f t="shared" ref="AJ272:AL272" si="317">A40</f>
        <v>Rail</v>
      </c>
      <c r="AK272" s="154" t="str">
        <f t="shared" si="317"/>
        <v>Break bulk</v>
      </c>
      <c r="AL272" s="154" t="str">
        <f t="shared" si="317"/>
        <v>Hydrogen</v>
      </c>
      <c r="AM272" s="164">
        <f t="shared" si="303"/>
        <v>1</v>
      </c>
    </row>
    <row r="273" spans="33:39" x14ac:dyDescent="0.25">
      <c r="AG273" s="154" t="s">
        <v>423</v>
      </c>
      <c r="AH273" s="154" t="s">
        <v>420</v>
      </c>
      <c r="AI273" s="154">
        <v>2050</v>
      </c>
      <c r="AJ273" s="154" t="str">
        <f t="shared" ref="AJ273:AL273" si="318">A41</f>
        <v>Rail</v>
      </c>
      <c r="AK273" s="154" t="str">
        <f t="shared" si="318"/>
        <v>Neo bulk</v>
      </c>
      <c r="AL273" s="154" t="str">
        <f t="shared" si="318"/>
        <v>Diesel</v>
      </c>
      <c r="AM273" s="164">
        <f t="shared" si="303"/>
        <v>1</v>
      </c>
    </row>
    <row r="274" spans="33:39" x14ac:dyDescent="0.25">
      <c r="AG274" s="154" t="s">
        <v>423</v>
      </c>
      <c r="AH274" s="154" t="s">
        <v>420</v>
      </c>
      <c r="AI274" s="154">
        <v>2050</v>
      </c>
      <c r="AJ274" s="154" t="str">
        <f t="shared" ref="AJ274:AL274" si="319">A42</f>
        <v>Rail</v>
      </c>
      <c r="AK274" s="154" t="str">
        <f t="shared" si="319"/>
        <v>Neo bulk</v>
      </c>
      <c r="AL274" s="154" t="str">
        <f t="shared" si="319"/>
        <v>Catenary</v>
      </c>
      <c r="AM274" s="164">
        <f t="shared" si="303"/>
        <v>1</v>
      </c>
    </row>
    <row r="275" spans="33:39" x14ac:dyDescent="0.25">
      <c r="AG275" s="154" t="s">
        <v>87</v>
      </c>
      <c r="AH275" s="154" t="s">
        <v>420</v>
      </c>
      <c r="AI275" s="154">
        <v>2050</v>
      </c>
      <c r="AJ275" s="154" t="str">
        <f t="shared" ref="AJ275:AL275" si="320">A43</f>
        <v>Rail</v>
      </c>
      <c r="AK275" s="154" t="str">
        <f t="shared" si="320"/>
        <v>Neo bulk</v>
      </c>
      <c r="AL275" s="154" t="str">
        <f t="shared" si="320"/>
        <v>Battery</v>
      </c>
      <c r="AM275" s="164">
        <f t="shared" si="303"/>
        <v>1</v>
      </c>
    </row>
    <row r="276" spans="33:39" x14ac:dyDescent="0.25">
      <c r="AG276" s="154" t="s">
        <v>103</v>
      </c>
      <c r="AH276" s="154" t="s">
        <v>420</v>
      </c>
      <c r="AI276" s="154">
        <v>2050</v>
      </c>
      <c r="AJ276" s="154" t="str">
        <f t="shared" ref="AJ276:AL276" si="321">A44</f>
        <v>Rail</v>
      </c>
      <c r="AK276" s="154" t="str">
        <f t="shared" si="321"/>
        <v>Neo bulk</v>
      </c>
      <c r="AL276" s="154" t="str">
        <f t="shared" si="321"/>
        <v>Hydrogen</v>
      </c>
      <c r="AM276" s="164">
        <f t="shared" si="303"/>
        <v>1</v>
      </c>
    </row>
    <row r="277" spans="33:39" x14ac:dyDescent="0.25">
      <c r="AG277" s="154" t="s">
        <v>423</v>
      </c>
      <c r="AH277" s="154" t="s">
        <v>421</v>
      </c>
      <c r="AI277" s="154">
        <v>2050</v>
      </c>
      <c r="AJ277" s="154" t="str">
        <f>A25</f>
        <v>Rail</v>
      </c>
      <c r="AK277" s="154" t="str">
        <f>B25</f>
        <v>Dry bulk</v>
      </c>
      <c r="AL277" s="154" t="str">
        <f>C25</f>
        <v>Diesel</v>
      </c>
      <c r="AM277" s="164">
        <f>AC25</f>
        <v>1.0628816928955782</v>
      </c>
    </row>
    <row r="278" spans="33:39" x14ac:dyDescent="0.25">
      <c r="AG278" s="154" t="s">
        <v>423</v>
      </c>
      <c r="AH278" s="154" t="s">
        <v>421</v>
      </c>
      <c r="AI278" s="154">
        <v>2050</v>
      </c>
      <c r="AJ278" s="154" t="str">
        <f t="shared" ref="AJ278:AL278" si="322">A26</f>
        <v>Rail</v>
      </c>
      <c r="AK278" s="154" t="str">
        <f t="shared" si="322"/>
        <v>Dry bulk</v>
      </c>
      <c r="AL278" s="154" t="str">
        <f t="shared" si="322"/>
        <v>Catenary</v>
      </c>
      <c r="AM278" s="164">
        <f t="shared" ref="AM278:AM296" si="323">AC26</f>
        <v>0.98066648848677651</v>
      </c>
    </row>
    <row r="279" spans="33:39" x14ac:dyDescent="0.25">
      <c r="AG279" s="154" t="s">
        <v>87</v>
      </c>
      <c r="AH279" s="154" t="s">
        <v>421</v>
      </c>
      <c r="AI279" s="154">
        <v>2050</v>
      </c>
      <c r="AJ279" s="154" t="str">
        <f t="shared" ref="AJ279:AL279" si="324">A27</f>
        <v>Rail</v>
      </c>
      <c r="AK279" s="154" t="str">
        <f t="shared" si="324"/>
        <v>Dry bulk</v>
      </c>
      <c r="AL279" s="154" t="str">
        <f t="shared" si="324"/>
        <v>Battery</v>
      </c>
      <c r="AM279" s="164">
        <f t="shared" si="323"/>
        <v>0.98118018652284367</v>
      </c>
    </row>
    <row r="280" spans="33:39" x14ac:dyDescent="0.25">
      <c r="AG280" s="154" t="s">
        <v>103</v>
      </c>
      <c r="AH280" s="154" t="s">
        <v>421</v>
      </c>
      <c r="AI280" s="154">
        <v>2050</v>
      </c>
      <c r="AJ280" s="154" t="str">
        <f t="shared" ref="AJ280:AL280" si="325">A28</f>
        <v>Rail</v>
      </c>
      <c r="AK280" s="154" t="str">
        <f t="shared" si="325"/>
        <v>Dry bulk</v>
      </c>
      <c r="AL280" s="154" t="str">
        <f t="shared" si="325"/>
        <v>Hydrogen</v>
      </c>
      <c r="AM280" s="164">
        <f t="shared" si="323"/>
        <v>0.9667705247070536</v>
      </c>
    </row>
    <row r="281" spans="33:39" x14ac:dyDescent="0.25">
      <c r="AG281" s="154" t="s">
        <v>423</v>
      </c>
      <c r="AH281" s="154" t="s">
        <v>421</v>
      </c>
      <c r="AI281" s="154">
        <v>2050</v>
      </c>
      <c r="AJ281" s="154" t="str">
        <f t="shared" ref="AJ281:AL281" si="326">A29</f>
        <v>Rail</v>
      </c>
      <c r="AK281" s="154" t="str">
        <f t="shared" si="326"/>
        <v>Liquid bulk</v>
      </c>
      <c r="AL281" s="154" t="str">
        <f t="shared" si="326"/>
        <v>Diesel</v>
      </c>
      <c r="AM281" s="164">
        <f t="shared" si="323"/>
        <v>1.062376691168186</v>
      </c>
    </row>
    <row r="282" spans="33:39" x14ac:dyDescent="0.25">
      <c r="AG282" s="154" t="s">
        <v>423</v>
      </c>
      <c r="AH282" s="154" t="s">
        <v>421</v>
      </c>
      <c r="AI282" s="154">
        <v>2050</v>
      </c>
      <c r="AJ282" s="154" t="str">
        <f t="shared" ref="AJ282:AL282" si="327">A30</f>
        <v>Rail</v>
      </c>
      <c r="AK282" s="154" t="str">
        <f t="shared" si="327"/>
        <v>Liquid bulk</v>
      </c>
      <c r="AL282" s="154" t="str">
        <f t="shared" si="327"/>
        <v>Catenary</v>
      </c>
      <c r="AM282" s="164">
        <f t="shared" si="323"/>
        <v>0.98084468664129654</v>
      </c>
    </row>
    <row r="283" spans="33:39" x14ac:dyDescent="0.25">
      <c r="AG283" s="154" t="s">
        <v>87</v>
      </c>
      <c r="AH283" s="154" t="s">
        <v>421</v>
      </c>
      <c r="AI283" s="154">
        <v>2050</v>
      </c>
      <c r="AJ283" s="154" t="str">
        <f t="shared" ref="AJ283:AL283" si="328">A31</f>
        <v>Rail</v>
      </c>
      <c r="AK283" s="154" t="str">
        <f t="shared" si="328"/>
        <v>Liquid bulk</v>
      </c>
      <c r="AL283" s="154" t="str">
        <f t="shared" si="328"/>
        <v>Battery</v>
      </c>
      <c r="AM283" s="164">
        <f t="shared" si="323"/>
        <v>0.98133873459721155</v>
      </c>
    </row>
    <row r="284" spans="33:39" x14ac:dyDescent="0.25">
      <c r="AG284" s="154" t="s">
        <v>103</v>
      </c>
      <c r="AH284" s="154" t="s">
        <v>421</v>
      </c>
      <c r="AI284" s="154">
        <v>2050</v>
      </c>
      <c r="AJ284" s="154" t="str">
        <f t="shared" ref="AJ284:AL284" si="329">A32</f>
        <v>Rail</v>
      </c>
      <c r="AK284" s="154" t="str">
        <f t="shared" si="329"/>
        <v>Liquid bulk</v>
      </c>
      <c r="AL284" s="154" t="str">
        <f t="shared" si="329"/>
        <v>Hydrogen</v>
      </c>
      <c r="AM284" s="164">
        <f t="shared" si="323"/>
        <v>0.96706028296676316</v>
      </c>
    </row>
    <row r="285" spans="33:39" x14ac:dyDescent="0.25">
      <c r="AG285" s="154" t="s">
        <v>423</v>
      </c>
      <c r="AH285" s="154" t="s">
        <v>421</v>
      </c>
      <c r="AI285" s="154">
        <v>2050</v>
      </c>
      <c r="AJ285" s="154" t="str">
        <f t="shared" ref="AJ285:AL285" si="330">A33</f>
        <v>Rail</v>
      </c>
      <c r="AK285" s="154" t="str">
        <f t="shared" si="330"/>
        <v>Container</v>
      </c>
      <c r="AL285" s="154" t="str">
        <f t="shared" si="330"/>
        <v>Diesel</v>
      </c>
      <c r="AM285" s="164">
        <f t="shared" si="323"/>
        <v>1.0663292072286992</v>
      </c>
    </row>
    <row r="286" spans="33:39" x14ac:dyDescent="0.25">
      <c r="AG286" s="154" t="s">
        <v>423</v>
      </c>
      <c r="AH286" s="154" t="s">
        <v>421</v>
      </c>
      <c r="AI286" s="154">
        <v>2050</v>
      </c>
      <c r="AJ286" s="154" t="str">
        <f t="shared" ref="AJ286:AL286" si="331">A34</f>
        <v>Rail</v>
      </c>
      <c r="AK286" s="154" t="str">
        <f t="shared" si="331"/>
        <v>Container</v>
      </c>
      <c r="AL286" s="154" t="str">
        <f t="shared" si="331"/>
        <v>Catenary</v>
      </c>
      <c r="AM286" s="164">
        <f t="shared" si="323"/>
        <v>0.97943848441150672</v>
      </c>
    </row>
    <row r="287" spans="33:39" x14ac:dyDescent="0.25">
      <c r="AG287" s="154" t="s">
        <v>87</v>
      </c>
      <c r="AH287" s="154" t="s">
        <v>421</v>
      </c>
      <c r="AI287" s="154">
        <v>2050</v>
      </c>
      <c r="AJ287" s="154" t="str">
        <f t="shared" ref="AJ287:AL287" si="332">A35</f>
        <v>Rail</v>
      </c>
      <c r="AK287" s="154" t="str">
        <f t="shared" si="332"/>
        <v>Container</v>
      </c>
      <c r="AL287" s="154" t="str">
        <f t="shared" si="332"/>
        <v>Battery</v>
      </c>
      <c r="AM287" s="164">
        <f t="shared" si="323"/>
        <v>0.98008984058990267</v>
      </c>
    </row>
    <row r="288" spans="33:39" x14ac:dyDescent="0.25">
      <c r="AG288" s="154" t="s">
        <v>103</v>
      </c>
      <c r="AH288" s="154" t="s">
        <v>421</v>
      </c>
      <c r="AI288" s="154">
        <v>2050</v>
      </c>
      <c r="AJ288" s="154" t="str">
        <f t="shared" ref="AJ288:AL288" si="333">A36</f>
        <v>Rail</v>
      </c>
      <c r="AK288" s="154" t="str">
        <f t="shared" si="333"/>
        <v>Container</v>
      </c>
      <c r="AL288" s="154" t="str">
        <f t="shared" si="333"/>
        <v>Hydrogen</v>
      </c>
      <c r="AM288" s="164">
        <f t="shared" si="323"/>
        <v>0.96477316930373147</v>
      </c>
    </row>
    <row r="289" spans="33:39" x14ac:dyDescent="0.25">
      <c r="AG289" s="154" t="s">
        <v>423</v>
      </c>
      <c r="AH289" s="154" t="s">
        <v>421</v>
      </c>
      <c r="AI289" s="154">
        <v>2050</v>
      </c>
      <c r="AJ289" s="154" t="str">
        <f t="shared" ref="AJ289:AL289" si="334">A37</f>
        <v>Rail</v>
      </c>
      <c r="AK289" s="154" t="str">
        <f t="shared" si="334"/>
        <v>Break bulk</v>
      </c>
      <c r="AL289" s="154" t="str">
        <f t="shared" si="334"/>
        <v>Diesel</v>
      </c>
      <c r="AM289" s="164">
        <f t="shared" si="323"/>
        <v>1.0426459406464745</v>
      </c>
    </row>
    <row r="290" spans="33:39" x14ac:dyDescent="0.25">
      <c r="AG290" s="154" t="s">
        <v>423</v>
      </c>
      <c r="AH290" s="154" t="s">
        <v>421</v>
      </c>
      <c r="AI290" s="154">
        <v>2050</v>
      </c>
      <c r="AJ290" s="154" t="str">
        <f t="shared" ref="AJ290:AL290" si="335">A38</f>
        <v>Rail</v>
      </c>
      <c r="AK290" s="154" t="str">
        <f t="shared" si="335"/>
        <v>Break bulk</v>
      </c>
      <c r="AL290" s="154" t="str">
        <f t="shared" si="335"/>
        <v>Catenary</v>
      </c>
      <c r="AM290" s="164">
        <f t="shared" si="323"/>
        <v>0.9874883170087837</v>
      </c>
    </row>
    <row r="291" spans="33:39" x14ac:dyDescent="0.25">
      <c r="AG291" s="154" t="s">
        <v>87</v>
      </c>
      <c r="AH291" s="154" t="s">
        <v>421</v>
      </c>
      <c r="AI291" s="154">
        <v>2050</v>
      </c>
      <c r="AJ291" s="154" t="str">
        <f t="shared" ref="AJ291:AL291" si="336">A39</f>
        <v>Rail</v>
      </c>
      <c r="AK291" s="154" t="str">
        <f t="shared" si="336"/>
        <v>Break bulk</v>
      </c>
      <c r="AL291" s="154" t="str">
        <f t="shared" si="336"/>
        <v>Battery</v>
      </c>
      <c r="AM291" s="164">
        <f t="shared" si="323"/>
        <v>0.98744966304684545</v>
      </c>
    </row>
    <row r="292" spans="33:39" x14ac:dyDescent="0.25">
      <c r="AG292" s="154" t="s">
        <v>103</v>
      </c>
      <c r="AH292" s="154" t="s">
        <v>421</v>
      </c>
      <c r="AI292" s="154">
        <v>2050</v>
      </c>
      <c r="AJ292" s="154" t="str">
        <f t="shared" ref="AJ292:AL292" si="337">A40</f>
        <v>Rail</v>
      </c>
      <c r="AK292" s="154" t="str">
        <f t="shared" si="337"/>
        <v>Break bulk</v>
      </c>
      <c r="AL292" s="154" t="str">
        <f t="shared" si="337"/>
        <v>Hydrogen</v>
      </c>
      <c r="AM292" s="164">
        <f t="shared" si="323"/>
        <v>0.97809833594378248</v>
      </c>
    </row>
    <row r="293" spans="33:39" x14ac:dyDescent="0.25">
      <c r="AG293" s="154" t="s">
        <v>423</v>
      </c>
      <c r="AH293" s="154" t="s">
        <v>421</v>
      </c>
      <c r="AI293" s="154">
        <v>2050</v>
      </c>
      <c r="AJ293" s="154" t="str">
        <f t="shared" ref="AJ293:AL293" si="338">A41</f>
        <v>Rail</v>
      </c>
      <c r="AK293" s="154" t="str">
        <f t="shared" si="338"/>
        <v>Neo bulk</v>
      </c>
      <c r="AL293" s="154" t="str">
        <f t="shared" si="338"/>
        <v>Diesel</v>
      </c>
      <c r="AM293" s="164">
        <f t="shared" si="323"/>
        <v>1.0636385549049889</v>
      </c>
    </row>
    <row r="294" spans="33:39" x14ac:dyDescent="0.25">
      <c r="AG294" s="154" t="s">
        <v>423</v>
      </c>
      <c r="AH294" s="154" t="s">
        <v>421</v>
      </c>
      <c r="AI294" s="154">
        <v>2050</v>
      </c>
      <c r="AJ294" s="154" t="str">
        <f t="shared" ref="AJ294:AL294" si="339">A42</f>
        <v>Rail</v>
      </c>
      <c r="AK294" s="154" t="str">
        <f t="shared" si="339"/>
        <v>Neo bulk</v>
      </c>
      <c r="AL294" s="154" t="str">
        <f t="shared" si="339"/>
        <v>Catenary</v>
      </c>
      <c r="AM294" s="164">
        <f t="shared" si="323"/>
        <v>0.98039861697836606</v>
      </c>
    </row>
    <row r="295" spans="33:39" x14ac:dyDescent="0.25">
      <c r="AG295" s="154" t="s">
        <v>87</v>
      </c>
      <c r="AH295" s="154" t="s">
        <v>421</v>
      </c>
      <c r="AI295" s="154">
        <v>2050</v>
      </c>
      <c r="AJ295" s="154" t="str">
        <f t="shared" ref="AJ295:AL295" si="340">A43</f>
        <v>Rail</v>
      </c>
      <c r="AK295" s="154" t="str">
        <f t="shared" si="340"/>
        <v>Neo bulk</v>
      </c>
      <c r="AL295" s="154" t="str">
        <f t="shared" si="340"/>
        <v>Battery</v>
      </c>
      <c r="AM295" s="164">
        <f t="shared" si="323"/>
        <v>0.98094053343434851</v>
      </c>
    </row>
    <row r="296" spans="33:39" x14ac:dyDescent="0.25">
      <c r="AG296" s="154" t="s">
        <v>103</v>
      </c>
      <c r="AH296" s="154" t="s">
        <v>421</v>
      </c>
      <c r="AI296" s="154">
        <v>2050</v>
      </c>
      <c r="AJ296" s="154" t="str">
        <f t="shared" ref="AJ296:AL296" si="341">A44</f>
        <v>Rail</v>
      </c>
      <c r="AK296" s="154" t="str">
        <f t="shared" si="341"/>
        <v>Neo bulk</v>
      </c>
      <c r="AL296" s="154" t="str">
        <f t="shared" si="341"/>
        <v>Hydrogen</v>
      </c>
      <c r="AM296" s="164">
        <f t="shared" si="323"/>
        <v>0.96633222048483269</v>
      </c>
    </row>
    <row r="297" spans="33:39" x14ac:dyDescent="0.25">
      <c r="AG297" s="154" t="s">
        <v>423</v>
      </c>
      <c r="AH297" s="154" t="s">
        <v>422</v>
      </c>
      <c r="AI297" s="154">
        <v>2050</v>
      </c>
      <c r="AJ297" s="154" t="str">
        <f>A25</f>
        <v>Rail</v>
      </c>
      <c r="AK297" s="154" t="str">
        <f t="shared" ref="AK297:AL297" si="342">B25</f>
        <v>Dry bulk</v>
      </c>
      <c r="AL297" s="154" t="str">
        <f t="shared" si="342"/>
        <v>Diesel</v>
      </c>
      <c r="AM297" s="164">
        <f>AD25</f>
        <v>0.90431046733281617</v>
      </c>
    </row>
    <row r="298" spans="33:39" x14ac:dyDescent="0.25">
      <c r="AG298" s="154" t="s">
        <v>423</v>
      </c>
      <c r="AH298" s="154" t="s">
        <v>422</v>
      </c>
      <c r="AI298" s="154">
        <v>2050</v>
      </c>
      <c r="AJ298" s="154" t="str">
        <f t="shared" ref="AJ298:AJ316" si="343">A26</f>
        <v>Rail</v>
      </c>
      <c r="AK298" s="154" t="str">
        <f t="shared" ref="AK298:AK316" si="344">B26</f>
        <v>Dry bulk</v>
      </c>
      <c r="AL298" s="154" t="str">
        <f t="shared" ref="AL298:AL316" si="345">C26</f>
        <v>Catenary</v>
      </c>
      <c r="AM298" s="164">
        <f t="shared" ref="AM298:AM316" si="346">AD26</f>
        <v>1.0181251670436473</v>
      </c>
    </row>
    <row r="299" spans="33:39" x14ac:dyDescent="0.25">
      <c r="AG299" s="154" t="s">
        <v>87</v>
      </c>
      <c r="AH299" s="154" t="s">
        <v>422</v>
      </c>
      <c r="AI299" s="154">
        <v>2050</v>
      </c>
      <c r="AJ299" s="154" t="str">
        <f t="shared" si="343"/>
        <v>Rail</v>
      </c>
      <c r="AK299" s="154" t="str">
        <f t="shared" si="344"/>
        <v>Dry bulk</v>
      </c>
      <c r="AL299" s="154" t="str">
        <f t="shared" si="345"/>
        <v>Battery</v>
      </c>
      <c r="AM299" s="164">
        <f t="shared" si="346"/>
        <v>1.0176435751348338</v>
      </c>
    </row>
    <row r="300" spans="33:39" x14ac:dyDescent="0.25">
      <c r="AG300" s="154" t="s">
        <v>103</v>
      </c>
      <c r="AH300" s="154" t="s">
        <v>422</v>
      </c>
      <c r="AI300" s="154">
        <v>2050</v>
      </c>
      <c r="AJ300" s="154" t="str">
        <f t="shared" si="343"/>
        <v>Rail</v>
      </c>
      <c r="AK300" s="154" t="str">
        <f t="shared" si="344"/>
        <v>Dry bulk</v>
      </c>
      <c r="AL300" s="154" t="str">
        <f t="shared" si="345"/>
        <v>Hydrogen</v>
      </c>
      <c r="AM300" s="164">
        <f t="shared" si="346"/>
        <v>1.0311526330871377</v>
      </c>
    </row>
    <row r="301" spans="33:39" x14ac:dyDescent="0.25">
      <c r="AG301" s="154" t="s">
        <v>423</v>
      </c>
      <c r="AH301" s="154" t="s">
        <v>422</v>
      </c>
      <c r="AI301" s="154">
        <v>2050</v>
      </c>
      <c r="AJ301" s="154" t="str">
        <f t="shared" si="343"/>
        <v>Rail</v>
      </c>
      <c r="AK301" s="154" t="str">
        <f t="shared" si="344"/>
        <v>Liquid bulk</v>
      </c>
      <c r="AL301" s="154" t="str">
        <f t="shared" si="345"/>
        <v>Diesel</v>
      </c>
      <c r="AM301" s="164">
        <f t="shared" si="346"/>
        <v>0.90507894822232582</v>
      </c>
    </row>
    <row r="302" spans="33:39" x14ac:dyDescent="0.25">
      <c r="AG302" s="154" t="s">
        <v>423</v>
      </c>
      <c r="AH302" s="154" t="s">
        <v>422</v>
      </c>
      <c r="AI302" s="154">
        <v>2050</v>
      </c>
      <c r="AJ302" s="154" t="str">
        <f t="shared" si="343"/>
        <v>Rail</v>
      </c>
      <c r="AK302" s="154" t="str">
        <f t="shared" si="344"/>
        <v>Liquid bulk</v>
      </c>
      <c r="AL302" s="154" t="str">
        <f t="shared" si="345"/>
        <v>Catenary</v>
      </c>
      <c r="AM302" s="164">
        <f t="shared" si="346"/>
        <v>1.0179581062737844</v>
      </c>
    </row>
    <row r="303" spans="33:39" x14ac:dyDescent="0.25">
      <c r="AG303" s="154" t="s">
        <v>87</v>
      </c>
      <c r="AH303" s="154" t="s">
        <v>422</v>
      </c>
      <c r="AI303" s="154">
        <v>2050</v>
      </c>
      <c r="AJ303" s="154" t="str">
        <f t="shared" si="343"/>
        <v>Rail</v>
      </c>
      <c r="AK303" s="154" t="str">
        <f t="shared" si="344"/>
        <v>Liquid bulk</v>
      </c>
      <c r="AL303" s="154" t="str">
        <f t="shared" si="345"/>
        <v>Battery</v>
      </c>
      <c r="AM303" s="164">
        <f t="shared" si="346"/>
        <v>1.0174949363151145</v>
      </c>
    </row>
    <row r="304" spans="33:39" x14ac:dyDescent="0.25">
      <c r="AG304" s="154" t="s">
        <v>103</v>
      </c>
      <c r="AH304" s="154" t="s">
        <v>422</v>
      </c>
      <c r="AI304" s="154">
        <v>2050</v>
      </c>
      <c r="AJ304" s="154" t="str">
        <f t="shared" si="343"/>
        <v>Rail</v>
      </c>
      <c r="AK304" s="154" t="str">
        <f t="shared" si="344"/>
        <v>Liquid bulk</v>
      </c>
      <c r="AL304" s="154" t="str">
        <f t="shared" si="345"/>
        <v>Hydrogen</v>
      </c>
      <c r="AM304" s="164">
        <f t="shared" si="346"/>
        <v>1.0308809847186597</v>
      </c>
    </row>
    <row r="305" spans="33:39" x14ac:dyDescent="0.25">
      <c r="AG305" s="154" t="s">
        <v>423</v>
      </c>
      <c r="AH305" s="154" t="s">
        <v>422</v>
      </c>
      <c r="AI305" s="154">
        <v>2050</v>
      </c>
      <c r="AJ305" s="154" t="str">
        <f t="shared" si="343"/>
        <v>Rail</v>
      </c>
      <c r="AK305" s="154" t="str">
        <f t="shared" si="344"/>
        <v>Container</v>
      </c>
      <c r="AL305" s="154" t="str">
        <f t="shared" si="345"/>
        <v>Diesel</v>
      </c>
      <c r="AM305" s="164">
        <f t="shared" si="346"/>
        <v>0.89906424986937139</v>
      </c>
    </row>
    <row r="306" spans="33:39" x14ac:dyDescent="0.25">
      <c r="AG306" s="154" t="s">
        <v>423</v>
      </c>
      <c r="AH306" s="154" t="s">
        <v>422</v>
      </c>
      <c r="AI306" s="154">
        <v>2050</v>
      </c>
      <c r="AJ306" s="154" t="str">
        <f t="shared" si="343"/>
        <v>Rail</v>
      </c>
      <c r="AK306" s="154" t="str">
        <f t="shared" si="344"/>
        <v>Container</v>
      </c>
      <c r="AL306" s="154" t="str">
        <f t="shared" si="345"/>
        <v>Catenary</v>
      </c>
      <c r="AM306" s="164">
        <f t="shared" si="346"/>
        <v>1.0192764208642127</v>
      </c>
    </row>
    <row r="307" spans="33:39" x14ac:dyDescent="0.25">
      <c r="AG307" s="154" t="s">
        <v>87</v>
      </c>
      <c r="AH307" s="154" t="s">
        <v>422</v>
      </c>
      <c r="AI307" s="154">
        <v>2050</v>
      </c>
      <c r="AJ307" s="154" t="str">
        <f t="shared" si="343"/>
        <v>Rail</v>
      </c>
      <c r="AK307" s="154" t="str">
        <f t="shared" si="344"/>
        <v>Container</v>
      </c>
      <c r="AL307" s="154" t="str">
        <f t="shared" si="345"/>
        <v>Battery</v>
      </c>
      <c r="AM307" s="164">
        <f t="shared" si="346"/>
        <v>1.0186657744469665</v>
      </c>
    </row>
    <row r="308" spans="33:39" x14ac:dyDescent="0.25">
      <c r="AG308" s="154" t="s">
        <v>103</v>
      </c>
      <c r="AH308" s="154" t="s">
        <v>422</v>
      </c>
      <c r="AI308" s="154">
        <v>2050</v>
      </c>
      <c r="AJ308" s="154" t="str">
        <f t="shared" si="343"/>
        <v>Rail</v>
      </c>
      <c r="AK308" s="154" t="str">
        <f t="shared" si="344"/>
        <v>Container</v>
      </c>
      <c r="AL308" s="154" t="str">
        <f t="shared" si="345"/>
        <v>Hydrogen</v>
      </c>
      <c r="AM308" s="164">
        <f t="shared" si="346"/>
        <v>1.0330251537777524</v>
      </c>
    </row>
    <row r="309" spans="33:39" x14ac:dyDescent="0.25">
      <c r="AG309" s="154" t="s">
        <v>423</v>
      </c>
      <c r="AH309" s="154" t="s">
        <v>422</v>
      </c>
      <c r="AI309" s="154">
        <v>2050</v>
      </c>
      <c r="AJ309" s="154" t="str">
        <f t="shared" si="343"/>
        <v>Rail</v>
      </c>
      <c r="AK309" s="154" t="str">
        <f t="shared" si="344"/>
        <v>Break bulk</v>
      </c>
      <c r="AL309" s="154" t="str">
        <f t="shared" si="345"/>
        <v>Diesel</v>
      </c>
      <c r="AM309" s="164">
        <f t="shared" si="346"/>
        <v>0.9351040033640603</v>
      </c>
    </row>
    <row r="310" spans="33:39" x14ac:dyDescent="0.25">
      <c r="AG310" s="154" t="s">
        <v>423</v>
      </c>
      <c r="AH310" s="154" t="s">
        <v>422</v>
      </c>
      <c r="AI310" s="154">
        <v>2050</v>
      </c>
      <c r="AJ310" s="154" t="str">
        <f t="shared" si="343"/>
        <v>Rail</v>
      </c>
      <c r="AK310" s="154" t="str">
        <f t="shared" si="344"/>
        <v>Break bulk</v>
      </c>
      <c r="AL310" s="154" t="str">
        <f t="shared" si="345"/>
        <v>Catenary</v>
      </c>
      <c r="AM310" s="164">
        <f t="shared" si="346"/>
        <v>1.0117297028042653</v>
      </c>
    </row>
    <row r="311" spans="33:39" x14ac:dyDescent="0.25">
      <c r="AG311" s="154" t="s">
        <v>87</v>
      </c>
      <c r="AH311" s="154" t="s">
        <v>422</v>
      </c>
      <c r="AI311" s="154">
        <v>2050</v>
      </c>
      <c r="AJ311" s="154" t="str">
        <f t="shared" si="343"/>
        <v>Rail</v>
      </c>
      <c r="AK311" s="154" t="str">
        <f t="shared" si="344"/>
        <v>Break bulk</v>
      </c>
      <c r="AL311" s="154" t="str">
        <f t="shared" si="345"/>
        <v>Battery</v>
      </c>
      <c r="AM311" s="164">
        <f t="shared" si="346"/>
        <v>1.0117659408935826</v>
      </c>
    </row>
    <row r="312" spans="33:39" x14ac:dyDescent="0.25">
      <c r="AG312" s="154" t="s">
        <v>103</v>
      </c>
      <c r="AH312" s="154" t="s">
        <v>422</v>
      </c>
      <c r="AI312" s="154">
        <v>2050</v>
      </c>
      <c r="AJ312" s="154" t="str">
        <f t="shared" si="343"/>
        <v>Rail</v>
      </c>
      <c r="AK312" s="154" t="str">
        <f t="shared" si="344"/>
        <v>Break bulk</v>
      </c>
      <c r="AL312" s="154" t="str">
        <f t="shared" si="345"/>
        <v>Hydrogen</v>
      </c>
      <c r="AM312" s="164">
        <f t="shared" si="346"/>
        <v>1.0205328100527036</v>
      </c>
    </row>
    <row r="313" spans="33:39" x14ac:dyDescent="0.25">
      <c r="AG313" s="154" t="s">
        <v>423</v>
      </c>
      <c r="AH313" s="154" t="s">
        <v>422</v>
      </c>
      <c r="AI313" s="154">
        <v>2050</v>
      </c>
      <c r="AJ313" s="154" t="str">
        <f t="shared" si="343"/>
        <v>Rail</v>
      </c>
      <c r="AK313" s="154" t="str">
        <f t="shared" si="344"/>
        <v>Neo bulk</v>
      </c>
      <c r="AL313" s="154" t="str">
        <f t="shared" si="345"/>
        <v>Diesel</v>
      </c>
      <c r="AM313" s="164">
        <f t="shared" si="346"/>
        <v>0.90315872079675574</v>
      </c>
    </row>
    <row r="314" spans="33:39" x14ac:dyDescent="0.25">
      <c r="AG314" s="154" t="s">
        <v>423</v>
      </c>
      <c r="AH314" s="154" t="s">
        <v>422</v>
      </c>
      <c r="AI314" s="154">
        <v>2050</v>
      </c>
      <c r="AJ314" s="154" t="str">
        <f t="shared" si="343"/>
        <v>Rail</v>
      </c>
      <c r="AK314" s="154" t="str">
        <f t="shared" si="344"/>
        <v>Neo bulk</v>
      </c>
      <c r="AL314" s="154" t="str">
        <f t="shared" si="345"/>
        <v>Catenary</v>
      </c>
      <c r="AM314" s="164">
        <f t="shared" si="346"/>
        <v>1.0183762965827818</v>
      </c>
    </row>
    <row r="315" spans="33:39" x14ac:dyDescent="0.25">
      <c r="AG315" s="154" t="s">
        <v>87</v>
      </c>
      <c r="AH315" s="154" t="s">
        <v>422</v>
      </c>
      <c r="AI315" s="154">
        <v>2050</v>
      </c>
      <c r="AJ315" s="154" t="str">
        <f t="shared" si="343"/>
        <v>Rail</v>
      </c>
      <c r="AK315" s="154" t="str">
        <f t="shared" si="344"/>
        <v>Neo bulk</v>
      </c>
      <c r="AL315" s="154" t="str">
        <f t="shared" si="345"/>
        <v>Battery</v>
      </c>
      <c r="AM315" s="164">
        <f t="shared" si="346"/>
        <v>1.0178682499052982</v>
      </c>
    </row>
    <row r="316" spans="33:39" x14ac:dyDescent="0.25">
      <c r="AG316" s="154" t="s">
        <v>103</v>
      </c>
      <c r="AH316" s="154" t="s">
        <v>422</v>
      </c>
      <c r="AI316" s="154">
        <v>2050</v>
      </c>
      <c r="AJ316" s="154" t="str">
        <f t="shared" si="343"/>
        <v>Rail</v>
      </c>
      <c r="AK316" s="154" t="str">
        <f t="shared" si="344"/>
        <v>Neo bulk</v>
      </c>
      <c r="AL316" s="154" t="str">
        <f t="shared" si="345"/>
        <v>Hydrogen</v>
      </c>
      <c r="AM316" s="164">
        <f t="shared" si="346"/>
        <v>1.0315635432954693</v>
      </c>
    </row>
    <row r="317" spans="33:39" x14ac:dyDescent="0.25">
      <c r="AG317" s="154" t="s">
        <v>423</v>
      </c>
      <c r="AH317" s="154" t="s">
        <v>420</v>
      </c>
      <c r="AI317" s="154">
        <v>2023</v>
      </c>
      <c r="AJ317" s="154" t="str">
        <f>A48</f>
        <v>Sea</v>
      </c>
      <c r="AK317" s="154" t="str">
        <f t="shared" ref="AK317:AL317" si="347">B48</f>
        <v>Dry bulk</v>
      </c>
      <c r="AL317" s="154" t="str">
        <f t="shared" si="347"/>
        <v>HFO</v>
      </c>
      <c r="AM317" s="164">
        <f>I48</f>
        <v>1</v>
      </c>
    </row>
    <row r="318" spans="33:39" x14ac:dyDescent="0.25">
      <c r="AG318" s="154" t="s">
        <v>423</v>
      </c>
      <c r="AH318" s="154" t="s">
        <v>420</v>
      </c>
      <c r="AI318" s="154">
        <v>2023</v>
      </c>
      <c r="AJ318" s="154" t="str">
        <f t="shared" ref="AJ318:AJ326" si="348">A49</f>
        <v>Sea</v>
      </c>
      <c r="AK318" s="154" t="str">
        <f t="shared" ref="AK318:AK327" si="349">B49</f>
        <v>Dry bulk</v>
      </c>
      <c r="AL318" s="154" t="str">
        <f t="shared" ref="AL318:AL327" si="350">C49</f>
        <v>MGO</v>
      </c>
      <c r="AM318" s="164">
        <f t="shared" ref="AM318:AM326" si="351">I49</f>
        <v>1</v>
      </c>
    </row>
    <row r="319" spans="33:39" x14ac:dyDescent="0.25">
      <c r="AG319" s="154" t="s">
        <v>103</v>
      </c>
      <c r="AH319" s="154" t="s">
        <v>420</v>
      </c>
      <c r="AI319" s="154">
        <v>2023</v>
      </c>
      <c r="AJ319" s="154" t="str">
        <f t="shared" si="348"/>
        <v>Sea</v>
      </c>
      <c r="AK319" s="154" t="str">
        <f t="shared" si="349"/>
        <v>Dry bulk</v>
      </c>
      <c r="AL319" s="154" t="str">
        <f t="shared" si="350"/>
        <v>Hydrogen</v>
      </c>
      <c r="AM319" s="164">
        <f t="shared" si="351"/>
        <v>1</v>
      </c>
    </row>
    <row r="320" spans="33:39" x14ac:dyDescent="0.25">
      <c r="AG320" s="154" t="s">
        <v>103</v>
      </c>
      <c r="AH320" s="154" t="s">
        <v>420</v>
      </c>
      <c r="AI320" s="154">
        <v>2023</v>
      </c>
      <c r="AJ320" s="154" t="str">
        <f t="shared" si="348"/>
        <v>Sea</v>
      </c>
      <c r="AK320" s="154" t="str">
        <f t="shared" si="349"/>
        <v>Dry bulk</v>
      </c>
      <c r="AL320" s="154" t="str">
        <f t="shared" si="350"/>
        <v>Ammonia</v>
      </c>
      <c r="AM320" s="164">
        <f t="shared" si="351"/>
        <v>1</v>
      </c>
    </row>
    <row r="321" spans="33:39" x14ac:dyDescent="0.25">
      <c r="AG321" s="154" t="s">
        <v>103</v>
      </c>
      <c r="AH321" s="154" t="s">
        <v>420</v>
      </c>
      <c r="AI321" s="154">
        <v>2023</v>
      </c>
      <c r="AJ321" s="154" t="str">
        <f t="shared" si="348"/>
        <v>Sea</v>
      </c>
      <c r="AK321" s="154" t="str">
        <f t="shared" si="349"/>
        <v>Dry bulk</v>
      </c>
      <c r="AL321" s="154" t="str">
        <f t="shared" si="350"/>
        <v>Methanol</v>
      </c>
      <c r="AM321" s="164">
        <f t="shared" si="351"/>
        <v>1</v>
      </c>
    </row>
    <row r="322" spans="33:39" x14ac:dyDescent="0.25">
      <c r="AG322" s="154" t="s">
        <v>423</v>
      </c>
      <c r="AH322" s="154" t="s">
        <v>420</v>
      </c>
      <c r="AI322" s="154">
        <v>2023</v>
      </c>
      <c r="AJ322" s="154" t="str">
        <f t="shared" si="348"/>
        <v>Sea</v>
      </c>
      <c r="AK322" s="154" t="str">
        <f t="shared" si="349"/>
        <v>Container</v>
      </c>
      <c r="AL322" s="154" t="str">
        <f t="shared" si="350"/>
        <v>HFO</v>
      </c>
      <c r="AM322" s="164">
        <f t="shared" si="351"/>
        <v>1</v>
      </c>
    </row>
    <row r="323" spans="33:39" x14ac:dyDescent="0.25">
      <c r="AG323" s="154" t="s">
        <v>423</v>
      </c>
      <c r="AH323" s="154" t="s">
        <v>420</v>
      </c>
      <c r="AI323" s="154">
        <v>2023</v>
      </c>
      <c r="AJ323" s="154" t="str">
        <f t="shared" si="348"/>
        <v>Sea</v>
      </c>
      <c r="AK323" s="154" t="str">
        <f t="shared" si="349"/>
        <v>Container</v>
      </c>
      <c r="AL323" s="154" t="str">
        <f t="shared" si="350"/>
        <v>MGO</v>
      </c>
      <c r="AM323" s="164">
        <f t="shared" si="351"/>
        <v>1</v>
      </c>
    </row>
    <row r="324" spans="33:39" x14ac:dyDescent="0.25">
      <c r="AG324" s="154" t="s">
        <v>103</v>
      </c>
      <c r="AH324" s="154" t="s">
        <v>420</v>
      </c>
      <c r="AI324" s="154">
        <v>2023</v>
      </c>
      <c r="AJ324" s="154" t="str">
        <f t="shared" si="348"/>
        <v>Sea</v>
      </c>
      <c r="AK324" s="154" t="str">
        <f t="shared" si="349"/>
        <v>Container</v>
      </c>
      <c r="AL324" s="154" t="str">
        <f t="shared" si="350"/>
        <v>Hydrogen</v>
      </c>
      <c r="AM324" s="164">
        <f t="shared" si="351"/>
        <v>1</v>
      </c>
    </row>
    <row r="325" spans="33:39" x14ac:dyDescent="0.25">
      <c r="AG325" s="154" t="s">
        <v>103</v>
      </c>
      <c r="AH325" s="154" t="s">
        <v>420</v>
      </c>
      <c r="AI325" s="154">
        <v>2023</v>
      </c>
      <c r="AJ325" s="154" t="str">
        <f t="shared" si="348"/>
        <v>Sea</v>
      </c>
      <c r="AK325" s="154" t="str">
        <f t="shared" si="349"/>
        <v>Container</v>
      </c>
      <c r="AL325" s="154" t="str">
        <f t="shared" si="350"/>
        <v>Ammonia</v>
      </c>
      <c r="AM325" s="164">
        <f t="shared" si="351"/>
        <v>1</v>
      </c>
    </row>
    <row r="326" spans="33:39" x14ac:dyDescent="0.25">
      <c r="AG326" s="154" t="s">
        <v>103</v>
      </c>
      <c r="AH326" s="154" t="s">
        <v>420</v>
      </c>
      <c r="AI326" s="154">
        <v>2023</v>
      </c>
      <c r="AJ326" s="154" t="str">
        <f t="shared" si="348"/>
        <v>Sea</v>
      </c>
      <c r="AK326" s="154" t="str">
        <f t="shared" si="349"/>
        <v>Container</v>
      </c>
      <c r="AL326" s="154" t="str">
        <f t="shared" si="350"/>
        <v>Methanol</v>
      </c>
      <c r="AM326" s="164">
        <f t="shared" si="351"/>
        <v>1</v>
      </c>
    </row>
    <row r="327" spans="33:39" x14ac:dyDescent="0.25">
      <c r="AG327" s="154" t="s">
        <v>423</v>
      </c>
      <c r="AH327" s="154" t="s">
        <v>420</v>
      </c>
      <c r="AI327" s="154">
        <v>2023</v>
      </c>
      <c r="AJ327" s="154" t="str">
        <f>A58</f>
        <v>Sea</v>
      </c>
      <c r="AK327" s="154" t="str">
        <f t="shared" si="349"/>
        <v>Break bulk</v>
      </c>
      <c r="AL327" s="154" t="str">
        <f t="shared" si="350"/>
        <v>HFO</v>
      </c>
      <c r="AM327" s="164">
        <f>I58</f>
        <v>1</v>
      </c>
    </row>
    <row r="328" spans="33:39" x14ac:dyDescent="0.25">
      <c r="AG328" s="154" t="s">
        <v>423</v>
      </c>
      <c r="AH328" s="154" t="s">
        <v>420</v>
      </c>
      <c r="AI328" s="154">
        <v>2023</v>
      </c>
      <c r="AJ328" s="154" t="str">
        <f t="shared" ref="AJ328:AJ333" si="352">A59</f>
        <v>Sea</v>
      </c>
      <c r="AK328" s="154" t="str">
        <f t="shared" ref="AK328:AK336" si="353">B59</f>
        <v>Break bulk</v>
      </c>
      <c r="AL328" s="154" t="str">
        <f t="shared" ref="AL328:AL336" si="354">C59</f>
        <v>MGO</v>
      </c>
      <c r="AM328" s="164">
        <f t="shared" ref="AM328:AM333" si="355">I59</f>
        <v>1</v>
      </c>
    </row>
    <row r="329" spans="33:39" x14ac:dyDescent="0.25">
      <c r="AG329" s="154" t="s">
        <v>103</v>
      </c>
      <c r="AH329" s="154" t="s">
        <v>420</v>
      </c>
      <c r="AI329" s="154">
        <v>2023</v>
      </c>
      <c r="AJ329" s="154" t="str">
        <f t="shared" si="352"/>
        <v>Sea</v>
      </c>
      <c r="AK329" s="154" t="str">
        <f t="shared" si="353"/>
        <v>Break bulk</v>
      </c>
      <c r="AL329" s="154" t="str">
        <f t="shared" si="354"/>
        <v>Hydrogen</v>
      </c>
      <c r="AM329" s="164">
        <f t="shared" si="355"/>
        <v>1</v>
      </c>
    </row>
    <row r="330" spans="33:39" x14ac:dyDescent="0.25">
      <c r="AG330" s="154" t="s">
        <v>103</v>
      </c>
      <c r="AH330" s="154" t="s">
        <v>420</v>
      </c>
      <c r="AI330" s="154">
        <v>2023</v>
      </c>
      <c r="AJ330" s="154" t="str">
        <f t="shared" si="352"/>
        <v>Sea</v>
      </c>
      <c r="AK330" s="154" t="str">
        <f t="shared" si="353"/>
        <v>Break bulk</v>
      </c>
      <c r="AL330" s="154" t="str">
        <f t="shared" si="354"/>
        <v>Ammonia</v>
      </c>
      <c r="AM330" s="164">
        <f t="shared" si="355"/>
        <v>1</v>
      </c>
    </row>
    <row r="331" spans="33:39" x14ac:dyDescent="0.25">
      <c r="AG331" s="154" t="s">
        <v>103</v>
      </c>
      <c r="AH331" s="154" t="s">
        <v>420</v>
      </c>
      <c r="AI331" s="154">
        <v>2023</v>
      </c>
      <c r="AJ331" s="154" t="str">
        <f t="shared" si="352"/>
        <v>Sea</v>
      </c>
      <c r="AK331" s="154" t="str">
        <f t="shared" si="353"/>
        <v>Break bulk</v>
      </c>
      <c r="AL331" s="154" t="str">
        <f t="shared" si="354"/>
        <v>Methanol</v>
      </c>
      <c r="AM331" s="164">
        <f t="shared" si="355"/>
        <v>1</v>
      </c>
    </row>
    <row r="332" spans="33:39" x14ac:dyDescent="0.25">
      <c r="AG332" s="154" t="s">
        <v>423</v>
      </c>
      <c r="AH332" s="154" t="s">
        <v>420</v>
      </c>
      <c r="AI332" s="154">
        <v>2023</v>
      </c>
      <c r="AJ332" s="154" t="str">
        <f t="shared" si="352"/>
        <v>Sea</v>
      </c>
      <c r="AK332" s="154" t="str">
        <f t="shared" si="353"/>
        <v>Neo bulk</v>
      </c>
      <c r="AL332" s="154" t="str">
        <f t="shared" si="354"/>
        <v>HFO</v>
      </c>
      <c r="AM332" s="164">
        <f t="shared" si="355"/>
        <v>1</v>
      </c>
    </row>
    <row r="333" spans="33:39" x14ac:dyDescent="0.25">
      <c r="AG333" s="154" t="s">
        <v>423</v>
      </c>
      <c r="AH333" s="154" t="s">
        <v>420</v>
      </c>
      <c r="AI333" s="154">
        <v>2023</v>
      </c>
      <c r="AJ333" s="154" t="str">
        <f t="shared" si="352"/>
        <v>Sea</v>
      </c>
      <c r="AK333" s="154" t="str">
        <f t="shared" si="353"/>
        <v>Neo bulk</v>
      </c>
      <c r="AL333" s="154" t="str">
        <f t="shared" si="354"/>
        <v>MGO</v>
      </c>
      <c r="AM333" s="164">
        <f t="shared" si="355"/>
        <v>1</v>
      </c>
    </row>
    <row r="334" spans="33:39" x14ac:dyDescent="0.25">
      <c r="AG334" s="154" t="s">
        <v>103</v>
      </c>
      <c r="AH334" s="154" t="s">
        <v>420</v>
      </c>
      <c r="AI334" s="154">
        <v>2023</v>
      </c>
      <c r="AJ334" s="154" t="str">
        <f>A65</f>
        <v>Sea</v>
      </c>
      <c r="AK334" s="154" t="str">
        <f t="shared" si="353"/>
        <v>Neo bulk</v>
      </c>
      <c r="AL334" s="154" t="str">
        <f t="shared" si="354"/>
        <v>Hydrogen</v>
      </c>
      <c r="AM334" s="164">
        <f>I65</f>
        <v>1</v>
      </c>
    </row>
    <row r="335" spans="33:39" x14ac:dyDescent="0.25">
      <c r="AG335" s="154" t="s">
        <v>103</v>
      </c>
      <c r="AH335" s="154" t="s">
        <v>420</v>
      </c>
      <c r="AI335" s="154">
        <v>2023</v>
      </c>
      <c r="AJ335" s="154" t="str">
        <f t="shared" ref="AJ335" si="356">A66</f>
        <v>Sea</v>
      </c>
      <c r="AK335" s="154" t="str">
        <f t="shared" si="353"/>
        <v>Neo bulk</v>
      </c>
      <c r="AL335" s="154" t="str">
        <f t="shared" si="354"/>
        <v>Ammonia</v>
      </c>
      <c r="AM335" s="164">
        <f t="shared" ref="AM335" si="357">I66</f>
        <v>1</v>
      </c>
    </row>
    <row r="336" spans="33:39" x14ac:dyDescent="0.25">
      <c r="AG336" s="154" t="s">
        <v>103</v>
      </c>
      <c r="AH336" s="154" t="s">
        <v>420</v>
      </c>
      <c r="AI336" s="154">
        <v>2023</v>
      </c>
      <c r="AJ336" s="154" t="str">
        <f>A67</f>
        <v>Sea</v>
      </c>
      <c r="AK336" s="154" t="str">
        <f t="shared" si="353"/>
        <v>Neo bulk</v>
      </c>
      <c r="AL336" s="154" t="str">
        <f t="shared" si="354"/>
        <v>Methanol</v>
      </c>
      <c r="AM336" s="164">
        <f>I67</f>
        <v>1</v>
      </c>
    </row>
    <row r="337" spans="33:39" x14ac:dyDescent="0.25">
      <c r="AG337" s="154" t="s">
        <v>423</v>
      </c>
      <c r="AH337" s="154" t="s">
        <v>421</v>
      </c>
      <c r="AI337" s="154">
        <v>2023</v>
      </c>
      <c r="AJ337" s="154" t="str">
        <f>A48</f>
        <v>Sea</v>
      </c>
      <c r="AK337" s="154" t="str">
        <f t="shared" ref="AK337:AL337" si="358">B48</f>
        <v>Dry bulk</v>
      </c>
      <c r="AL337" s="154" t="str">
        <f t="shared" si="358"/>
        <v>HFO</v>
      </c>
      <c r="AM337" s="164">
        <f>J48</f>
        <v>1.0158075319760618</v>
      </c>
    </row>
    <row r="338" spans="33:39" x14ac:dyDescent="0.25">
      <c r="AG338" s="154" t="s">
        <v>423</v>
      </c>
      <c r="AH338" s="154" t="s">
        <v>421</v>
      </c>
      <c r="AI338" s="154">
        <v>2023</v>
      </c>
      <c r="AJ338" s="154" t="str">
        <f t="shared" ref="AJ338:AJ349" si="359">A49</f>
        <v>Sea</v>
      </c>
      <c r="AK338" s="154" t="str">
        <f t="shared" ref="AK338:AK350" si="360">B49</f>
        <v>Dry bulk</v>
      </c>
      <c r="AL338" s="154" t="str">
        <f t="shared" ref="AL338:AL350" si="361">C49</f>
        <v>MGO</v>
      </c>
      <c r="AM338" s="164">
        <f t="shared" ref="AM338:AM349" si="362">J49</f>
        <v>1.0229679223343009</v>
      </c>
    </row>
    <row r="339" spans="33:39" x14ac:dyDescent="0.25">
      <c r="AG339" s="154" t="s">
        <v>103</v>
      </c>
      <c r="AH339" s="154" t="s">
        <v>421</v>
      </c>
      <c r="AI339" s="154">
        <v>2023</v>
      </c>
      <c r="AJ339" s="154" t="str">
        <f t="shared" si="359"/>
        <v>Sea</v>
      </c>
      <c r="AK339" s="154" t="str">
        <f t="shared" si="360"/>
        <v>Dry bulk</v>
      </c>
      <c r="AL339" s="154" t="str">
        <f t="shared" si="361"/>
        <v>Hydrogen</v>
      </c>
      <c r="AM339" s="164">
        <f t="shared" si="362"/>
        <v>0.96146417529559902</v>
      </c>
    </row>
    <row r="340" spans="33:39" x14ac:dyDescent="0.25">
      <c r="AG340" s="154" t="s">
        <v>103</v>
      </c>
      <c r="AH340" s="154" t="s">
        <v>421</v>
      </c>
      <c r="AI340" s="154">
        <v>2023</v>
      </c>
      <c r="AJ340" s="154" t="str">
        <f t="shared" si="359"/>
        <v>Sea</v>
      </c>
      <c r="AK340" s="154" t="str">
        <f t="shared" si="360"/>
        <v>Dry bulk</v>
      </c>
      <c r="AL340" s="154" t="str">
        <f t="shared" si="361"/>
        <v>Ammonia</v>
      </c>
      <c r="AM340" s="164">
        <f t="shared" si="362"/>
        <v>0.95273613491746512</v>
      </c>
    </row>
    <row r="341" spans="33:39" x14ac:dyDescent="0.25">
      <c r="AG341" s="154" t="s">
        <v>103</v>
      </c>
      <c r="AH341" s="154" t="s">
        <v>421</v>
      </c>
      <c r="AI341" s="154">
        <v>2023</v>
      </c>
      <c r="AJ341" s="154" t="str">
        <f t="shared" si="359"/>
        <v>Sea</v>
      </c>
      <c r="AK341" s="154" t="str">
        <f t="shared" si="360"/>
        <v>Dry bulk</v>
      </c>
      <c r="AL341" s="154" t="str">
        <f t="shared" si="361"/>
        <v>Methanol</v>
      </c>
      <c r="AM341" s="164">
        <f t="shared" si="362"/>
        <v>0.97064367546430808</v>
      </c>
    </row>
    <row r="342" spans="33:39" x14ac:dyDescent="0.25">
      <c r="AG342" s="154" t="s">
        <v>423</v>
      </c>
      <c r="AH342" s="154" t="s">
        <v>421</v>
      </c>
      <c r="AI342" s="154">
        <v>2023</v>
      </c>
      <c r="AJ342" s="154" t="str">
        <f t="shared" si="359"/>
        <v>Sea</v>
      </c>
      <c r="AK342" s="154" t="str">
        <f t="shared" si="360"/>
        <v>Container</v>
      </c>
      <c r="AL342" s="154" t="str">
        <f t="shared" si="361"/>
        <v>HFO</v>
      </c>
      <c r="AM342" s="164">
        <f t="shared" si="362"/>
        <v>1.0146461087708827</v>
      </c>
    </row>
    <row r="343" spans="33:39" x14ac:dyDescent="0.25">
      <c r="AG343" s="154" t="s">
        <v>423</v>
      </c>
      <c r="AH343" s="154" t="s">
        <v>421</v>
      </c>
      <c r="AI343" s="154">
        <v>2023</v>
      </c>
      <c r="AJ343" s="154" t="str">
        <f t="shared" si="359"/>
        <v>Sea</v>
      </c>
      <c r="AK343" s="154" t="str">
        <f t="shared" si="360"/>
        <v>Container</v>
      </c>
      <c r="AL343" s="154" t="str">
        <f t="shared" si="361"/>
        <v>MGO</v>
      </c>
      <c r="AM343" s="164">
        <f t="shared" si="362"/>
        <v>1.0218399004185375</v>
      </c>
    </row>
    <row r="344" spans="33:39" x14ac:dyDescent="0.25">
      <c r="AG344" s="154" t="s">
        <v>103</v>
      </c>
      <c r="AH344" s="154" t="s">
        <v>421</v>
      </c>
      <c r="AI344" s="154">
        <v>2023</v>
      </c>
      <c r="AJ344" s="154" t="str">
        <f t="shared" si="359"/>
        <v>Sea</v>
      </c>
      <c r="AK344" s="154" t="str">
        <f t="shared" si="360"/>
        <v>Container</v>
      </c>
      <c r="AL344" s="154" t="str">
        <f t="shared" si="361"/>
        <v>Hydrogen</v>
      </c>
      <c r="AM344" s="164">
        <f t="shared" si="362"/>
        <v>0.96240955690171293</v>
      </c>
    </row>
    <row r="345" spans="33:39" x14ac:dyDescent="0.25">
      <c r="AG345" s="154" t="s">
        <v>103</v>
      </c>
      <c r="AH345" s="154" t="s">
        <v>421</v>
      </c>
      <c r="AI345" s="154">
        <v>2023</v>
      </c>
      <c r="AJ345" s="154" t="str">
        <f t="shared" si="359"/>
        <v>Sea</v>
      </c>
      <c r="AK345" s="154" t="str">
        <f t="shared" si="360"/>
        <v>Container</v>
      </c>
      <c r="AL345" s="154" t="str">
        <f t="shared" si="361"/>
        <v>Ammonia</v>
      </c>
      <c r="AM345" s="164">
        <f t="shared" si="362"/>
        <v>0.9539923433951204</v>
      </c>
    </row>
    <row r="346" spans="33:39" x14ac:dyDescent="0.25">
      <c r="AG346" s="154" t="s">
        <v>103</v>
      </c>
      <c r="AH346" s="154" t="s">
        <v>421</v>
      </c>
      <c r="AI346" s="154">
        <v>2023</v>
      </c>
      <c r="AJ346" s="154" t="str">
        <f t="shared" si="359"/>
        <v>Sea</v>
      </c>
      <c r="AK346" s="154" t="str">
        <f t="shared" si="360"/>
        <v>Container</v>
      </c>
      <c r="AL346" s="154" t="str">
        <f t="shared" si="361"/>
        <v>Methanol</v>
      </c>
      <c r="AM346" s="164">
        <f t="shared" si="362"/>
        <v>0.97104646495867697</v>
      </c>
    </row>
    <row r="347" spans="33:39" x14ac:dyDescent="0.25">
      <c r="AG347" s="154" t="s">
        <v>423</v>
      </c>
      <c r="AH347" s="154" t="s">
        <v>421</v>
      </c>
      <c r="AI347" s="154">
        <v>2023</v>
      </c>
      <c r="AJ347" s="154" t="str">
        <f t="shared" si="359"/>
        <v>Sea</v>
      </c>
      <c r="AK347" s="154" t="str">
        <f t="shared" si="360"/>
        <v>Break bulk</v>
      </c>
      <c r="AL347" s="154" t="str">
        <f t="shared" si="361"/>
        <v>HFO</v>
      </c>
      <c r="AM347" s="164">
        <f t="shared" si="362"/>
        <v>1.0158119733635917</v>
      </c>
    </row>
    <row r="348" spans="33:39" x14ac:dyDescent="0.25">
      <c r="AG348" s="154" t="s">
        <v>423</v>
      </c>
      <c r="AH348" s="154" t="s">
        <v>421</v>
      </c>
      <c r="AI348" s="154">
        <v>2023</v>
      </c>
      <c r="AJ348" s="154" t="str">
        <f t="shared" si="359"/>
        <v>Sea</v>
      </c>
      <c r="AK348" s="154" t="str">
        <f t="shared" si="360"/>
        <v>Break bulk</v>
      </c>
      <c r="AL348" s="154" t="str">
        <f t="shared" si="361"/>
        <v>MGO</v>
      </c>
      <c r="AM348" s="164">
        <f t="shared" si="362"/>
        <v>1.0229721250731711</v>
      </c>
    </row>
    <row r="349" spans="33:39" x14ac:dyDescent="0.25">
      <c r="AG349" s="154" t="s">
        <v>103</v>
      </c>
      <c r="AH349" s="154" t="s">
        <v>421</v>
      </c>
      <c r="AI349" s="154">
        <v>2023</v>
      </c>
      <c r="AJ349" s="154" t="str">
        <f t="shared" si="359"/>
        <v>Sea</v>
      </c>
      <c r="AK349" s="154" t="str">
        <f t="shared" si="360"/>
        <v>Break bulk</v>
      </c>
      <c r="AL349" s="154" t="str">
        <f t="shared" si="361"/>
        <v>Hydrogen</v>
      </c>
      <c r="AM349" s="164">
        <f t="shared" si="362"/>
        <v>0.96146004754148318</v>
      </c>
    </row>
    <row r="350" spans="33:39" x14ac:dyDescent="0.25">
      <c r="AG350" s="154" t="s">
        <v>103</v>
      </c>
      <c r="AH350" s="154" t="s">
        <v>421</v>
      </c>
      <c r="AI350" s="154">
        <v>2023</v>
      </c>
      <c r="AJ350" s="154" t="str">
        <f>A61</f>
        <v>Sea</v>
      </c>
      <c r="AK350" s="154" t="str">
        <f t="shared" si="360"/>
        <v>Break bulk</v>
      </c>
      <c r="AL350" s="154" t="str">
        <f t="shared" si="361"/>
        <v>Ammonia</v>
      </c>
      <c r="AM350" s="164">
        <f>J61</f>
        <v>0.95273082359263117</v>
      </c>
    </row>
    <row r="351" spans="33:39" x14ac:dyDescent="0.25">
      <c r="AG351" s="154" t="s">
        <v>103</v>
      </c>
      <c r="AH351" s="154" t="s">
        <v>421</v>
      </c>
      <c r="AI351" s="154">
        <v>2023</v>
      </c>
      <c r="AJ351" s="154" t="str">
        <f t="shared" ref="AJ351:AJ356" si="363">A62</f>
        <v>Sea</v>
      </c>
      <c r="AK351" s="154" t="str">
        <f t="shared" ref="AK351:AK356" si="364">B62</f>
        <v>Break bulk</v>
      </c>
      <c r="AL351" s="154" t="str">
        <f t="shared" ref="AL351:AL356" si="365">C62</f>
        <v>Methanol</v>
      </c>
      <c r="AM351" s="164">
        <f t="shared" ref="AM351:AM356" si="366">J62</f>
        <v>0.97064211187339855</v>
      </c>
    </row>
    <row r="352" spans="33:39" x14ac:dyDescent="0.25">
      <c r="AG352" s="154" t="s">
        <v>423</v>
      </c>
      <c r="AH352" s="154" t="s">
        <v>421</v>
      </c>
      <c r="AI352" s="154">
        <v>2023</v>
      </c>
      <c r="AJ352" s="154" t="str">
        <f t="shared" si="363"/>
        <v>Sea</v>
      </c>
      <c r="AK352" s="154" t="str">
        <f t="shared" si="364"/>
        <v>Neo bulk</v>
      </c>
      <c r="AL352" s="154" t="str">
        <f t="shared" si="365"/>
        <v>HFO</v>
      </c>
      <c r="AM352" s="164">
        <f t="shared" si="366"/>
        <v>1.0158196136388957</v>
      </c>
    </row>
    <row r="353" spans="33:39" x14ac:dyDescent="0.25">
      <c r="AG353" s="154" t="s">
        <v>423</v>
      </c>
      <c r="AH353" s="154" t="s">
        <v>421</v>
      </c>
      <c r="AI353" s="154">
        <v>2023</v>
      </c>
      <c r="AJ353" s="154" t="str">
        <f t="shared" si="363"/>
        <v>Sea</v>
      </c>
      <c r="AK353" s="154" t="str">
        <f t="shared" si="364"/>
        <v>Neo bulk</v>
      </c>
      <c r="AL353" s="154" t="str">
        <f t="shared" si="365"/>
        <v>MGO</v>
      </c>
      <c r="AM353" s="164">
        <f t="shared" si="366"/>
        <v>1.0229793528881344</v>
      </c>
    </row>
    <row r="354" spans="33:39" x14ac:dyDescent="0.25">
      <c r="AG354" s="154" t="s">
        <v>103</v>
      </c>
      <c r="AH354" s="154" t="s">
        <v>421</v>
      </c>
      <c r="AI354" s="154">
        <v>2023</v>
      </c>
      <c r="AJ354" s="154" t="str">
        <f t="shared" si="363"/>
        <v>Sea</v>
      </c>
      <c r="AK354" s="154" t="str">
        <f t="shared" si="364"/>
        <v>Neo bulk</v>
      </c>
      <c r="AL354" s="154" t="str">
        <f t="shared" si="365"/>
        <v>Hydrogen</v>
      </c>
      <c r="AM354" s="164">
        <f t="shared" si="366"/>
        <v>0.96145488307403493</v>
      </c>
    </row>
    <row r="355" spans="33:39" x14ac:dyDescent="0.25">
      <c r="AG355" s="154" t="s">
        <v>103</v>
      </c>
      <c r="AH355" s="154" t="s">
        <v>421</v>
      </c>
      <c r="AI355" s="154">
        <v>2023</v>
      </c>
      <c r="AJ355" s="154" t="str">
        <f t="shared" si="363"/>
        <v>Sea</v>
      </c>
      <c r="AK355" s="154" t="str">
        <f t="shared" si="364"/>
        <v>Neo bulk</v>
      </c>
      <c r="AL355" s="154" t="str">
        <f t="shared" si="365"/>
        <v>Ammonia</v>
      </c>
      <c r="AM355" s="164">
        <f t="shared" si="366"/>
        <v>0.95272374928097547</v>
      </c>
    </row>
    <row r="356" spans="33:39" x14ac:dyDescent="0.25">
      <c r="AG356" s="154" t="s">
        <v>103</v>
      </c>
      <c r="AH356" s="154" t="s">
        <v>421</v>
      </c>
      <c r="AI356" s="154">
        <v>2023</v>
      </c>
      <c r="AJ356" s="154" t="str">
        <f t="shared" si="363"/>
        <v>Sea</v>
      </c>
      <c r="AK356" s="154" t="str">
        <f t="shared" si="364"/>
        <v>Neo bulk</v>
      </c>
      <c r="AL356" s="154" t="str">
        <f t="shared" si="365"/>
        <v>Methanol</v>
      </c>
      <c r="AM356" s="164">
        <f t="shared" si="366"/>
        <v>0.97063974897970484</v>
      </c>
    </row>
    <row r="357" spans="33:39" x14ac:dyDescent="0.25">
      <c r="AG357" s="154" t="s">
        <v>423</v>
      </c>
      <c r="AH357" s="154" t="s">
        <v>422</v>
      </c>
      <c r="AI357" s="154">
        <v>2023</v>
      </c>
      <c r="AJ357" s="154" t="str">
        <f>A48</f>
        <v>Sea</v>
      </c>
      <c r="AK357" s="154" t="str">
        <f t="shared" ref="AK357:AL357" si="367">B48</f>
        <v>Dry bulk</v>
      </c>
      <c r="AL357" s="154" t="str">
        <f t="shared" si="367"/>
        <v>HFO</v>
      </c>
      <c r="AM357" s="164">
        <f>K48</f>
        <v>0.9540144524332751</v>
      </c>
    </row>
    <row r="358" spans="33:39" x14ac:dyDescent="0.25">
      <c r="AG358" s="154" t="s">
        <v>423</v>
      </c>
      <c r="AH358" s="154" t="s">
        <v>422</v>
      </c>
      <c r="AI358" s="154">
        <v>2023</v>
      </c>
      <c r="AJ358" s="154" t="str">
        <f t="shared" ref="AJ358:AJ376" si="368">A49</f>
        <v>Sea</v>
      </c>
      <c r="AK358" s="154" t="str">
        <f t="shared" ref="AK358:AK376" si="369">B49</f>
        <v>Dry bulk</v>
      </c>
      <c r="AL358" s="154" t="str">
        <f t="shared" ref="AL358:AL376" si="370">C49</f>
        <v>MGO</v>
      </c>
      <c r="AM358" s="164">
        <f t="shared" ref="AM358:AM376" si="371">K49</f>
        <v>0.93318422593657946</v>
      </c>
    </row>
    <row r="359" spans="33:39" x14ac:dyDescent="0.25">
      <c r="AG359" s="154" t="s">
        <v>103</v>
      </c>
      <c r="AH359" s="154" t="s">
        <v>422</v>
      </c>
      <c r="AI359" s="154">
        <v>2023</v>
      </c>
      <c r="AJ359" s="154" t="str">
        <f t="shared" si="368"/>
        <v>Sea</v>
      </c>
      <c r="AK359" s="154" t="str">
        <f t="shared" si="369"/>
        <v>Dry bulk</v>
      </c>
      <c r="AL359" s="154" t="str">
        <f t="shared" si="370"/>
        <v>Hydrogen</v>
      </c>
      <c r="AM359" s="164">
        <f t="shared" si="371"/>
        <v>1.0879864205678518</v>
      </c>
    </row>
    <row r="360" spans="33:39" x14ac:dyDescent="0.25">
      <c r="AG360" s="154" t="s">
        <v>103</v>
      </c>
      <c r="AH360" s="154" t="s">
        <v>422</v>
      </c>
      <c r="AI360" s="154">
        <v>2023</v>
      </c>
      <c r="AJ360" s="154" t="str">
        <f t="shared" si="368"/>
        <v>Sea</v>
      </c>
      <c r="AK360" s="154" t="str">
        <f t="shared" si="369"/>
        <v>Dry bulk</v>
      </c>
      <c r="AL360" s="154" t="str">
        <f t="shared" si="370"/>
        <v>Ammonia</v>
      </c>
      <c r="AM360" s="164">
        <f t="shared" si="371"/>
        <v>1.1079146052462492</v>
      </c>
    </row>
    <row r="361" spans="33:39" x14ac:dyDescent="0.25">
      <c r="AG361" s="154" t="s">
        <v>103</v>
      </c>
      <c r="AH361" s="154" t="s">
        <v>422</v>
      </c>
      <c r="AI361" s="154">
        <v>2023</v>
      </c>
      <c r="AJ361" s="154" t="str">
        <f t="shared" si="368"/>
        <v>Sea</v>
      </c>
      <c r="AK361" s="154" t="str">
        <f t="shared" si="369"/>
        <v>Dry bulk</v>
      </c>
      <c r="AL361" s="154" t="str">
        <f t="shared" si="370"/>
        <v>Methanol</v>
      </c>
      <c r="AM361" s="164">
        <f t="shared" si="371"/>
        <v>1.0670274461942104</v>
      </c>
    </row>
    <row r="362" spans="33:39" x14ac:dyDescent="0.25">
      <c r="AG362" s="154" t="s">
        <v>423</v>
      </c>
      <c r="AH362" s="154" t="s">
        <v>422</v>
      </c>
      <c r="AI362" s="154">
        <v>2023</v>
      </c>
      <c r="AJ362" s="154" t="str">
        <f t="shared" si="368"/>
        <v>Sea</v>
      </c>
      <c r="AK362" s="154" t="str">
        <f t="shared" si="369"/>
        <v>Container</v>
      </c>
      <c r="AL362" s="154" t="str">
        <f t="shared" si="370"/>
        <v>HFO</v>
      </c>
      <c r="AM362" s="164">
        <f t="shared" si="371"/>
        <v>0.95739313812106819</v>
      </c>
    </row>
    <row r="363" spans="33:39" x14ac:dyDescent="0.25">
      <c r="AG363" s="154" t="s">
        <v>423</v>
      </c>
      <c r="AH363" s="154" t="s">
        <v>422</v>
      </c>
      <c r="AI363" s="154">
        <v>2023</v>
      </c>
      <c r="AJ363" s="154" t="str">
        <f t="shared" si="368"/>
        <v>Sea</v>
      </c>
      <c r="AK363" s="154" t="str">
        <f t="shared" si="369"/>
        <v>Container</v>
      </c>
      <c r="AL363" s="154" t="str">
        <f t="shared" si="370"/>
        <v>MGO</v>
      </c>
      <c r="AM363" s="164">
        <f t="shared" si="371"/>
        <v>0.93646574423698159</v>
      </c>
    </row>
    <row r="364" spans="33:39" x14ac:dyDescent="0.25">
      <c r="AG364" s="154" t="s">
        <v>103</v>
      </c>
      <c r="AH364" s="154" t="s">
        <v>422</v>
      </c>
      <c r="AI364" s="154">
        <v>2023</v>
      </c>
      <c r="AJ364" s="154" t="str">
        <f t="shared" si="368"/>
        <v>Sea</v>
      </c>
      <c r="AK364" s="154" t="str">
        <f t="shared" si="369"/>
        <v>Container</v>
      </c>
      <c r="AL364" s="154" t="str">
        <f t="shared" si="370"/>
        <v>Hydrogen</v>
      </c>
      <c r="AM364" s="164">
        <f t="shared" si="371"/>
        <v>1.0858278903111178</v>
      </c>
    </row>
    <row r="365" spans="33:39" x14ac:dyDescent="0.25">
      <c r="AG365" s="154" t="s">
        <v>103</v>
      </c>
      <c r="AH365" s="154" t="s">
        <v>422</v>
      </c>
      <c r="AI365" s="154">
        <v>2023</v>
      </c>
      <c r="AJ365" s="154" t="str">
        <f t="shared" si="368"/>
        <v>Sea</v>
      </c>
      <c r="AK365" s="154" t="str">
        <f t="shared" si="369"/>
        <v>Container</v>
      </c>
      <c r="AL365" s="154" t="str">
        <f t="shared" si="370"/>
        <v>Ammonia</v>
      </c>
      <c r="AM365" s="164">
        <f t="shared" si="371"/>
        <v>1.1050463835776145</v>
      </c>
    </row>
    <row r="366" spans="33:39" x14ac:dyDescent="0.25">
      <c r="AG366" s="154" t="s">
        <v>103</v>
      </c>
      <c r="AH366" s="154" t="s">
        <v>422</v>
      </c>
      <c r="AI366" s="154">
        <v>2023</v>
      </c>
      <c r="AJ366" s="154" t="str">
        <f t="shared" si="368"/>
        <v>Sea</v>
      </c>
      <c r="AK366" s="154" t="str">
        <f t="shared" si="369"/>
        <v>Container</v>
      </c>
      <c r="AL366" s="154" t="str">
        <f t="shared" si="370"/>
        <v>Methanol</v>
      </c>
      <c r="AM366" s="164">
        <f t="shared" si="371"/>
        <v>1.0661077823197846</v>
      </c>
    </row>
    <row r="367" spans="33:39" x14ac:dyDescent="0.25">
      <c r="AG367" s="154" t="s">
        <v>423</v>
      </c>
      <c r="AH367" s="154" t="s">
        <v>422</v>
      </c>
      <c r="AI367" s="154">
        <v>2023</v>
      </c>
      <c r="AJ367" s="154" t="str">
        <f t="shared" si="368"/>
        <v>Sea</v>
      </c>
      <c r="AK367" s="154" t="str">
        <f t="shared" si="369"/>
        <v>Break bulk</v>
      </c>
      <c r="AL367" s="154" t="str">
        <f t="shared" si="370"/>
        <v>HFO</v>
      </c>
      <c r="AM367" s="164">
        <f t="shared" si="371"/>
        <v>0.95400153203318749</v>
      </c>
    </row>
    <row r="368" spans="33:39" x14ac:dyDescent="0.25">
      <c r="AG368" s="154" t="s">
        <v>423</v>
      </c>
      <c r="AH368" s="154" t="s">
        <v>422</v>
      </c>
      <c r="AI368" s="154">
        <v>2023</v>
      </c>
      <c r="AJ368" s="154" t="str">
        <f t="shared" si="368"/>
        <v>Sea</v>
      </c>
      <c r="AK368" s="154" t="str">
        <f t="shared" si="369"/>
        <v>Break bulk</v>
      </c>
      <c r="AL368" s="154" t="str">
        <f t="shared" si="370"/>
        <v>MGO</v>
      </c>
      <c r="AM368" s="164">
        <f t="shared" si="371"/>
        <v>0.93317199978713794</v>
      </c>
    </row>
    <row r="369" spans="33:39" x14ac:dyDescent="0.25">
      <c r="AG369" s="154" t="s">
        <v>103</v>
      </c>
      <c r="AH369" s="154" t="s">
        <v>422</v>
      </c>
      <c r="AI369" s="154">
        <v>2023</v>
      </c>
      <c r="AJ369" s="154" t="str">
        <f t="shared" si="368"/>
        <v>Sea</v>
      </c>
      <c r="AK369" s="154" t="str">
        <f t="shared" si="369"/>
        <v>Break bulk</v>
      </c>
      <c r="AL369" s="154" t="str">
        <f t="shared" si="370"/>
        <v>Hydrogen</v>
      </c>
      <c r="AM369" s="164">
        <f t="shared" si="371"/>
        <v>1.0879958452087526</v>
      </c>
    </row>
    <row r="370" spans="33:39" x14ac:dyDescent="0.25">
      <c r="AG370" s="154" t="s">
        <v>103</v>
      </c>
      <c r="AH370" s="154" t="s">
        <v>422</v>
      </c>
      <c r="AI370" s="154">
        <v>2023</v>
      </c>
      <c r="AJ370" s="154" t="str">
        <f t="shared" si="368"/>
        <v>Sea</v>
      </c>
      <c r="AK370" s="154" t="str">
        <f t="shared" si="369"/>
        <v>Break bulk</v>
      </c>
      <c r="AL370" s="154" t="str">
        <f t="shared" si="370"/>
        <v>Ammonia</v>
      </c>
      <c r="AM370" s="164">
        <f t="shared" si="371"/>
        <v>1.1079267322595985</v>
      </c>
    </row>
    <row r="371" spans="33:39" x14ac:dyDescent="0.25">
      <c r="AG371" s="154" t="s">
        <v>103</v>
      </c>
      <c r="AH371" s="154" t="s">
        <v>422</v>
      </c>
      <c r="AI371" s="154">
        <v>2023</v>
      </c>
      <c r="AJ371" s="154" t="str">
        <f t="shared" si="368"/>
        <v>Sea</v>
      </c>
      <c r="AK371" s="154" t="str">
        <f t="shared" si="369"/>
        <v>Break bulk</v>
      </c>
      <c r="AL371" s="154" t="str">
        <f t="shared" si="370"/>
        <v>Methanol</v>
      </c>
      <c r="AM371" s="164">
        <f t="shared" si="371"/>
        <v>1.0670310162428187</v>
      </c>
    </row>
    <row r="372" spans="33:39" x14ac:dyDescent="0.25">
      <c r="AG372" s="154" t="s">
        <v>423</v>
      </c>
      <c r="AH372" s="154" t="s">
        <v>422</v>
      </c>
      <c r="AI372" s="154">
        <v>2023</v>
      </c>
      <c r="AJ372" s="154" t="str">
        <f t="shared" si="368"/>
        <v>Sea</v>
      </c>
      <c r="AK372" s="154" t="str">
        <f t="shared" si="369"/>
        <v>Neo bulk</v>
      </c>
      <c r="AL372" s="154" t="str">
        <f t="shared" si="370"/>
        <v>HFO</v>
      </c>
      <c r="AM372" s="164">
        <f t="shared" si="371"/>
        <v>0.95397930577775814</v>
      </c>
    </row>
    <row r="373" spans="33:39" x14ac:dyDescent="0.25">
      <c r="AG373" s="154" t="s">
        <v>423</v>
      </c>
      <c r="AH373" s="154" t="s">
        <v>422</v>
      </c>
      <c r="AI373" s="154">
        <v>2023</v>
      </c>
      <c r="AJ373" s="154" t="str">
        <f t="shared" si="368"/>
        <v>Sea</v>
      </c>
      <c r="AK373" s="154" t="str">
        <f t="shared" si="369"/>
        <v>Neo bulk</v>
      </c>
      <c r="AL373" s="154" t="str">
        <f t="shared" si="370"/>
        <v>MGO</v>
      </c>
      <c r="AM373" s="164">
        <f t="shared" si="371"/>
        <v>0.93315097341633613</v>
      </c>
    </row>
    <row r="374" spans="33:39" x14ac:dyDescent="0.25">
      <c r="AG374" s="154" t="s">
        <v>103</v>
      </c>
      <c r="AH374" s="154" t="s">
        <v>422</v>
      </c>
      <c r="AI374" s="154">
        <v>2023</v>
      </c>
      <c r="AJ374" s="154" t="str">
        <f t="shared" si="368"/>
        <v>Sea</v>
      </c>
      <c r="AK374" s="154" t="str">
        <f t="shared" si="369"/>
        <v>Neo bulk</v>
      </c>
      <c r="AL374" s="154" t="str">
        <f t="shared" si="370"/>
        <v>Hydrogen</v>
      </c>
      <c r="AM374" s="164">
        <f t="shared" si="371"/>
        <v>1.0880076369118854</v>
      </c>
    </row>
    <row r="375" spans="33:39" x14ac:dyDescent="0.25">
      <c r="AG375" s="154" t="s">
        <v>103</v>
      </c>
      <c r="AH375" s="154" t="s">
        <v>422</v>
      </c>
      <c r="AI375" s="154">
        <v>2023</v>
      </c>
      <c r="AJ375" s="154" t="str">
        <f t="shared" si="368"/>
        <v>Sea</v>
      </c>
      <c r="AK375" s="154" t="str">
        <f t="shared" si="369"/>
        <v>Neo bulk</v>
      </c>
      <c r="AL375" s="154" t="str">
        <f t="shared" si="370"/>
        <v>Ammonia</v>
      </c>
      <c r="AM375" s="164">
        <f t="shared" si="371"/>
        <v>1.107942884589679</v>
      </c>
    </row>
    <row r="376" spans="33:39" x14ac:dyDescent="0.25">
      <c r="AG376" s="154" t="s">
        <v>103</v>
      </c>
      <c r="AH376" s="154" t="s">
        <v>422</v>
      </c>
      <c r="AI376" s="154">
        <v>2023</v>
      </c>
      <c r="AJ376" s="154" t="str">
        <f t="shared" si="368"/>
        <v>Sea</v>
      </c>
      <c r="AK376" s="154" t="str">
        <f t="shared" si="369"/>
        <v>Neo bulk</v>
      </c>
      <c r="AL376" s="154" t="str">
        <f t="shared" si="370"/>
        <v>Methanol</v>
      </c>
      <c r="AM376" s="164">
        <f t="shared" si="371"/>
        <v>1.067036411289114</v>
      </c>
    </row>
    <row r="377" spans="33:39" x14ac:dyDescent="0.25">
      <c r="AG377" s="154" t="s">
        <v>423</v>
      </c>
      <c r="AH377" s="154" t="s">
        <v>420</v>
      </c>
      <c r="AI377" s="154">
        <v>2034</v>
      </c>
      <c r="AJ377" s="154" t="str">
        <f>A48</f>
        <v>Sea</v>
      </c>
      <c r="AK377" s="154" t="str">
        <f t="shared" ref="AK377:AL377" si="372">B48</f>
        <v>Dry bulk</v>
      </c>
      <c r="AL377" s="154" t="str">
        <f t="shared" si="372"/>
        <v>HFO</v>
      </c>
      <c r="AM377" s="164">
        <f>S48</f>
        <v>1</v>
      </c>
    </row>
    <row r="378" spans="33:39" x14ac:dyDescent="0.25">
      <c r="AG378" s="154" t="s">
        <v>423</v>
      </c>
      <c r="AH378" s="154" t="s">
        <v>420</v>
      </c>
      <c r="AI378" s="154">
        <v>2034</v>
      </c>
      <c r="AJ378" s="154" t="str">
        <f t="shared" ref="AJ378:AJ396" si="373">A49</f>
        <v>Sea</v>
      </c>
      <c r="AK378" s="154" t="str">
        <f t="shared" ref="AK378:AK396" si="374">B49</f>
        <v>Dry bulk</v>
      </c>
      <c r="AL378" s="154" t="str">
        <f t="shared" ref="AL378:AL396" si="375">C49</f>
        <v>MGO</v>
      </c>
      <c r="AM378" s="164">
        <f t="shared" ref="AM378:AM396" si="376">S49</f>
        <v>1</v>
      </c>
    </row>
    <row r="379" spans="33:39" x14ac:dyDescent="0.25">
      <c r="AG379" s="154" t="s">
        <v>103</v>
      </c>
      <c r="AH379" s="154" t="s">
        <v>420</v>
      </c>
      <c r="AI379" s="154">
        <v>2034</v>
      </c>
      <c r="AJ379" s="154" t="str">
        <f t="shared" si="373"/>
        <v>Sea</v>
      </c>
      <c r="AK379" s="154" t="str">
        <f t="shared" si="374"/>
        <v>Dry bulk</v>
      </c>
      <c r="AL379" s="154" t="str">
        <f t="shared" si="375"/>
        <v>Hydrogen</v>
      </c>
      <c r="AM379" s="164">
        <f t="shared" si="376"/>
        <v>1</v>
      </c>
    </row>
    <row r="380" spans="33:39" x14ac:dyDescent="0.25">
      <c r="AG380" s="154" t="s">
        <v>103</v>
      </c>
      <c r="AH380" s="154" t="s">
        <v>420</v>
      </c>
      <c r="AI380" s="154">
        <v>2034</v>
      </c>
      <c r="AJ380" s="154" t="str">
        <f t="shared" si="373"/>
        <v>Sea</v>
      </c>
      <c r="AK380" s="154" t="str">
        <f t="shared" si="374"/>
        <v>Dry bulk</v>
      </c>
      <c r="AL380" s="154" t="str">
        <f t="shared" si="375"/>
        <v>Ammonia</v>
      </c>
      <c r="AM380" s="164">
        <f t="shared" si="376"/>
        <v>1</v>
      </c>
    </row>
    <row r="381" spans="33:39" x14ac:dyDescent="0.25">
      <c r="AG381" s="154" t="s">
        <v>103</v>
      </c>
      <c r="AH381" s="154" t="s">
        <v>420</v>
      </c>
      <c r="AI381" s="154">
        <v>2034</v>
      </c>
      <c r="AJ381" s="154" t="str">
        <f t="shared" si="373"/>
        <v>Sea</v>
      </c>
      <c r="AK381" s="154" t="str">
        <f t="shared" si="374"/>
        <v>Dry bulk</v>
      </c>
      <c r="AL381" s="154" t="str">
        <f t="shared" si="375"/>
        <v>Methanol</v>
      </c>
      <c r="AM381" s="164">
        <f t="shared" si="376"/>
        <v>1</v>
      </c>
    </row>
    <row r="382" spans="33:39" x14ac:dyDescent="0.25">
      <c r="AG382" s="154" t="s">
        <v>423</v>
      </c>
      <c r="AH382" s="154" t="s">
        <v>420</v>
      </c>
      <c r="AI382" s="154">
        <v>2034</v>
      </c>
      <c r="AJ382" s="154" t="str">
        <f t="shared" si="373"/>
        <v>Sea</v>
      </c>
      <c r="AK382" s="154" t="str">
        <f t="shared" si="374"/>
        <v>Container</v>
      </c>
      <c r="AL382" s="154" t="str">
        <f t="shared" si="375"/>
        <v>HFO</v>
      </c>
      <c r="AM382" s="164">
        <f t="shared" si="376"/>
        <v>1</v>
      </c>
    </row>
    <row r="383" spans="33:39" x14ac:dyDescent="0.25">
      <c r="AG383" s="154" t="s">
        <v>423</v>
      </c>
      <c r="AH383" s="154" t="s">
        <v>420</v>
      </c>
      <c r="AI383" s="154">
        <v>2034</v>
      </c>
      <c r="AJ383" s="154" t="str">
        <f t="shared" si="373"/>
        <v>Sea</v>
      </c>
      <c r="AK383" s="154" t="str">
        <f t="shared" si="374"/>
        <v>Container</v>
      </c>
      <c r="AL383" s="154" t="str">
        <f t="shared" si="375"/>
        <v>MGO</v>
      </c>
      <c r="AM383" s="164">
        <f t="shared" si="376"/>
        <v>1</v>
      </c>
    </row>
    <row r="384" spans="33:39" x14ac:dyDescent="0.25">
      <c r="AG384" s="154" t="s">
        <v>103</v>
      </c>
      <c r="AH384" s="154" t="s">
        <v>420</v>
      </c>
      <c r="AI384" s="154">
        <v>2034</v>
      </c>
      <c r="AJ384" s="154" t="str">
        <f t="shared" si="373"/>
        <v>Sea</v>
      </c>
      <c r="AK384" s="154" t="str">
        <f t="shared" si="374"/>
        <v>Container</v>
      </c>
      <c r="AL384" s="154" t="str">
        <f t="shared" si="375"/>
        <v>Hydrogen</v>
      </c>
      <c r="AM384" s="164">
        <f t="shared" si="376"/>
        <v>1</v>
      </c>
    </row>
    <row r="385" spans="33:39" x14ac:dyDescent="0.25">
      <c r="AG385" s="154" t="s">
        <v>103</v>
      </c>
      <c r="AH385" s="154" t="s">
        <v>420</v>
      </c>
      <c r="AI385" s="154">
        <v>2034</v>
      </c>
      <c r="AJ385" s="154" t="str">
        <f t="shared" si="373"/>
        <v>Sea</v>
      </c>
      <c r="AK385" s="154" t="str">
        <f t="shared" si="374"/>
        <v>Container</v>
      </c>
      <c r="AL385" s="154" t="str">
        <f t="shared" si="375"/>
        <v>Ammonia</v>
      </c>
      <c r="AM385" s="164">
        <f t="shared" si="376"/>
        <v>1</v>
      </c>
    </row>
    <row r="386" spans="33:39" x14ac:dyDescent="0.25">
      <c r="AG386" s="154" t="s">
        <v>103</v>
      </c>
      <c r="AH386" s="154" t="s">
        <v>420</v>
      </c>
      <c r="AI386" s="154">
        <v>2034</v>
      </c>
      <c r="AJ386" s="154" t="str">
        <f t="shared" si="373"/>
        <v>Sea</v>
      </c>
      <c r="AK386" s="154" t="str">
        <f t="shared" si="374"/>
        <v>Container</v>
      </c>
      <c r="AL386" s="154" t="str">
        <f t="shared" si="375"/>
        <v>Methanol</v>
      </c>
      <c r="AM386" s="164">
        <f t="shared" si="376"/>
        <v>1</v>
      </c>
    </row>
    <row r="387" spans="33:39" x14ac:dyDescent="0.25">
      <c r="AG387" s="154" t="s">
        <v>423</v>
      </c>
      <c r="AH387" s="154" t="s">
        <v>420</v>
      </c>
      <c r="AI387" s="154">
        <v>2034</v>
      </c>
      <c r="AJ387" s="154" t="str">
        <f t="shared" si="373"/>
        <v>Sea</v>
      </c>
      <c r="AK387" s="154" t="str">
        <f t="shared" si="374"/>
        <v>Break bulk</v>
      </c>
      <c r="AL387" s="154" t="str">
        <f t="shared" si="375"/>
        <v>HFO</v>
      </c>
      <c r="AM387" s="164">
        <f t="shared" si="376"/>
        <v>1</v>
      </c>
    </row>
    <row r="388" spans="33:39" x14ac:dyDescent="0.25">
      <c r="AG388" s="154" t="s">
        <v>423</v>
      </c>
      <c r="AH388" s="154" t="s">
        <v>420</v>
      </c>
      <c r="AI388" s="154">
        <v>2034</v>
      </c>
      <c r="AJ388" s="154" t="str">
        <f t="shared" si="373"/>
        <v>Sea</v>
      </c>
      <c r="AK388" s="154" t="str">
        <f t="shared" si="374"/>
        <v>Break bulk</v>
      </c>
      <c r="AL388" s="154" t="str">
        <f t="shared" si="375"/>
        <v>MGO</v>
      </c>
      <c r="AM388" s="164">
        <f t="shared" si="376"/>
        <v>1</v>
      </c>
    </row>
    <row r="389" spans="33:39" x14ac:dyDescent="0.25">
      <c r="AG389" s="154" t="s">
        <v>103</v>
      </c>
      <c r="AH389" s="154" t="s">
        <v>420</v>
      </c>
      <c r="AI389" s="154">
        <v>2034</v>
      </c>
      <c r="AJ389" s="154" t="str">
        <f t="shared" si="373"/>
        <v>Sea</v>
      </c>
      <c r="AK389" s="154" t="str">
        <f t="shared" si="374"/>
        <v>Break bulk</v>
      </c>
      <c r="AL389" s="154" t="str">
        <f t="shared" si="375"/>
        <v>Hydrogen</v>
      </c>
      <c r="AM389" s="164">
        <f t="shared" si="376"/>
        <v>1</v>
      </c>
    </row>
    <row r="390" spans="33:39" x14ac:dyDescent="0.25">
      <c r="AG390" s="154" t="s">
        <v>103</v>
      </c>
      <c r="AH390" s="154" t="s">
        <v>420</v>
      </c>
      <c r="AI390" s="154">
        <v>2034</v>
      </c>
      <c r="AJ390" s="154" t="str">
        <f t="shared" si="373"/>
        <v>Sea</v>
      </c>
      <c r="AK390" s="154" t="str">
        <f t="shared" si="374"/>
        <v>Break bulk</v>
      </c>
      <c r="AL390" s="154" t="str">
        <f t="shared" si="375"/>
        <v>Ammonia</v>
      </c>
      <c r="AM390" s="164">
        <f t="shared" si="376"/>
        <v>1</v>
      </c>
    </row>
    <row r="391" spans="33:39" x14ac:dyDescent="0.25">
      <c r="AG391" s="154" t="s">
        <v>103</v>
      </c>
      <c r="AH391" s="154" t="s">
        <v>420</v>
      </c>
      <c r="AI391" s="154">
        <v>2034</v>
      </c>
      <c r="AJ391" s="154" t="str">
        <f t="shared" si="373"/>
        <v>Sea</v>
      </c>
      <c r="AK391" s="154" t="str">
        <f t="shared" si="374"/>
        <v>Break bulk</v>
      </c>
      <c r="AL391" s="154" t="str">
        <f t="shared" si="375"/>
        <v>Methanol</v>
      </c>
      <c r="AM391" s="164">
        <f t="shared" si="376"/>
        <v>1</v>
      </c>
    </row>
    <row r="392" spans="33:39" x14ac:dyDescent="0.25">
      <c r="AG392" s="154" t="s">
        <v>423</v>
      </c>
      <c r="AH392" s="154" t="s">
        <v>420</v>
      </c>
      <c r="AI392" s="154">
        <v>2034</v>
      </c>
      <c r="AJ392" s="154" t="str">
        <f t="shared" si="373"/>
        <v>Sea</v>
      </c>
      <c r="AK392" s="154" t="str">
        <f t="shared" si="374"/>
        <v>Neo bulk</v>
      </c>
      <c r="AL392" s="154" t="str">
        <f t="shared" si="375"/>
        <v>HFO</v>
      </c>
      <c r="AM392" s="164">
        <f t="shared" si="376"/>
        <v>1</v>
      </c>
    </row>
    <row r="393" spans="33:39" x14ac:dyDescent="0.25">
      <c r="AG393" s="154" t="s">
        <v>423</v>
      </c>
      <c r="AH393" s="154" t="s">
        <v>420</v>
      </c>
      <c r="AI393" s="154">
        <v>2034</v>
      </c>
      <c r="AJ393" s="154" t="str">
        <f t="shared" si="373"/>
        <v>Sea</v>
      </c>
      <c r="AK393" s="154" t="str">
        <f t="shared" si="374"/>
        <v>Neo bulk</v>
      </c>
      <c r="AL393" s="154" t="str">
        <f t="shared" si="375"/>
        <v>MGO</v>
      </c>
      <c r="AM393" s="164">
        <f t="shared" si="376"/>
        <v>1</v>
      </c>
    </row>
    <row r="394" spans="33:39" x14ac:dyDescent="0.25">
      <c r="AG394" s="154" t="s">
        <v>103</v>
      </c>
      <c r="AH394" s="154" t="s">
        <v>420</v>
      </c>
      <c r="AI394" s="154">
        <v>2034</v>
      </c>
      <c r="AJ394" s="154" t="str">
        <f t="shared" si="373"/>
        <v>Sea</v>
      </c>
      <c r="AK394" s="154" t="str">
        <f t="shared" si="374"/>
        <v>Neo bulk</v>
      </c>
      <c r="AL394" s="154" t="str">
        <f t="shared" si="375"/>
        <v>Hydrogen</v>
      </c>
      <c r="AM394" s="164">
        <f t="shared" si="376"/>
        <v>1</v>
      </c>
    </row>
    <row r="395" spans="33:39" x14ac:dyDescent="0.25">
      <c r="AG395" s="154" t="s">
        <v>103</v>
      </c>
      <c r="AH395" s="154" t="s">
        <v>420</v>
      </c>
      <c r="AI395" s="154">
        <v>2034</v>
      </c>
      <c r="AJ395" s="154" t="str">
        <f t="shared" si="373"/>
        <v>Sea</v>
      </c>
      <c r="AK395" s="154" t="str">
        <f t="shared" si="374"/>
        <v>Neo bulk</v>
      </c>
      <c r="AL395" s="154" t="str">
        <f t="shared" si="375"/>
        <v>Ammonia</v>
      </c>
      <c r="AM395" s="164">
        <f t="shared" si="376"/>
        <v>1</v>
      </c>
    </row>
    <row r="396" spans="33:39" x14ac:dyDescent="0.25">
      <c r="AG396" s="154" t="s">
        <v>103</v>
      </c>
      <c r="AH396" s="154" t="s">
        <v>420</v>
      </c>
      <c r="AI396" s="154">
        <v>2034</v>
      </c>
      <c r="AJ396" s="154" t="str">
        <f t="shared" si="373"/>
        <v>Sea</v>
      </c>
      <c r="AK396" s="154" t="str">
        <f t="shared" si="374"/>
        <v>Neo bulk</v>
      </c>
      <c r="AL396" s="154" t="str">
        <f t="shared" si="375"/>
        <v>Methanol</v>
      </c>
      <c r="AM396" s="164">
        <f t="shared" si="376"/>
        <v>1</v>
      </c>
    </row>
    <row r="397" spans="33:39" x14ac:dyDescent="0.25">
      <c r="AG397" s="154" t="s">
        <v>423</v>
      </c>
      <c r="AH397" s="154" t="s">
        <v>421</v>
      </c>
      <c r="AI397" s="154">
        <v>2034</v>
      </c>
      <c r="AJ397" s="154" t="str">
        <f>A48</f>
        <v>Sea</v>
      </c>
      <c r="AK397" s="154" t="str">
        <f t="shared" ref="AK397:AL397" si="377">B48</f>
        <v>Dry bulk</v>
      </c>
      <c r="AL397" s="154" t="str">
        <f t="shared" si="377"/>
        <v>HFO</v>
      </c>
      <c r="AM397" s="164">
        <f>T48</f>
        <v>1.0704106913051665</v>
      </c>
    </row>
    <row r="398" spans="33:39" x14ac:dyDescent="0.25">
      <c r="AG398" s="154" t="s">
        <v>423</v>
      </c>
      <c r="AH398" s="154" t="s">
        <v>421</v>
      </c>
      <c r="AI398" s="154">
        <v>2034</v>
      </c>
      <c r="AJ398" s="154" t="str">
        <f t="shared" ref="AJ398:AJ416" si="378">A49</f>
        <v>Sea</v>
      </c>
      <c r="AK398" s="154" t="str">
        <f t="shared" ref="AK398:AK416" si="379">B49</f>
        <v>Dry bulk</v>
      </c>
      <c r="AL398" s="154" t="str">
        <f t="shared" ref="AL398:AL416" si="380">C49</f>
        <v>MGO</v>
      </c>
      <c r="AM398" s="164">
        <f t="shared" ref="AM398:AM416" si="381">T49</f>
        <v>1.1075488867414225</v>
      </c>
    </row>
    <row r="399" spans="33:39" x14ac:dyDescent="0.25">
      <c r="AG399" s="154" t="s">
        <v>103</v>
      </c>
      <c r="AH399" s="154" t="s">
        <v>421</v>
      </c>
      <c r="AI399" s="154">
        <v>2034</v>
      </c>
      <c r="AJ399" s="154" t="str">
        <f t="shared" si="378"/>
        <v>Sea</v>
      </c>
      <c r="AK399" s="154" t="str">
        <f t="shared" si="379"/>
        <v>Dry bulk</v>
      </c>
      <c r="AL399" s="154" t="str">
        <f t="shared" si="380"/>
        <v>Hydrogen</v>
      </c>
      <c r="AM399" s="164">
        <f t="shared" si="381"/>
        <v>0.93753665040880552</v>
      </c>
    </row>
    <row r="400" spans="33:39" x14ac:dyDescent="0.25">
      <c r="AG400" s="154" t="s">
        <v>103</v>
      </c>
      <c r="AH400" s="154" t="s">
        <v>421</v>
      </c>
      <c r="AI400" s="154">
        <v>2034</v>
      </c>
      <c r="AJ400" s="154" t="str">
        <f t="shared" si="378"/>
        <v>Sea</v>
      </c>
      <c r="AK400" s="154" t="str">
        <f t="shared" si="379"/>
        <v>Dry bulk</v>
      </c>
      <c r="AL400" s="154" t="str">
        <f t="shared" si="380"/>
        <v>Ammonia</v>
      </c>
      <c r="AM400" s="164">
        <f t="shared" si="381"/>
        <v>0.92804871734830874</v>
      </c>
    </row>
    <row r="401" spans="33:39" x14ac:dyDescent="0.25">
      <c r="AG401" s="154" t="s">
        <v>103</v>
      </c>
      <c r="AH401" s="154" t="s">
        <v>421</v>
      </c>
      <c r="AI401" s="154">
        <v>2034</v>
      </c>
      <c r="AJ401" s="154" t="str">
        <f t="shared" si="378"/>
        <v>Sea</v>
      </c>
      <c r="AK401" s="154" t="str">
        <f t="shared" si="379"/>
        <v>Dry bulk</v>
      </c>
      <c r="AL401" s="154" t="str">
        <f t="shared" si="380"/>
        <v>Methanol</v>
      </c>
      <c r="AM401" s="164">
        <f t="shared" si="381"/>
        <v>0.93916520712563734</v>
      </c>
    </row>
    <row r="402" spans="33:39" x14ac:dyDescent="0.25">
      <c r="AG402" s="154" t="s">
        <v>423</v>
      </c>
      <c r="AH402" s="154" t="s">
        <v>421</v>
      </c>
      <c r="AI402" s="154">
        <v>2034</v>
      </c>
      <c r="AJ402" s="154" t="str">
        <f t="shared" si="378"/>
        <v>Sea</v>
      </c>
      <c r="AK402" s="154" t="str">
        <f t="shared" si="379"/>
        <v>Container</v>
      </c>
      <c r="AL402" s="154" t="str">
        <f t="shared" si="380"/>
        <v>HFO</v>
      </c>
      <c r="AM402" s="164">
        <f t="shared" si="381"/>
        <v>1.0647364305056337</v>
      </c>
    </row>
    <row r="403" spans="33:39" x14ac:dyDescent="0.25">
      <c r="AG403" s="154" t="s">
        <v>423</v>
      </c>
      <c r="AH403" s="154" t="s">
        <v>421</v>
      </c>
      <c r="AI403" s="154">
        <v>2034</v>
      </c>
      <c r="AJ403" s="154" t="str">
        <f t="shared" si="378"/>
        <v>Sea</v>
      </c>
      <c r="AK403" s="154" t="str">
        <f t="shared" si="379"/>
        <v>Container</v>
      </c>
      <c r="AL403" s="154" t="str">
        <f t="shared" si="380"/>
        <v>MGO</v>
      </c>
      <c r="AM403" s="164">
        <f t="shared" si="381"/>
        <v>1.1014596585562899</v>
      </c>
    </row>
    <row r="404" spans="33:39" x14ac:dyDescent="0.25">
      <c r="AG404" s="154" t="s">
        <v>103</v>
      </c>
      <c r="AH404" s="154" t="s">
        <v>421</v>
      </c>
      <c r="AI404" s="154">
        <v>2034</v>
      </c>
      <c r="AJ404" s="154" t="str">
        <f t="shared" si="378"/>
        <v>Sea</v>
      </c>
      <c r="AK404" s="154" t="str">
        <f t="shared" si="379"/>
        <v>Container</v>
      </c>
      <c r="AL404" s="154" t="str">
        <f t="shared" si="380"/>
        <v>Hydrogen</v>
      </c>
      <c r="AM404" s="164">
        <f t="shared" si="381"/>
        <v>0.93928673148387354</v>
      </c>
    </row>
    <row r="405" spans="33:39" x14ac:dyDescent="0.25">
      <c r="AG405" s="154" t="s">
        <v>103</v>
      </c>
      <c r="AH405" s="154" t="s">
        <v>421</v>
      </c>
      <c r="AI405" s="154">
        <v>2034</v>
      </c>
      <c r="AJ405" s="154" t="str">
        <f t="shared" si="378"/>
        <v>Sea</v>
      </c>
      <c r="AK405" s="154" t="str">
        <f t="shared" si="379"/>
        <v>Container</v>
      </c>
      <c r="AL405" s="154" t="str">
        <f t="shared" si="380"/>
        <v>Ammonia</v>
      </c>
      <c r="AM405" s="164">
        <f t="shared" si="381"/>
        <v>0.93010321230847193</v>
      </c>
    </row>
    <row r="406" spans="33:39" x14ac:dyDescent="0.25">
      <c r="AG406" s="154" t="s">
        <v>103</v>
      </c>
      <c r="AH406" s="154" t="s">
        <v>421</v>
      </c>
      <c r="AI406" s="154">
        <v>2034</v>
      </c>
      <c r="AJ406" s="154" t="str">
        <f t="shared" si="378"/>
        <v>Sea</v>
      </c>
      <c r="AK406" s="154" t="str">
        <f t="shared" si="379"/>
        <v>Container</v>
      </c>
      <c r="AL406" s="154" t="str">
        <f t="shared" si="380"/>
        <v>Methanol</v>
      </c>
      <c r="AM406" s="164">
        <f t="shared" si="381"/>
        <v>0.94037487721817903</v>
      </c>
    </row>
    <row r="407" spans="33:39" x14ac:dyDescent="0.25">
      <c r="AG407" s="154" t="s">
        <v>423</v>
      </c>
      <c r="AH407" s="154" t="s">
        <v>421</v>
      </c>
      <c r="AI407" s="154">
        <v>2034</v>
      </c>
      <c r="AJ407" s="154" t="str">
        <f t="shared" si="378"/>
        <v>Sea</v>
      </c>
      <c r="AK407" s="154" t="str">
        <f t="shared" si="379"/>
        <v>Break bulk</v>
      </c>
      <c r="AL407" s="154" t="str">
        <f t="shared" si="380"/>
        <v>HFO</v>
      </c>
      <c r="AM407" s="164">
        <f t="shared" si="381"/>
        <v>1.0704325587661827</v>
      </c>
    </row>
    <row r="408" spans="33:39" x14ac:dyDescent="0.25">
      <c r="AG408" s="154" t="s">
        <v>423</v>
      </c>
      <c r="AH408" s="154" t="s">
        <v>421</v>
      </c>
      <c r="AI408" s="154">
        <v>2034</v>
      </c>
      <c r="AJ408" s="154" t="str">
        <f t="shared" si="378"/>
        <v>Sea</v>
      </c>
      <c r="AK408" s="154" t="str">
        <f t="shared" si="379"/>
        <v>Break bulk</v>
      </c>
      <c r="AL408" s="154" t="str">
        <f t="shared" si="380"/>
        <v>MGO</v>
      </c>
      <c r="AM408" s="164">
        <f t="shared" si="381"/>
        <v>1.1075717549137987</v>
      </c>
    </row>
    <row r="409" spans="33:39" x14ac:dyDescent="0.25">
      <c r="AG409" s="154" t="s">
        <v>103</v>
      </c>
      <c r="AH409" s="154" t="s">
        <v>421</v>
      </c>
      <c r="AI409" s="154">
        <v>2034</v>
      </c>
      <c r="AJ409" s="154" t="str">
        <f t="shared" si="378"/>
        <v>Sea</v>
      </c>
      <c r="AK409" s="154" t="str">
        <f t="shared" si="379"/>
        <v>Break bulk</v>
      </c>
      <c r="AL409" s="154" t="str">
        <f t="shared" si="380"/>
        <v>Hydrogen</v>
      </c>
      <c r="AM409" s="164">
        <f t="shared" si="381"/>
        <v>0.93752900864987176</v>
      </c>
    </row>
    <row r="410" spans="33:39" x14ac:dyDescent="0.25">
      <c r="AG410" s="154" t="s">
        <v>103</v>
      </c>
      <c r="AH410" s="154" t="s">
        <v>421</v>
      </c>
      <c r="AI410" s="154">
        <v>2034</v>
      </c>
      <c r="AJ410" s="154" t="str">
        <f t="shared" si="378"/>
        <v>Sea</v>
      </c>
      <c r="AK410" s="154" t="str">
        <f t="shared" si="379"/>
        <v>Break bulk</v>
      </c>
      <c r="AL410" s="154" t="str">
        <f t="shared" si="380"/>
        <v>Ammonia</v>
      </c>
      <c r="AM410" s="164">
        <f t="shared" si="381"/>
        <v>0.92804002894442783</v>
      </c>
    </row>
    <row r="411" spans="33:39" x14ac:dyDescent="0.25">
      <c r="AG411" s="154" t="s">
        <v>103</v>
      </c>
      <c r="AH411" s="154" t="s">
        <v>421</v>
      </c>
      <c r="AI411" s="154">
        <v>2034</v>
      </c>
      <c r="AJ411" s="154" t="str">
        <f t="shared" si="378"/>
        <v>Sea</v>
      </c>
      <c r="AK411" s="154" t="str">
        <f t="shared" si="379"/>
        <v>Break bulk</v>
      </c>
      <c r="AL411" s="154" t="str">
        <f t="shared" si="380"/>
        <v>Methanol</v>
      </c>
      <c r="AM411" s="164">
        <f t="shared" si="381"/>
        <v>0.93916048165345323</v>
      </c>
    </row>
    <row r="412" spans="33:39" x14ac:dyDescent="0.25">
      <c r="AG412" s="154" t="s">
        <v>423</v>
      </c>
      <c r="AH412" s="154" t="s">
        <v>421</v>
      </c>
      <c r="AI412" s="154">
        <v>2034</v>
      </c>
      <c r="AJ412" s="154" t="str">
        <f t="shared" si="378"/>
        <v>Sea</v>
      </c>
      <c r="AK412" s="154" t="str">
        <f t="shared" si="379"/>
        <v>Neo bulk</v>
      </c>
      <c r="AL412" s="154" t="str">
        <f t="shared" si="380"/>
        <v>HFO</v>
      </c>
      <c r="AM412" s="164">
        <f t="shared" si="381"/>
        <v>1.0704701791882731</v>
      </c>
    </row>
    <row r="413" spans="33:39" x14ac:dyDescent="0.25">
      <c r="AG413" s="154" t="s">
        <v>423</v>
      </c>
      <c r="AH413" s="154" t="s">
        <v>421</v>
      </c>
      <c r="AI413" s="154">
        <v>2034</v>
      </c>
      <c r="AJ413" s="154" t="str">
        <f t="shared" si="378"/>
        <v>Sea</v>
      </c>
      <c r="AK413" s="154" t="str">
        <f t="shared" si="379"/>
        <v>Neo bulk</v>
      </c>
      <c r="AL413" s="154" t="str">
        <f t="shared" si="380"/>
        <v>MGO</v>
      </c>
      <c r="AM413" s="164">
        <f t="shared" si="381"/>
        <v>1.1076110864663196</v>
      </c>
    </row>
    <row r="414" spans="33:39" x14ac:dyDescent="0.25">
      <c r="AG414" s="154" t="s">
        <v>103</v>
      </c>
      <c r="AH414" s="154" t="s">
        <v>421</v>
      </c>
      <c r="AI414" s="154">
        <v>2034</v>
      </c>
      <c r="AJ414" s="154" t="str">
        <f t="shared" si="378"/>
        <v>Sea</v>
      </c>
      <c r="AK414" s="154" t="str">
        <f t="shared" si="379"/>
        <v>Neo bulk</v>
      </c>
      <c r="AL414" s="154" t="str">
        <f t="shared" si="380"/>
        <v>Hydrogen</v>
      </c>
      <c r="AM414" s="164">
        <f t="shared" si="381"/>
        <v>0.93751938467810003</v>
      </c>
    </row>
    <row r="415" spans="33:39" x14ac:dyDescent="0.25">
      <c r="AG415" s="154" t="s">
        <v>103</v>
      </c>
      <c r="AH415" s="154" t="s">
        <v>421</v>
      </c>
      <c r="AI415" s="154">
        <v>2034</v>
      </c>
      <c r="AJ415" s="154" t="str">
        <f t="shared" si="378"/>
        <v>Sea</v>
      </c>
      <c r="AK415" s="154" t="str">
        <f t="shared" si="379"/>
        <v>Neo bulk</v>
      </c>
      <c r="AL415" s="154" t="str">
        <f t="shared" si="380"/>
        <v>Ammonia</v>
      </c>
      <c r="AM415" s="164">
        <f t="shared" si="381"/>
        <v>0.928028418354094</v>
      </c>
    </row>
    <row r="416" spans="33:39" x14ac:dyDescent="0.25">
      <c r="AG416" s="154" t="s">
        <v>103</v>
      </c>
      <c r="AH416" s="154" t="s">
        <v>421</v>
      </c>
      <c r="AI416" s="154">
        <v>2034</v>
      </c>
      <c r="AJ416" s="154" t="str">
        <f t="shared" si="378"/>
        <v>Sea</v>
      </c>
      <c r="AK416" s="154" t="str">
        <f t="shared" si="379"/>
        <v>Neo bulk</v>
      </c>
      <c r="AL416" s="154" t="str">
        <f t="shared" si="380"/>
        <v>Methanol</v>
      </c>
      <c r="AM416" s="164">
        <f t="shared" si="381"/>
        <v>0.93915334009684803</v>
      </c>
    </row>
    <row r="417" spans="33:39" x14ac:dyDescent="0.25">
      <c r="AG417" s="154" t="s">
        <v>423</v>
      </c>
      <c r="AH417" s="154" t="s">
        <v>422</v>
      </c>
      <c r="AI417" s="154">
        <v>2034</v>
      </c>
      <c r="AJ417" s="154" t="str">
        <f>A48</f>
        <v>Sea</v>
      </c>
      <c r="AK417" s="154" t="str">
        <f t="shared" ref="AK417:AL417" si="382">B48</f>
        <v>Dry bulk</v>
      </c>
      <c r="AL417" s="154" t="str">
        <f t="shared" si="382"/>
        <v>HFO</v>
      </c>
      <c r="AM417" s="164">
        <f>U48</f>
        <v>0.82870234801877418</v>
      </c>
    </row>
    <row r="418" spans="33:39" x14ac:dyDescent="0.25">
      <c r="AG418" s="154" t="s">
        <v>423</v>
      </c>
      <c r="AH418" s="154" t="s">
        <v>422</v>
      </c>
      <c r="AI418" s="154">
        <v>2034</v>
      </c>
      <c r="AJ418" s="154" t="str">
        <f t="shared" ref="AJ418:AJ436" si="383">A49</f>
        <v>Sea</v>
      </c>
      <c r="AK418" s="154" t="str">
        <f t="shared" ref="AK418:AK436" si="384">B49</f>
        <v>Dry bulk</v>
      </c>
      <c r="AL418" s="154" t="str">
        <f t="shared" ref="AL418:AL436" si="385">C49</f>
        <v>MGO</v>
      </c>
      <c r="AM418" s="164">
        <f t="shared" ref="AM418:AM436" si="386">U49</f>
        <v>0.73835121583803198</v>
      </c>
    </row>
    <row r="419" spans="33:39" x14ac:dyDescent="0.25">
      <c r="AG419" s="154" t="s">
        <v>103</v>
      </c>
      <c r="AH419" s="154" t="s">
        <v>422</v>
      </c>
      <c r="AI419" s="154">
        <v>2034</v>
      </c>
      <c r="AJ419" s="154" t="str">
        <f t="shared" si="383"/>
        <v>Sea</v>
      </c>
      <c r="AK419" s="154" t="str">
        <f t="shared" si="384"/>
        <v>Dry bulk</v>
      </c>
      <c r="AL419" s="154" t="str">
        <f t="shared" si="385"/>
        <v>Hydrogen</v>
      </c>
      <c r="AM419" s="164">
        <f t="shared" si="386"/>
        <v>1.0893628303785809</v>
      </c>
    </row>
    <row r="420" spans="33:39" x14ac:dyDescent="0.25">
      <c r="AG420" s="154" t="s">
        <v>103</v>
      </c>
      <c r="AH420" s="154" t="s">
        <v>422</v>
      </c>
      <c r="AI420" s="154">
        <v>2034</v>
      </c>
      <c r="AJ420" s="154" t="str">
        <f t="shared" si="383"/>
        <v>Sea</v>
      </c>
      <c r="AK420" s="154" t="str">
        <f t="shared" si="384"/>
        <v>Dry bulk</v>
      </c>
      <c r="AL420" s="154" t="str">
        <f t="shared" si="385"/>
        <v>Ammonia</v>
      </c>
      <c r="AM420" s="164">
        <f t="shared" si="386"/>
        <v>1.102936687020557</v>
      </c>
    </row>
    <row r="421" spans="33:39" x14ac:dyDescent="0.25">
      <c r="AG421" s="154" t="s">
        <v>103</v>
      </c>
      <c r="AH421" s="154" t="s">
        <v>422</v>
      </c>
      <c r="AI421" s="154">
        <v>2034</v>
      </c>
      <c r="AJ421" s="154" t="str">
        <f t="shared" si="383"/>
        <v>Sea</v>
      </c>
      <c r="AK421" s="154" t="str">
        <f t="shared" si="384"/>
        <v>Dry bulk</v>
      </c>
      <c r="AL421" s="154" t="str">
        <f t="shared" si="385"/>
        <v>Methanol</v>
      </c>
      <c r="AM421" s="164">
        <f t="shared" si="386"/>
        <v>1.0870329451162544</v>
      </c>
    </row>
    <row r="422" spans="33:39" x14ac:dyDescent="0.25">
      <c r="AG422" s="154" t="s">
        <v>423</v>
      </c>
      <c r="AH422" s="154" t="s">
        <v>422</v>
      </c>
      <c r="AI422" s="154">
        <v>2034</v>
      </c>
      <c r="AJ422" s="154" t="str">
        <f t="shared" si="383"/>
        <v>Sea</v>
      </c>
      <c r="AK422" s="154" t="str">
        <f t="shared" si="384"/>
        <v>Container</v>
      </c>
      <c r="AL422" s="154" t="str">
        <f t="shared" si="385"/>
        <v>HFO</v>
      </c>
      <c r="AM422" s="164">
        <f t="shared" si="386"/>
        <v>0.84250689294898151</v>
      </c>
    </row>
    <row r="423" spans="33:39" x14ac:dyDescent="0.25">
      <c r="AG423" s="154" t="s">
        <v>423</v>
      </c>
      <c r="AH423" s="154" t="s">
        <v>422</v>
      </c>
      <c r="AI423" s="154">
        <v>2034</v>
      </c>
      <c r="AJ423" s="154" t="str">
        <f t="shared" si="383"/>
        <v>Sea</v>
      </c>
      <c r="AK423" s="154" t="str">
        <f t="shared" si="384"/>
        <v>Container</v>
      </c>
      <c r="AL423" s="154" t="str">
        <f t="shared" si="385"/>
        <v>MGO</v>
      </c>
      <c r="AM423" s="164">
        <f t="shared" si="386"/>
        <v>0.75316530828842887</v>
      </c>
    </row>
    <row r="424" spans="33:39" x14ac:dyDescent="0.25">
      <c r="AG424" s="154" t="s">
        <v>103</v>
      </c>
      <c r="AH424" s="154" t="s">
        <v>422</v>
      </c>
      <c r="AI424" s="154">
        <v>2034</v>
      </c>
      <c r="AJ424" s="154" t="str">
        <f t="shared" si="383"/>
        <v>Sea</v>
      </c>
      <c r="AK424" s="154" t="str">
        <f t="shared" si="384"/>
        <v>Container</v>
      </c>
      <c r="AL424" s="154" t="str">
        <f t="shared" si="385"/>
        <v>Hydrogen</v>
      </c>
      <c r="AM424" s="164">
        <f t="shared" si="386"/>
        <v>1.0868590869949228</v>
      </c>
    </row>
    <row r="425" spans="33:39" x14ac:dyDescent="0.25">
      <c r="AG425" s="154" t="s">
        <v>103</v>
      </c>
      <c r="AH425" s="154" t="s">
        <v>422</v>
      </c>
      <c r="AI425" s="154">
        <v>2034</v>
      </c>
      <c r="AJ425" s="154" t="str">
        <f t="shared" si="383"/>
        <v>Sea</v>
      </c>
      <c r="AK425" s="154" t="str">
        <f t="shared" si="384"/>
        <v>Container</v>
      </c>
      <c r="AL425" s="154" t="str">
        <f t="shared" si="385"/>
        <v>Ammonia</v>
      </c>
      <c r="AM425" s="164">
        <f t="shared" si="386"/>
        <v>1.0999974356701199</v>
      </c>
    </row>
    <row r="426" spans="33:39" x14ac:dyDescent="0.25">
      <c r="AG426" s="154" t="s">
        <v>103</v>
      </c>
      <c r="AH426" s="154" t="s">
        <v>422</v>
      </c>
      <c r="AI426" s="154">
        <v>2034</v>
      </c>
      <c r="AJ426" s="154" t="str">
        <f t="shared" si="383"/>
        <v>Sea</v>
      </c>
      <c r="AK426" s="154" t="str">
        <f t="shared" si="384"/>
        <v>Container</v>
      </c>
      <c r="AL426" s="154" t="str">
        <f t="shared" si="385"/>
        <v>Methanol</v>
      </c>
      <c r="AM426" s="164">
        <f t="shared" si="386"/>
        <v>1.0853023375839761</v>
      </c>
    </row>
    <row r="427" spans="33:39" x14ac:dyDescent="0.25">
      <c r="AG427" s="154" t="s">
        <v>423</v>
      </c>
      <c r="AH427" s="154" t="s">
        <v>422</v>
      </c>
      <c r="AI427" s="154">
        <v>2034</v>
      </c>
      <c r="AJ427" s="154" t="str">
        <f t="shared" si="383"/>
        <v>Sea</v>
      </c>
      <c r="AK427" s="154" t="str">
        <f t="shared" si="384"/>
        <v>Break bulk</v>
      </c>
      <c r="AL427" s="154" t="str">
        <f t="shared" si="385"/>
        <v>HFO</v>
      </c>
      <c r="AM427" s="164">
        <f t="shared" si="386"/>
        <v>0.82864914807630097</v>
      </c>
    </row>
    <row r="428" spans="33:39" x14ac:dyDescent="0.25">
      <c r="AG428" s="154" t="s">
        <v>423</v>
      </c>
      <c r="AH428" s="154" t="s">
        <v>422</v>
      </c>
      <c r="AI428" s="154">
        <v>2034</v>
      </c>
      <c r="AJ428" s="154" t="str">
        <f t="shared" si="383"/>
        <v>Sea</v>
      </c>
      <c r="AK428" s="154" t="str">
        <f t="shared" si="384"/>
        <v>Break bulk</v>
      </c>
      <c r="AL428" s="154" t="str">
        <f t="shared" si="385"/>
        <v>MGO</v>
      </c>
      <c r="AM428" s="164">
        <f t="shared" si="386"/>
        <v>0.73829558132911666</v>
      </c>
    </row>
    <row r="429" spans="33:39" x14ac:dyDescent="0.25">
      <c r="AG429" s="154" t="s">
        <v>103</v>
      </c>
      <c r="AH429" s="154" t="s">
        <v>422</v>
      </c>
      <c r="AI429" s="154">
        <v>2034</v>
      </c>
      <c r="AJ429" s="154" t="str">
        <f t="shared" si="383"/>
        <v>Sea</v>
      </c>
      <c r="AK429" s="154" t="str">
        <f t="shared" si="384"/>
        <v>Break bulk</v>
      </c>
      <c r="AL429" s="154" t="str">
        <f t="shared" si="385"/>
        <v>Hydrogen</v>
      </c>
      <c r="AM429" s="164">
        <f t="shared" si="386"/>
        <v>1.0893737630168694</v>
      </c>
    </row>
    <row r="430" spans="33:39" x14ac:dyDescent="0.25">
      <c r="AG430" s="154" t="s">
        <v>103</v>
      </c>
      <c r="AH430" s="154" t="s">
        <v>422</v>
      </c>
      <c r="AI430" s="154">
        <v>2034</v>
      </c>
      <c r="AJ430" s="154" t="str">
        <f t="shared" si="383"/>
        <v>Sea</v>
      </c>
      <c r="AK430" s="154" t="str">
        <f t="shared" si="384"/>
        <v>Break bulk</v>
      </c>
      <c r="AL430" s="154" t="str">
        <f t="shared" si="385"/>
        <v>Ammonia</v>
      </c>
      <c r="AM430" s="164">
        <f t="shared" si="386"/>
        <v>1.1029491170353949</v>
      </c>
    </row>
    <row r="431" spans="33:39" x14ac:dyDescent="0.25">
      <c r="AG431" s="154" t="s">
        <v>103</v>
      </c>
      <c r="AH431" s="154" t="s">
        <v>422</v>
      </c>
      <c r="AI431" s="154">
        <v>2034</v>
      </c>
      <c r="AJ431" s="154" t="str">
        <f t="shared" si="383"/>
        <v>Sea</v>
      </c>
      <c r="AK431" s="154" t="str">
        <f t="shared" si="384"/>
        <v>Break bulk</v>
      </c>
      <c r="AL431" s="154" t="str">
        <f t="shared" si="385"/>
        <v>Methanol</v>
      </c>
      <c r="AM431" s="164">
        <f t="shared" si="386"/>
        <v>1.0870397055857457</v>
      </c>
    </row>
    <row r="432" spans="33:39" x14ac:dyDescent="0.25">
      <c r="AG432" s="154" t="s">
        <v>423</v>
      </c>
      <c r="AH432" s="154" t="s">
        <v>422</v>
      </c>
      <c r="AI432" s="154">
        <v>2034</v>
      </c>
      <c r="AJ432" s="154" t="str">
        <f t="shared" si="383"/>
        <v>Sea</v>
      </c>
      <c r="AK432" s="154" t="str">
        <f t="shared" si="384"/>
        <v>Neo bulk</v>
      </c>
      <c r="AL432" s="154" t="str">
        <f t="shared" si="385"/>
        <v>HFO</v>
      </c>
      <c r="AM432" s="164">
        <f t="shared" si="386"/>
        <v>0.82855762376584252</v>
      </c>
    </row>
    <row r="433" spans="33:39" x14ac:dyDescent="0.25">
      <c r="AG433" s="154" t="s">
        <v>423</v>
      </c>
      <c r="AH433" s="154" t="s">
        <v>422</v>
      </c>
      <c r="AI433" s="154">
        <v>2034</v>
      </c>
      <c r="AJ433" s="154" t="str">
        <f t="shared" si="383"/>
        <v>Sea</v>
      </c>
      <c r="AK433" s="154" t="str">
        <f t="shared" si="384"/>
        <v>Neo bulk</v>
      </c>
      <c r="AL433" s="154" t="str">
        <f t="shared" si="385"/>
        <v>MGO</v>
      </c>
      <c r="AM433" s="164">
        <f t="shared" si="386"/>
        <v>0.73819989411925202</v>
      </c>
    </row>
    <row r="434" spans="33:39" x14ac:dyDescent="0.25">
      <c r="AG434" s="154" t="s">
        <v>103</v>
      </c>
      <c r="AH434" s="154" t="s">
        <v>422</v>
      </c>
      <c r="AI434" s="154">
        <v>2034</v>
      </c>
      <c r="AJ434" s="154" t="str">
        <f t="shared" si="383"/>
        <v>Sea</v>
      </c>
      <c r="AK434" s="154" t="str">
        <f t="shared" si="384"/>
        <v>Neo bulk</v>
      </c>
      <c r="AL434" s="154" t="str">
        <f t="shared" si="385"/>
        <v>Hydrogen</v>
      </c>
      <c r="AM434" s="164">
        <f t="shared" si="386"/>
        <v>1.089387531496508</v>
      </c>
    </row>
    <row r="435" spans="33:39" x14ac:dyDescent="0.25">
      <c r="AG435" s="154" t="s">
        <v>103</v>
      </c>
      <c r="AH435" s="154" t="s">
        <v>422</v>
      </c>
      <c r="AI435" s="154">
        <v>2034</v>
      </c>
      <c r="AJ435" s="154" t="str">
        <f t="shared" si="383"/>
        <v>Sea</v>
      </c>
      <c r="AK435" s="154" t="str">
        <f t="shared" si="384"/>
        <v>Neo bulk</v>
      </c>
      <c r="AL435" s="154" t="str">
        <f t="shared" si="385"/>
        <v>Ammonia</v>
      </c>
      <c r="AM435" s="164">
        <f t="shared" si="386"/>
        <v>1.1029657276594071</v>
      </c>
    </row>
    <row r="436" spans="33:39" x14ac:dyDescent="0.25">
      <c r="AG436" s="154" t="s">
        <v>103</v>
      </c>
      <c r="AH436" s="154" t="s">
        <v>422</v>
      </c>
      <c r="AI436" s="154">
        <v>2034</v>
      </c>
      <c r="AJ436" s="154" t="str">
        <f t="shared" si="383"/>
        <v>Sea</v>
      </c>
      <c r="AK436" s="154" t="str">
        <f t="shared" si="384"/>
        <v>Neo bulk</v>
      </c>
      <c r="AL436" s="154" t="str">
        <f t="shared" si="385"/>
        <v>Methanol</v>
      </c>
      <c r="AM436" s="164">
        <f t="shared" si="386"/>
        <v>1.0870499226124619</v>
      </c>
    </row>
    <row r="437" spans="33:39" x14ac:dyDescent="0.25">
      <c r="AG437" s="154" t="s">
        <v>423</v>
      </c>
      <c r="AH437" s="154" t="s">
        <v>420</v>
      </c>
      <c r="AI437" s="154">
        <v>2050</v>
      </c>
      <c r="AJ437" s="154" t="str">
        <f>A48</f>
        <v>Sea</v>
      </c>
      <c r="AK437" s="154" t="str">
        <f t="shared" ref="AK437:AL437" si="387">B48</f>
        <v>Dry bulk</v>
      </c>
      <c r="AL437" s="154" t="str">
        <f t="shared" si="387"/>
        <v>HFO</v>
      </c>
      <c r="AM437" s="164">
        <f>AB48</f>
        <v>1</v>
      </c>
    </row>
    <row r="438" spans="33:39" x14ac:dyDescent="0.25">
      <c r="AG438" s="154" t="s">
        <v>423</v>
      </c>
      <c r="AH438" s="154" t="s">
        <v>420</v>
      </c>
      <c r="AI438" s="154">
        <v>2050</v>
      </c>
      <c r="AJ438" s="154" t="str">
        <f t="shared" ref="AJ438:AJ452" si="388">A49</f>
        <v>Sea</v>
      </c>
      <c r="AK438" s="154" t="str">
        <f t="shared" ref="AK438:AK453" si="389">B49</f>
        <v>Dry bulk</v>
      </c>
      <c r="AL438" s="154" t="str">
        <f t="shared" ref="AL438:AL453" si="390">C49</f>
        <v>MGO</v>
      </c>
      <c r="AM438" s="164">
        <f t="shared" ref="AM438:AM452" si="391">AB49</f>
        <v>1</v>
      </c>
    </row>
    <row r="439" spans="33:39" x14ac:dyDescent="0.25">
      <c r="AG439" s="154" t="s">
        <v>103</v>
      </c>
      <c r="AH439" s="154" t="s">
        <v>420</v>
      </c>
      <c r="AI439" s="154">
        <v>2050</v>
      </c>
      <c r="AJ439" s="154" t="str">
        <f t="shared" si="388"/>
        <v>Sea</v>
      </c>
      <c r="AK439" s="154" t="str">
        <f t="shared" si="389"/>
        <v>Dry bulk</v>
      </c>
      <c r="AL439" s="154" t="str">
        <f t="shared" si="390"/>
        <v>Hydrogen</v>
      </c>
      <c r="AM439" s="164">
        <f t="shared" si="391"/>
        <v>1</v>
      </c>
    </row>
    <row r="440" spans="33:39" x14ac:dyDescent="0.25">
      <c r="AG440" s="154" t="s">
        <v>103</v>
      </c>
      <c r="AH440" s="154" t="s">
        <v>420</v>
      </c>
      <c r="AI440" s="154">
        <v>2050</v>
      </c>
      <c r="AJ440" s="154" t="str">
        <f t="shared" si="388"/>
        <v>Sea</v>
      </c>
      <c r="AK440" s="154" t="str">
        <f t="shared" si="389"/>
        <v>Dry bulk</v>
      </c>
      <c r="AL440" s="154" t="str">
        <f t="shared" si="390"/>
        <v>Ammonia</v>
      </c>
      <c r="AM440" s="164">
        <f t="shared" si="391"/>
        <v>1</v>
      </c>
    </row>
    <row r="441" spans="33:39" x14ac:dyDescent="0.25">
      <c r="AG441" s="154" t="s">
        <v>103</v>
      </c>
      <c r="AH441" s="154" t="s">
        <v>420</v>
      </c>
      <c r="AI441" s="154">
        <v>2050</v>
      </c>
      <c r="AJ441" s="154" t="str">
        <f t="shared" si="388"/>
        <v>Sea</v>
      </c>
      <c r="AK441" s="154" t="str">
        <f t="shared" si="389"/>
        <v>Dry bulk</v>
      </c>
      <c r="AL441" s="154" t="str">
        <f t="shared" si="390"/>
        <v>Methanol</v>
      </c>
      <c r="AM441" s="164">
        <f t="shared" si="391"/>
        <v>1</v>
      </c>
    </row>
    <row r="442" spans="33:39" x14ac:dyDescent="0.25">
      <c r="AG442" s="154" t="s">
        <v>423</v>
      </c>
      <c r="AH442" s="154" t="s">
        <v>420</v>
      </c>
      <c r="AI442" s="154">
        <v>2050</v>
      </c>
      <c r="AJ442" s="154" t="str">
        <f t="shared" si="388"/>
        <v>Sea</v>
      </c>
      <c r="AK442" s="154" t="str">
        <f t="shared" si="389"/>
        <v>Container</v>
      </c>
      <c r="AL442" s="154" t="str">
        <f t="shared" si="390"/>
        <v>HFO</v>
      </c>
      <c r="AM442" s="164">
        <f t="shared" si="391"/>
        <v>1</v>
      </c>
    </row>
    <row r="443" spans="33:39" x14ac:dyDescent="0.25">
      <c r="AG443" s="154" t="s">
        <v>423</v>
      </c>
      <c r="AH443" s="154" t="s">
        <v>420</v>
      </c>
      <c r="AI443" s="154">
        <v>2050</v>
      </c>
      <c r="AJ443" s="154" t="str">
        <f t="shared" si="388"/>
        <v>Sea</v>
      </c>
      <c r="AK443" s="154" t="str">
        <f t="shared" si="389"/>
        <v>Container</v>
      </c>
      <c r="AL443" s="154" t="str">
        <f t="shared" si="390"/>
        <v>MGO</v>
      </c>
      <c r="AM443" s="164">
        <f t="shared" si="391"/>
        <v>1</v>
      </c>
    </row>
    <row r="444" spans="33:39" x14ac:dyDescent="0.25">
      <c r="AG444" s="154" t="s">
        <v>103</v>
      </c>
      <c r="AH444" s="154" t="s">
        <v>420</v>
      </c>
      <c r="AI444" s="154">
        <v>2050</v>
      </c>
      <c r="AJ444" s="154" t="str">
        <f t="shared" si="388"/>
        <v>Sea</v>
      </c>
      <c r="AK444" s="154" t="str">
        <f t="shared" si="389"/>
        <v>Container</v>
      </c>
      <c r="AL444" s="154" t="str">
        <f t="shared" si="390"/>
        <v>Hydrogen</v>
      </c>
      <c r="AM444" s="164">
        <f t="shared" si="391"/>
        <v>1</v>
      </c>
    </row>
    <row r="445" spans="33:39" x14ac:dyDescent="0.25">
      <c r="AG445" s="154" t="s">
        <v>103</v>
      </c>
      <c r="AH445" s="154" t="s">
        <v>420</v>
      </c>
      <c r="AI445" s="154">
        <v>2050</v>
      </c>
      <c r="AJ445" s="154" t="str">
        <f t="shared" si="388"/>
        <v>Sea</v>
      </c>
      <c r="AK445" s="154" t="str">
        <f t="shared" si="389"/>
        <v>Container</v>
      </c>
      <c r="AL445" s="154" t="str">
        <f t="shared" si="390"/>
        <v>Ammonia</v>
      </c>
      <c r="AM445" s="164">
        <f t="shared" si="391"/>
        <v>1</v>
      </c>
    </row>
    <row r="446" spans="33:39" x14ac:dyDescent="0.25">
      <c r="AG446" s="154" t="s">
        <v>103</v>
      </c>
      <c r="AH446" s="154" t="s">
        <v>420</v>
      </c>
      <c r="AI446" s="154">
        <v>2050</v>
      </c>
      <c r="AJ446" s="154" t="str">
        <f t="shared" si="388"/>
        <v>Sea</v>
      </c>
      <c r="AK446" s="154" t="str">
        <f t="shared" si="389"/>
        <v>Container</v>
      </c>
      <c r="AL446" s="154" t="str">
        <f t="shared" si="390"/>
        <v>Methanol</v>
      </c>
      <c r="AM446" s="164">
        <f t="shared" si="391"/>
        <v>1</v>
      </c>
    </row>
    <row r="447" spans="33:39" x14ac:dyDescent="0.25">
      <c r="AG447" s="154" t="s">
        <v>423</v>
      </c>
      <c r="AH447" s="154" t="s">
        <v>420</v>
      </c>
      <c r="AI447" s="154">
        <v>2050</v>
      </c>
      <c r="AJ447" s="154" t="str">
        <f t="shared" si="388"/>
        <v>Sea</v>
      </c>
      <c r="AK447" s="154" t="str">
        <f t="shared" si="389"/>
        <v>Break bulk</v>
      </c>
      <c r="AL447" s="154" t="str">
        <f t="shared" si="390"/>
        <v>HFO</v>
      </c>
      <c r="AM447" s="164">
        <f t="shared" si="391"/>
        <v>1</v>
      </c>
    </row>
    <row r="448" spans="33:39" x14ac:dyDescent="0.25">
      <c r="AG448" s="154" t="s">
        <v>423</v>
      </c>
      <c r="AH448" s="154" t="s">
        <v>420</v>
      </c>
      <c r="AI448" s="154">
        <v>2050</v>
      </c>
      <c r="AJ448" s="154" t="str">
        <f t="shared" si="388"/>
        <v>Sea</v>
      </c>
      <c r="AK448" s="154" t="str">
        <f t="shared" si="389"/>
        <v>Break bulk</v>
      </c>
      <c r="AL448" s="154" t="str">
        <f t="shared" si="390"/>
        <v>MGO</v>
      </c>
      <c r="AM448" s="164">
        <f t="shared" si="391"/>
        <v>1</v>
      </c>
    </row>
    <row r="449" spans="33:39" x14ac:dyDescent="0.25">
      <c r="AG449" s="154" t="s">
        <v>103</v>
      </c>
      <c r="AH449" s="154" t="s">
        <v>420</v>
      </c>
      <c r="AI449" s="154">
        <v>2050</v>
      </c>
      <c r="AJ449" s="154" t="str">
        <f t="shared" si="388"/>
        <v>Sea</v>
      </c>
      <c r="AK449" s="154" t="str">
        <f t="shared" si="389"/>
        <v>Break bulk</v>
      </c>
      <c r="AL449" s="154" t="str">
        <f t="shared" si="390"/>
        <v>Hydrogen</v>
      </c>
      <c r="AM449" s="164">
        <f t="shared" si="391"/>
        <v>1</v>
      </c>
    </row>
    <row r="450" spans="33:39" x14ac:dyDescent="0.25">
      <c r="AG450" s="154" t="s">
        <v>103</v>
      </c>
      <c r="AH450" s="154" t="s">
        <v>420</v>
      </c>
      <c r="AI450" s="154">
        <v>2050</v>
      </c>
      <c r="AJ450" s="154" t="str">
        <f t="shared" si="388"/>
        <v>Sea</v>
      </c>
      <c r="AK450" s="154" t="str">
        <f t="shared" si="389"/>
        <v>Break bulk</v>
      </c>
      <c r="AL450" s="154" t="str">
        <f t="shared" si="390"/>
        <v>Ammonia</v>
      </c>
      <c r="AM450" s="164">
        <f t="shared" si="391"/>
        <v>1</v>
      </c>
    </row>
    <row r="451" spans="33:39" x14ac:dyDescent="0.25">
      <c r="AG451" s="154" t="s">
        <v>103</v>
      </c>
      <c r="AH451" s="154" t="s">
        <v>420</v>
      </c>
      <c r="AI451" s="154">
        <v>2050</v>
      </c>
      <c r="AJ451" s="154" t="str">
        <f t="shared" si="388"/>
        <v>Sea</v>
      </c>
      <c r="AK451" s="154" t="str">
        <f t="shared" si="389"/>
        <v>Break bulk</v>
      </c>
      <c r="AL451" s="154" t="str">
        <f t="shared" si="390"/>
        <v>Methanol</v>
      </c>
      <c r="AM451" s="164">
        <f t="shared" si="391"/>
        <v>1</v>
      </c>
    </row>
    <row r="452" spans="33:39" x14ac:dyDescent="0.25">
      <c r="AG452" s="154" t="s">
        <v>423</v>
      </c>
      <c r="AH452" s="154" t="s">
        <v>420</v>
      </c>
      <c r="AI452" s="154">
        <v>2050</v>
      </c>
      <c r="AJ452" s="154" t="str">
        <f t="shared" si="388"/>
        <v>Sea</v>
      </c>
      <c r="AK452" s="154" t="str">
        <f t="shared" si="389"/>
        <v>Neo bulk</v>
      </c>
      <c r="AL452" s="154" t="str">
        <f t="shared" si="390"/>
        <v>HFO</v>
      </c>
      <c r="AM452" s="164">
        <f t="shared" si="391"/>
        <v>1</v>
      </c>
    </row>
    <row r="453" spans="33:39" x14ac:dyDescent="0.25">
      <c r="AG453" s="154" t="s">
        <v>423</v>
      </c>
      <c r="AH453" s="154" t="s">
        <v>420</v>
      </c>
      <c r="AI453" s="154">
        <v>2050</v>
      </c>
      <c r="AJ453" s="154" t="str">
        <f>A64</f>
        <v>Sea</v>
      </c>
      <c r="AK453" s="154" t="str">
        <f t="shared" si="389"/>
        <v>Neo bulk</v>
      </c>
      <c r="AL453" s="154" t="str">
        <f t="shared" si="390"/>
        <v>MGO</v>
      </c>
      <c r="AM453" s="164">
        <f>AB64</f>
        <v>1</v>
      </c>
    </row>
    <row r="454" spans="33:39" x14ac:dyDescent="0.25">
      <c r="AG454" s="154" t="s">
        <v>103</v>
      </c>
      <c r="AH454" s="154" t="s">
        <v>420</v>
      </c>
      <c r="AI454" s="154">
        <v>2050</v>
      </c>
      <c r="AJ454" s="154" t="str">
        <f t="shared" ref="AJ454:AJ456" si="392">A65</f>
        <v>Sea</v>
      </c>
      <c r="AK454" s="154" t="str">
        <f t="shared" ref="AK454:AK456" si="393">B65</f>
        <v>Neo bulk</v>
      </c>
      <c r="AL454" s="154" t="str">
        <f t="shared" ref="AL454:AL456" si="394">C65</f>
        <v>Hydrogen</v>
      </c>
      <c r="AM454" s="164">
        <f t="shared" ref="AM454:AM456" si="395">AB65</f>
        <v>1</v>
      </c>
    </row>
    <row r="455" spans="33:39" x14ac:dyDescent="0.25">
      <c r="AG455" s="154" t="s">
        <v>103</v>
      </c>
      <c r="AH455" s="154" t="s">
        <v>420</v>
      </c>
      <c r="AI455" s="154">
        <v>2050</v>
      </c>
      <c r="AJ455" s="154" t="str">
        <f t="shared" si="392"/>
        <v>Sea</v>
      </c>
      <c r="AK455" s="154" t="str">
        <f t="shared" si="393"/>
        <v>Neo bulk</v>
      </c>
      <c r="AL455" s="154" t="str">
        <f t="shared" si="394"/>
        <v>Ammonia</v>
      </c>
      <c r="AM455" s="164">
        <f t="shared" si="395"/>
        <v>1</v>
      </c>
    </row>
    <row r="456" spans="33:39" x14ac:dyDescent="0.25">
      <c r="AG456" s="154" t="s">
        <v>103</v>
      </c>
      <c r="AH456" s="154" t="s">
        <v>420</v>
      </c>
      <c r="AI456" s="154">
        <v>2050</v>
      </c>
      <c r="AJ456" s="154" t="str">
        <f t="shared" si="392"/>
        <v>Sea</v>
      </c>
      <c r="AK456" s="154" t="str">
        <f t="shared" si="393"/>
        <v>Neo bulk</v>
      </c>
      <c r="AL456" s="154" t="str">
        <f t="shared" si="394"/>
        <v>Methanol</v>
      </c>
      <c r="AM456" s="164">
        <f t="shared" si="395"/>
        <v>1</v>
      </c>
    </row>
    <row r="457" spans="33:39" x14ac:dyDescent="0.25">
      <c r="AG457" s="154" t="s">
        <v>423</v>
      </c>
      <c r="AH457" s="154" t="s">
        <v>421</v>
      </c>
      <c r="AI457" s="154">
        <v>2050</v>
      </c>
      <c r="AJ457" s="154" t="str">
        <f>A48</f>
        <v>Sea</v>
      </c>
      <c r="AK457" s="154" t="str">
        <f t="shared" ref="AK457:AL457" si="396">B48</f>
        <v>Dry bulk</v>
      </c>
      <c r="AL457" s="154" t="str">
        <f t="shared" si="396"/>
        <v>HFO</v>
      </c>
      <c r="AM457" s="164">
        <f>AC48</f>
        <v>1.121361115848801</v>
      </c>
    </row>
    <row r="458" spans="33:39" x14ac:dyDescent="0.25">
      <c r="AG458" s="154" t="s">
        <v>423</v>
      </c>
      <c r="AH458" s="154" t="s">
        <v>421</v>
      </c>
      <c r="AI458" s="154">
        <v>2050</v>
      </c>
      <c r="AJ458" s="154" t="str">
        <f t="shared" ref="AJ458:AJ476" si="397">A49</f>
        <v>Sea</v>
      </c>
      <c r="AK458" s="154" t="str">
        <f t="shared" ref="AK458:AK476" si="398">B49</f>
        <v>Dry bulk</v>
      </c>
      <c r="AL458" s="154" t="str">
        <f t="shared" ref="AL458:AL476" si="399">C49</f>
        <v>MGO</v>
      </c>
      <c r="AM458" s="164">
        <f t="shared" ref="AM458:AM476" si="400">AC49</f>
        <v>1.1948182044102178</v>
      </c>
    </row>
    <row r="459" spans="33:39" x14ac:dyDescent="0.25">
      <c r="AG459" s="154" t="s">
        <v>103</v>
      </c>
      <c r="AH459" s="154" t="s">
        <v>421</v>
      </c>
      <c r="AI459" s="154">
        <v>2050</v>
      </c>
      <c r="AJ459" s="154" t="str">
        <f t="shared" si="397"/>
        <v>Sea</v>
      </c>
      <c r="AK459" s="154" t="str">
        <f t="shared" si="398"/>
        <v>Dry bulk</v>
      </c>
      <c r="AL459" s="154" t="str">
        <f t="shared" si="399"/>
        <v>Hydrogen</v>
      </c>
      <c r="AM459" s="164">
        <f t="shared" si="400"/>
        <v>0.90430088955906274</v>
      </c>
    </row>
    <row r="460" spans="33:39" x14ac:dyDescent="0.25">
      <c r="AG460" s="154" t="s">
        <v>103</v>
      </c>
      <c r="AH460" s="154" t="s">
        <v>421</v>
      </c>
      <c r="AI460" s="154">
        <v>2050</v>
      </c>
      <c r="AJ460" s="154" t="str">
        <f t="shared" si="397"/>
        <v>Sea</v>
      </c>
      <c r="AK460" s="154" t="str">
        <f t="shared" si="398"/>
        <v>Dry bulk</v>
      </c>
      <c r="AL460" s="154" t="str">
        <f t="shared" si="399"/>
        <v>Ammonia</v>
      </c>
      <c r="AM460" s="164">
        <f t="shared" si="400"/>
        <v>0.89370673662032452</v>
      </c>
    </row>
    <row r="461" spans="33:39" x14ac:dyDescent="0.25">
      <c r="AG461" s="154" t="s">
        <v>103</v>
      </c>
      <c r="AH461" s="154" t="s">
        <v>421</v>
      </c>
      <c r="AI461" s="154">
        <v>2050</v>
      </c>
      <c r="AJ461" s="154" t="str">
        <f t="shared" si="397"/>
        <v>Sea</v>
      </c>
      <c r="AK461" s="154" t="str">
        <f t="shared" si="398"/>
        <v>Dry bulk</v>
      </c>
      <c r="AL461" s="154" t="str">
        <f t="shared" si="399"/>
        <v>Methanol</v>
      </c>
      <c r="AM461" s="164">
        <f t="shared" si="400"/>
        <v>0.89553183496293787</v>
      </c>
    </row>
    <row r="462" spans="33:39" x14ac:dyDescent="0.25">
      <c r="AG462" s="154" t="s">
        <v>423</v>
      </c>
      <c r="AH462" s="154" t="s">
        <v>421</v>
      </c>
      <c r="AI462" s="154">
        <v>2050</v>
      </c>
      <c r="AJ462" s="154" t="str">
        <f t="shared" si="397"/>
        <v>Sea</v>
      </c>
      <c r="AK462" s="154" t="str">
        <f t="shared" si="398"/>
        <v>Container</v>
      </c>
      <c r="AL462" s="154" t="str">
        <f t="shared" si="399"/>
        <v>HFO</v>
      </c>
      <c r="AM462" s="164">
        <f t="shared" si="400"/>
        <v>1.1109273438244194</v>
      </c>
    </row>
    <row r="463" spans="33:39" x14ac:dyDescent="0.25">
      <c r="AG463" s="154" t="s">
        <v>423</v>
      </c>
      <c r="AH463" s="154" t="s">
        <v>421</v>
      </c>
      <c r="AI463" s="154">
        <v>2050</v>
      </c>
      <c r="AJ463" s="154" t="str">
        <f t="shared" si="397"/>
        <v>Sea</v>
      </c>
      <c r="AK463" s="154" t="str">
        <f t="shared" si="398"/>
        <v>Container</v>
      </c>
      <c r="AL463" s="154" t="str">
        <f t="shared" si="399"/>
        <v>MGO</v>
      </c>
      <c r="AM463" s="164">
        <f t="shared" si="400"/>
        <v>1.1824678330342591</v>
      </c>
    </row>
    <row r="464" spans="33:39" x14ac:dyDescent="0.25">
      <c r="AG464" s="154" t="s">
        <v>103</v>
      </c>
      <c r="AH464" s="154" t="s">
        <v>421</v>
      </c>
      <c r="AI464" s="154">
        <v>2050</v>
      </c>
      <c r="AJ464" s="154" t="str">
        <f t="shared" si="397"/>
        <v>Sea</v>
      </c>
      <c r="AK464" s="154" t="str">
        <f t="shared" si="398"/>
        <v>Container</v>
      </c>
      <c r="AL464" s="154" t="str">
        <f t="shared" si="399"/>
        <v>Hydrogen</v>
      </c>
      <c r="AM464" s="164">
        <f t="shared" si="400"/>
        <v>0.9082311684216422</v>
      </c>
    </row>
    <row r="465" spans="33:39" x14ac:dyDescent="0.25">
      <c r="AG465" s="154" t="s">
        <v>103</v>
      </c>
      <c r="AH465" s="154" t="s">
        <v>421</v>
      </c>
      <c r="AI465" s="154">
        <v>2050</v>
      </c>
      <c r="AJ465" s="154" t="str">
        <f t="shared" si="397"/>
        <v>Sea</v>
      </c>
      <c r="AK465" s="154" t="str">
        <f t="shared" si="398"/>
        <v>Container</v>
      </c>
      <c r="AL465" s="154" t="str">
        <f t="shared" si="399"/>
        <v>Ammonia</v>
      </c>
      <c r="AM465" s="164">
        <f t="shared" si="400"/>
        <v>0.89800367098986189</v>
      </c>
    </row>
    <row r="466" spans="33:39" x14ac:dyDescent="0.25">
      <c r="AG466" s="154" t="s">
        <v>103</v>
      </c>
      <c r="AH466" s="154" t="s">
        <v>421</v>
      </c>
      <c r="AI466" s="154">
        <v>2050</v>
      </c>
      <c r="AJ466" s="154" t="str">
        <f t="shared" si="397"/>
        <v>Sea</v>
      </c>
      <c r="AK466" s="154" t="str">
        <f t="shared" si="398"/>
        <v>Container</v>
      </c>
      <c r="AL466" s="154" t="str">
        <f t="shared" si="399"/>
        <v>Methanol</v>
      </c>
      <c r="AM466" s="164">
        <f t="shared" si="400"/>
        <v>0.89880257328573265</v>
      </c>
    </row>
    <row r="467" spans="33:39" x14ac:dyDescent="0.25">
      <c r="AG467" s="154" t="s">
        <v>423</v>
      </c>
      <c r="AH467" s="154" t="s">
        <v>421</v>
      </c>
      <c r="AI467" s="154">
        <v>2050</v>
      </c>
      <c r="AJ467" s="154" t="str">
        <f t="shared" si="397"/>
        <v>Sea</v>
      </c>
      <c r="AK467" s="154" t="str">
        <f t="shared" si="398"/>
        <v>Break bulk</v>
      </c>
      <c r="AL467" s="154" t="str">
        <f t="shared" si="399"/>
        <v>HFO</v>
      </c>
      <c r="AM467" s="164">
        <f t="shared" si="400"/>
        <v>1.1214015633186263</v>
      </c>
    </row>
    <row r="468" spans="33:39" x14ac:dyDescent="0.25">
      <c r="AG468" s="154" t="s">
        <v>423</v>
      </c>
      <c r="AH468" s="154" t="s">
        <v>421</v>
      </c>
      <c r="AI468" s="154">
        <v>2050</v>
      </c>
      <c r="AJ468" s="154" t="str">
        <f t="shared" si="397"/>
        <v>Sea</v>
      </c>
      <c r="AK468" s="154" t="str">
        <f t="shared" si="398"/>
        <v>Break bulk</v>
      </c>
      <c r="AL468" s="154" t="str">
        <f t="shared" si="399"/>
        <v>MGO</v>
      </c>
      <c r="AM468" s="164">
        <f t="shared" si="400"/>
        <v>1.1948649232150734</v>
      </c>
    </row>
    <row r="469" spans="33:39" x14ac:dyDescent="0.25">
      <c r="AG469" s="154" t="s">
        <v>103</v>
      </c>
      <c r="AH469" s="154" t="s">
        <v>421</v>
      </c>
      <c r="AI469" s="154">
        <v>2050</v>
      </c>
      <c r="AJ469" s="154" t="str">
        <f t="shared" si="397"/>
        <v>Sea</v>
      </c>
      <c r="AK469" s="154" t="str">
        <f t="shared" si="398"/>
        <v>Break bulk</v>
      </c>
      <c r="AL469" s="154" t="str">
        <f t="shared" si="399"/>
        <v>Hydrogen</v>
      </c>
      <c r="AM469" s="164">
        <f t="shared" si="400"/>
        <v>0.90428400973451495</v>
      </c>
    </row>
    <row r="470" spans="33:39" x14ac:dyDescent="0.25">
      <c r="AG470" s="154" t="s">
        <v>103</v>
      </c>
      <c r="AH470" s="154" t="s">
        <v>421</v>
      </c>
      <c r="AI470" s="154">
        <v>2050</v>
      </c>
      <c r="AJ470" s="154" t="str">
        <f t="shared" si="397"/>
        <v>Sea</v>
      </c>
      <c r="AK470" s="154" t="str">
        <f t="shared" si="398"/>
        <v>Break bulk</v>
      </c>
      <c r="AL470" s="154" t="str">
        <f t="shared" si="399"/>
        <v>Ammonia</v>
      </c>
      <c r="AM470" s="164">
        <f t="shared" si="400"/>
        <v>0.89368862124159154</v>
      </c>
    </row>
    <row r="471" spans="33:39" x14ac:dyDescent="0.25">
      <c r="AG471" s="154" t="s">
        <v>103</v>
      </c>
      <c r="AH471" s="154" t="s">
        <v>421</v>
      </c>
      <c r="AI471" s="154">
        <v>2050</v>
      </c>
      <c r="AJ471" s="154" t="str">
        <f t="shared" si="397"/>
        <v>Sea</v>
      </c>
      <c r="AK471" s="154" t="str">
        <f t="shared" si="398"/>
        <v>Break bulk</v>
      </c>
      <c r="AL471" s="154" t="str">
        <f t="shared" si="399"/>
        <v>Methanol</v>
      </c>
      <c r="AM471" s="164">
        <f t="shared" si="400"/>
        <v>0.89551890682952884</v>
      </c>
    </row>
    <row r="472" spans="33:39" x14ac:dyDescent="0.25">
      <c r="AG472" s="154" t="s">
        <v>423</v>
      </c>
      <c r="AH472" s="154" t="s">
        <v>421</v>
      </c>
      <c r="AI472" s="154">
        <v>2050</v>
      </c>
      <c r="AJ472" s="154" t="str">
        <f t="shared" si="397"/>
        <v>Sea</v>
      </c>
      <c r="AK472" s="154" t="str">
        <f t="shared" si="398"/>
        <v>Neo bulk</v>
      </c>
      <c r="AL472" s="154" t="str">
        <f t="shared" si="399"/>
        <v>HFO</v>
      </c>
      <c r="AM472" s="164">
        <f t="shared" si="400"/>
        <v>1.1214711527819601</v>
      </c>
    </row>
    <row r="473" spans="33:39" x14ac:dyDescent="0.25">
      <c r="AG473" s="154" t="s">
        <v>423</v>
      </c>
      <c r="AH473" s="154" t="s">
        <v>421</v>
      </c>
      <c r="AI473" s="154">
        <v>2050</v>
      </c>
      <c r="AJ473" s="154" t="str">
        <f t="shared" si="397"/>
        <v>Sea</v>
      </c>
      <c r="AK473" s="154" t="str">
        <f t="shared" si="398"/>
        <v>Neo bulk</v>
      </c>
      <c r="AL473" s="154" t="str">
        <f t="shared" si="399"/>
        <v>MGO</v>
      </c>
      <c r="AM473" s="164">
        <f t="shared" si="400"/>
        <v>1.1949452820168729</v>
      </c>
    </row>
    <row r="474" spans="33:39" x14ac:dyDescent="0.25">
      <c r="AG474" s="154" t="s">
        <v>103</v>
      </c>
      <c r="AH474" s="154" t="s">
        <v>421</v>
      </c>
      <c r="AI474" s="154">
        <v>2050</v>
      </c>
      <c r="AJ474" s="154" t="str">
        <f t="shared" si="397"/>
        <v>Sea</v>
      </c>
      <c r="AK474" s="154" t="str">
        <f t="shared" si="398"/>
        <v>Neo bulk</v>
      </c>
      <c r="AL474" s="154" t="str">
        <f t="shared" si="399"/>
        <v>Hydrogen</v>
      </c>
      <c r="AM474" s="164">
        <f t="shared" si="400"/>
        <v>0.90426154805164216</v>
      </c>
    </row>
    <row r="475" spans="33:39" x14ac:dyDescent="0.25">
      <c r="AG475" s="154" t="s">
        <v>103</v>
      </c>
      <c r="AH475" s="154" t="s">
        <v>421</v>
      </c>
      <c r="AI475" s="154">
        <v>2050</v>
      </c>
      <c r="AJ475" s="154" t="str">
        <f t="shared" si="397"/>
        <v>Sea</v>
      </c>
      <c r="AK475" s="154" t="str">
        <f t="shared" si="398"/>
        <v>Neo bulk</v>
      </c>
      <c r="AL475" s="154" t="str">
        <f t="shared" si="399"/>
        <v>Ammonia</v>
      </c>
      <c r="AM475" s="164">
        <f t="shared" si="400"/>
        <v>0.89366373306301206</v>
      </c>
    </row>
    <row r="476" spans="33:39" x14ac:dyDescent="0.25">
      <c r="AG476" s="154" t="s">
        <v>103</v>
      </c>
      <c r="AH476" s="154" t="s">
        <v>421</v>
      </c>
      <c r="AI476" s="154">
        <v>2050</v>
      </c>
      <c r="AJ476" s="154" t="str">
        <f t="shared" si="397"/>
        <v>Sea</v>
      </c>
      <c r="AK476" s="154" t="str">
        <f t="shared" si="398"/>
        <v>Neo bulk</v>
      </c>
      <c r="AL476" s="154" t="str">
        <f t="shared" si="399"/>
        <v>Methanol</v>
      </c>
      <c r="AM476" s="164">
        <f t="shared" si="400"/>
        <v>0.89549936641626593</v>
      </c>
    </row>
    <row r="477" spans="33:39" x14ac:dyDescent="0.25">
      <c r="AG477" s="154" t="s">
        <v>423</v>
      </c>
      <c r="AH477" s="154" t="s">
        <v>422</v>
      </c>
      <c r="AI477" s="154">
        <v>2050</v>
      </c>
      <c r="AJ477" s="154" t="str">
        <f>A48</f>
        <v>Sea</v>
      </c>
      <c r="AK477" s="154" t="str">
        <f t="shared" ref="AK477:AL477" si="401">B48</f>
        <v>Dry bulk</v>
      </c>
      <c r="AL477" s="154" t="str">
        <f t="shared" si="401"/>
        <v>HFO</v>
      </c>
      <c r="AM477" s="164">
        <f>AD48</f>
        <v>0.81532004109965084</v>
      </c>
    </row>
    <row r="478" spans="33:39" x14ac:dyDescent="0.25">
      <c r="AG478" s="154" t="s">
        <v>423</v>
      </c>
      <c r="AH478" s="154" t="s">
        <v>422</v>
      </c>
      <c r="AI478" s="154">
        <v>2050</v>
      </c>
      <c r="AJ478" s="154" t="str">
        <f t="shared" ref="AJ478:AJ496" si="402">A49</f>
        <v>Sea</v>
      </c>
      <c r="AK478" s="154" t="str">
        <f t="shared" ref="AK478:AK496" si="403">B49</f>
        <v>Dry bulk</v>
      </c>
      <c r="AL478" s="154" t="str">
        <f t="shared" ref="AL478:AL496" si="404">C49</f>
        <v>MGO</v>
      </c>
      <c r="AM478" s="164">
        <f t="shared" ref="AM478:AM496" si="405">AD49</f>
        <v>0.70353751502792938</v>
      </c>
    </row>
    <row r="479" spans="33:39" x14ac:dyDescent="0.25">
      <c r="AG479" s="154" t="s">
        <v>103</v>
      </c>
      <c r="AH479" s="154" t="s">
        <v>422</v>
      </c>
      <c r="AI479" s="154">
        <v>2050</v>
      </c>
      <c r="AJ479" s="154" t="str">
        <f t="shared" si="402"/>
        <v>Sea</v>
      </c>
      <c r="AK479" s="154" t="str">
        <f t="shared" si="403"/>
        <v>Dry bulk</v>
      </c>
      <c r="AL479" s="154" t="str">
        <f t="shared" si="404"/>
        <v>Hydrogen</v>
      </c>
      <c r="AM479" s="164">
        <f t="shared" si="405"/>
        <v>1.0897179160383792</v>
      </c>
    </row>
    <row r="480" spans="33:39" x14ac:dyDescent="0.25">
      <c r="AG480" s="154" t="s">
        <v>103</v>
      </c>
      <c r="AH480" s="154" t="s">
        <v>422</v>
      </c>
      <c r="AI480" s="154">
        <v>2050</v>
      </c>
      <c r="AJ480" s="154" t="str">
        <f t="shared" si="402"/>
        <v>Sea</v>
      </c>
      <c r="AK480" s="154" t="str">
        <f t="shared" si="403"/>
        <v>Dry bulk</v>
      </c>
      <c r="AL480" s="154" t="str">
        <f t="shared" si="404"/>
        <v>Ammonia</v>
      </c>
      <c r="AM480" s="164">
        <f t="shared" si="405"/>
        <v>1.0996499344184461</v>
      </c>
    </row>
    <row r="481" spans="33:39" x14ac:dyDescent="0.25">
      <c r="AG481" s="154" t="s">
        <v>103</v>
      </c>
      <c r="AH481" s="154" t="s">
        <v>422</v>
      </c>
      <c r="AI481" s="154">
        <v>2050</v>
      </c>
      <c r="AJ481" s="154" t="str">
        <f t="shared" si="402"/>
        <v>Sea</v>
      </c>
      <c r="AK481" s="154" t="str">
        <f t="shared" si="403"/>
        <v>Dry bulk</v>
      </c>
      <c r="AL481" s="154" t="str">
        <f t="shared" si="404"/>
        <v>Methanol</v>
      </c>
      <c r="AM481" s="164">
        <f t="shared" si="405"/>
        <v>1.0979389047222459</v>
      </c>
    </row>
    <row r="482" spans="33:39" x14ac:dyDescent="0.25">
      <c r="AG482" s="154" t="s">
        <v>423</v>
      </c>
      <c r="AH482" s="154" t="s">
        <v>422</v>
      </c>
      <c r="AI482" s="154">
        <v>2050</v>
      </c>
      <c r="AJ482" s="154" t="str">
        <f t="shared" si="402"/>
        <v>Sea</v>
      </c>
      <c r="AK482" s="154" t="str">
        <f t="shared" si="403"/>
        <v>Container</v>
      </c>
      <c r="AL482" s="154" t="str">
        <f t="shared" si="404"/>
        <v>HFO</v>
      </c>
      <c r="AM482" s="164">
        <f t="shared" si="405"/>
        <v>0.83119752026718741</v>
      </c>
    </row>
    <row r="483" spans="33:39" x14ac:dyDescent="0.25">
      <c r="AG483" s="154" t="s">
        <v>423</v>
      </c>
      <c r="AH483" s="154" t="s">
        <v>422</v>
      </c>
      <c r="AI483" s="154">
        <v>2050</v>
      </c>
      <c r="AJ483" s="154" t="str">
        <f t="shared" si="402"/>
        <v>Sea</v>
      </c>
      <c r="AK483" s="154" t="str">
        <f t="shared" si="403"/>
        <v>Container</v>
      </c>
      <c r="AL483" s="154" t="str">
        <f t="shared" si="404"/>
        <v>MGO</v>
      </c>
      <c r="AM483" s="164">
        <f t="shared" si="405"/>
        <v>0.72233155842612773</v>
      </c>
    </row>
    <row r="484" spans="33:39" x14ac:dyDescent="0.25">
      <c r="AG484" s="154" t="s">
        <v>103</v>
      </c>
      <c r="AH484" s="154" t="s">
        <v>422</v>
      </c>
      <c r="AI484" s="154">
        <v>2050</v>
      </c>
      <c r="AJ484" s="154" t="str">
        <f t="shared" si="402"/>
        <v>Sea</v>
      </c>
      <c r="AK484" s="154" t="str">
        <f t="shared" si="403"/>
        <v>Container</v>
      </c>
      <c r="AL484" s="154" t="str">
        <f t="shared" si="404"/>
        <v>Hydrogen</v>
      </c>
      <c r="AM484" s="164">
        <f t="shared" si="405"/>
        <v>1.0860332796047107</v>
      </c>
    </row>
    <row r="485" spans="33:39" x14ac:dyDescent="0.25">
      <c r="AG485" s="154" t="s">
        <v>103</v>
      </c>
      <c r="AH485" s="154" t="s">
        <v>422</v>
      </c>
      <c r="AI485" s="154">
        <v>2050</v>
      </c>
      <c r="AJ485" s="154" t="str">
        <f t="shared" si="402"/>
        <v>Sea</v>
      </c>
      <c r="AK485" s="154" t="str">
        <f t="shared" si="403"/>
        <v>Container</v>
      </c>
      <c r="AL485" s="154" t="str">
        <f t="shared" si="404"/>
        <v>Ammonia</v>
      </c>
      <c r="AM485" s="164">
        <f t="shared" si="405"/>
        <v>1.0956215584470046</v>
      </c>
    </row>
    <row r="486" spans="33:39" x14ac:dyDescent="0.25">
      <c r="AG486" s="154" t="s">
        <v>103</v>
      </c>
      <c r="AH486" s="154" t="s">
        <v>422</v>
      </c>
      <c r="AI486" s="154">
        <v>2050</v>
      </c>
      <c r="AJ486" s="154" t="str">
        <f t="shared" si="402"/>
        <v>Sea</v>
      </c>
      <c r="AK486" s="154" t="str">
        <f t="shared" si="403"/>
        <v>Container</v>
      </c>
      <c r="AL486" s="154" t="str">
        <f t="shared" si="404"/>
        <v>Methanol</v>
      </c>
      <c r="AM486" s="164">
        <f t="shared" si="405"/>
        <v>1.0948725875446259</v>
      </c>
    </row>
    <row r="487" spans="33:39" x14ac:dyDescent="0.25">
      <c r="AG487" s="154" t="s">
        <v>423</v>
      </c>
      <c r="AH487" s="154" t="s">
        <v>422</v>
      </c>
      <c r="AI487" s="154">
        <v>2050</v>
      </c>
      <c r="AJ487" s="154" t="str">
        <f t="shared" si="402"/>
        <v>Sea</v>
      </c>
      <c r="AK487" s="154" t="str">
        <f t="shared" si="403"/>
        <v>Break bulk</v>
      </c>
      <c r="AL487" s="154" t="str">
        <f t="shared" si="404"/>
        <v>HFO</v>
      </c>
      <c r="AM487" s="164">
        <f t="shared" si="405"/>
        <v>0.81525849060209021</v>
      </c>
    </row>
    <row r="488" spans="33:39" x14ac:dyDescent="0.25">
      <c r="AG488" s="154" t="s">
        <v>423</v>
      </c>
      <c r="AH488" s="154" t="s">
        <v>422</v>
      </c>
      <c r="AI488" s="154">
        <v>2050</v>
      </c>
      <c r="AJ488" s="154" t="str">
        <f t="shared" si="402"/>
        <v>Sea</v>
      </c>
      <c r="AK488" s="154" t="str">
        <f t="shared" si="403"/>
        <v>Break bulk</v>
      </c>
      <c r="AL488" s="154" t="str">
        <f t="shared" si="404"/>
        <v>MGO</v>
      </c>
      <c r="AM488" s="164">
        <f t="shared" si="405"/>
        <v>0.70346642119445302</v>
      </c>
    </row>
    <row r="489" spans="33:39" x14ac:dyDescent="0.25">
      <c r="AG489" s="154" t="s">
        <v>103</v>
      </c>
      <c r="AH489" s="154" t="s">
        <v>422</v>
      </c>
      <c r="AI489" s="154">
        <v>2050</v>
      </c>
      <c r="AJ489" s="154" t="str">
        <f t="shared" si="402"/>
        <v>Sea</v>
      </c>
      <c r="AK489" s="154" t="str">
        <f t="shared" si="403"/>
        <v>Break bulk</v>
      </c>
      <c r="AL489" s="154" t="str">
        <f t="shared" si="404"/>
        <v>Hydrogen</v>
      </c>
      <c r="AM489" s="164">
        <f t="shared" si="405"/>
        <v>1.0897337408738921</v>
      </c>
    </row>
    <row r="490" spans="33:39" x14ac:dyDescent="0.25">
      <c r="AG490" s="154" t="s">
        <v>103</v>
      </c>
      <c r="AH490" s="154" t="s">
        <v>422</v>
      </c>
      <c r="AI490" s="154">
        <v>2050</v>
      </c>
      <c r="AJ490" s="154" t="str">
        <f t="shared" si="402"/>
        <v>Sea</v>
      </c>
      <c r="AK490" s="154" t="str">
        <f t="shared" si="403"/>
        <v>Break bulk</v>
      </c>
      <c r="AL490" s="154" t="str">
        <f t="shared" si="404"/>
        <v>Ammonia</v>
      </c>
      <c r="AM490" s="164">
        <f t="shared" si="405"/>
        <v>1.0996669175860081</v>
      </c>
    </row>
    <row r="491" spans="33:39" x14ac:dyDescent="0.25">
      <c r="AG491" s="154" t="s">
        <v>103</v>
      </c>
      <c r="AH491" s="154" t="s">
        <v>422</v>
      </c>
      <c r="AI491" s="154">
        <v>2050</v>
      </c>
      <c r="AJ491" s="154" t="str">
        <f t="shared" si="402"/>
        <v>Sea</v>
      </c>
      <c r="AK491" s="154" t="str">
        <f t="shared" si="403"/>
        <v>Break bulk</v>
      </c>
      <c r="AL491" s="154" t="str">
        <f t="shared" si="404"/>
        <v>Methanol</v>
      </c>
      <c r="AM491" s="164">
        <f t="shared" si="405"/>
        <v>1.0979510248473168</v>
      </c>
    </row>
    <row r="492" spans="33:39" x14ac:dyDescent="0.25">
      <c r="AG492" s="154" t="s">
        <v>423</v>
      </c>
      <c r="AH492" s="154" t="s">
        <v>422</v>
      </c>
      <c r="AI492" s="154">
        <v>2050</v>
      </c>
      <c r="AJ492" s="154" t="str">
        <f t="shared" si="402"/>
        <v>Sea</v>
      </c>
      <c r="AK492" s="154" t="str">
        <f t="shared" si="403"/>
        <v>Neo bulk</v>
      </c>
      <c r="AL492" s="154" t="str">
        <f t="shared" si="404"/>
        <v>HFO</v>
      </c>
      <c r="AM492" s="164">
        <f t="shared" si="405"/>
        <v>0.81515259359266967</v>
      </c>
    </row>
    <row r="493" spans="33:39" x14ac:dyDescent="0.25">
      <c r="AG493" s="154" t="s">
        <v>423</v>
      </c>
      <c r="AH493" s="154" t="s">
        <v>422</v>
      </c>
      <c r="AI493" s="154">
        <v>2050</v>
      </c>
      <c r="AJ493" s="154" t="str">
        <f t="shared" si="402"/>
        <v>Sea</v>
      </c>
      <c r="AK493" s="154" t="str">
        <f t="shared" si="403"/>
        <v>Neo bulk</v>
      </c>
      <c r="AL493" s="154" t="str">
        <f t="shared" si="404"/>
        <v>MGO</v>
      </c>
      <c r="AM493" s="164">
        <f t="shared" si="405"/>
        <v>0.70334413606128077</v>
      </c>
    </row>
    <row r="494" spans="33:39" x14ac:dyDescent="0.25">
      <c r="AG494" s="154" t="s">
        <v>103</v>
      </c>
      <c r="AH494" s="154" t="s">
        <v>422</v>
      </c>
      <c r="AI494" s="154">
        <v>2050</v>
      </c>
      <c r="AJ494" s="154" t="str">
        <f t="shared" si="402"/>
        <v>Sea</v>
      </c>
      <c r="AK494" s="154" t="str">
        <f t="shared" si="403"/>
        <v>Neo bulk</v>
      </c>
      <c r="AL494" s="154" t="str">
        <f t="shared" si="404"/>
        <v>Hydrogen</v>
      </c>
      <c r="AM494" s="164">
        <f t="shared" si="405"/>
        <v>1.0897547987015856</v>
      </c>
    </row>
    <row r="495" spans="33:39" x14ac:dyDescent="0.25">
      <c r="AG495" s="154" t="s">
        <v>103</v>
      </c>
      <c r="AH495" s="154" t="s">
        <v>422</v>
      </c>
      <c r="AI495" s="154">
        <v>2050</v>
      </c>
      <c r="AJ495" s="154" t="str">
        <f t="shared" si="402"/>
        <v>Sea</v>
      </c>
      <c r="AK495" s="154" t="str">
        <f t="shared" si="403"/>
        <v>Neo bulk</v>
      </c>
      <c r="AL495" s="154" t="str">
        <f t="shared" si="404"/>
        <v>Ammonia</v>
      </c>
      <c r="AM495" s="164">
        <f t="shared" si="405"/>
        <v>1.0996902502534263</v>
      </c>
    </row>
    <row r="496" spans="33:39" x14ac:dyDescent="0.25">
      <c r="AG496" s="154" t="s">
        <v>103</v>
      </c>
      <c r="AH496" s="154" t="s">
        <v>422</v>
      </c>
      <c r="AI496" s="154">
        <v>2050</v>
      </c>
      <c r="AJ496" s="154" t="str">
        <f t="shared" si="402"/>
        <v>Sea</v>
      </c>
      <c r="AK496" s="154" t="str">
        <f t="shared" si="403"/>
        <v>Neo bulk</v>
      </c>
      <c r="AL496" s="154" t="str">
        <f t="shared" si="404"/>
        <v>Methanol</v>
      </c>
      <c r="AM496" s="164">
        <f t="shared" si="405"/>
        <v>1.0979693439847511</v>
      </c>
    </row>
    <row r="497" spans="39:39" x14ac:dyDescent="0.25">
      <c r="AM497" s="164"/>
    </row>
    <row r="498" spans="39:39" x14ac:dyDescent="0.25">
      <c r="AM498" s="164"/>
    </row>
    <row r="499" spans="39:39" x14ac:dyDescent="0.25">
      <c r="AM499" s="164"/>
    </row>
    <row r="500" spans="39:39" x14ac:dyDescent="0.25">
      <c r="AM500" s="164"/>
    </row>
    <row r="501" spans="39:39" x14ac:dyDescent="0.25">
      <c r="AM501" s="164"/>
    </row>
    <row r="502" spans="39:39" x14ac:dyDescent="0.25">
      <c r="AM502" s="164"/>
    </row>
    <row r="503" spans="39:39" x14ac:dyDescent="0.25">
      <c r="AM503" s="164"/>
    </row>
    <row r="504" spans="39:39" x14ac:dyDescent="0.25">
      <c r="AM504" s="164"/>
    </row>
    <row r="505" spans="39:39" x14ac:dyDescent="0.25">
      <c r="AM505" s="164"/>
    </row>
    <row r="506" spans="39:39" x14ac:dyDescent="0.25">
      <c r="AM506" s="164"/>
    </row>
    <row r="507" spans="39:39" x14ac:dyDescent="0.25">
      <c r="AM507" s="164"/>
    </row>
    <row r="508" spans="39:39" x14ac:dyDescent="0.25">
      <c r="AM508" s="164"/>
    </row>
    <row r="509" spans="39:39" x14ac:dyDescent="0.25">
      <c r="AM509" s="164"/>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7109375" defaultRowHeight="15" x14ac:dyDescent="0.25"/>
  <cols>
    <col min="1" max="1" width="31.42578125" style="154" bestFit="1" customWidth="1"/>
    <col min="2" max="2" width="18.7109375" style="154" bestFit="1" customWidth="1"/>
    <col min="3" max="3" width="19.42578125" style="154" bestFit="1" customWidth="1"/>
    <col min="4" max="4" width="23.5703125" style="154" bestFit="1" customWidth="1"/>
    <col min="5" max="5" width="23.7109375" style="154" bestFit="1" customWidth="1"/>
    <col min="6" max="6" width="24" style="154" bestFit="1" customWidth="1"/>
    <col min="7" max="7" width="20.28515625" style="154" bestFit="1" customWidth="1"/>
    <col min="8" max="8" width="20.7109375" style="154" bestFit="1" customWidth="1"/>
    <col min="9" max="9" width="25.28515625" style="154" bestFit="1" customWidth="1"/>
    <col min="10" max="10" width="25.42578125" style="154" bestFit="1" customWidth="1"/>
    <col min="11" max="11" width="25.5703125" style="154" bestFit="1" customWidth="1"/>
    <col min="12" max="12" width="21.28515625" style="154" bestFit="1" customWidth="1"/>
    <col min="13" max="13" width="21.7109375" style="154" bestFit="1" customWidth="1"/>
    <col min="14" max="15" width="26.28515625" style="154" bestFit="1" customWidth="1"/>
    <col min="16" max="16" width="26.42578125" style="154" bestFit="1" customWidth="1"/>
    <col min="17" max="17" width="20.5703125" style="154" bestFit="1" customWidth="1"/>
    <col min="18" max="18" width="21.5703125" style="154" bestFit="1" customWidth="1"/>
    <col min="19" max="19" width="25.7109375" style="154" bestFit="1" customWidth="1"/>
    <col min="20" max="20" width="26" style="154" bestFit="1" customWidth="1"/>
    <col min="21" max="21" width="26.28515625" style="154" bestFit="1" customWidth="1"/>
    <col min="22" max="22" width="21.5703125" style="154" bestFit="1" customWidth="1"/>
    <col min="23" max="23" width="23.42578125" style="154" bestFit="1" customWidth="1"/>
    <col min="24" max="24" width="21.7109375" style="154" bestFit="1" customWidth="1"/>
    <col min="25" max="25" width="24" style="154" bestFit="1" customWidth="1"/>
    <col min="26" max="26" width="24.42578125" style="154" bestFit="1" customWidth="1"/>
    <col min="27" max="27" width="26.28515625" style="154" bestFit="1" customWidth="1"/>
    <col min="28" max="28" width="24.5703125" style="154" bestFit="1" customWidth="1"/>
    <col min="29" max="29" width="26.7109375" style="154" bestFit="1" customWidth="1"/>
    <col min="30" max="30" width="23" style="154" bestFit="1" customWidth="1"/>
    <col min="31" max="31" width="24.7109375" style="154" bestFit="1" customWidth="1"/>
    <col min="32" max="32" width="23.42578125" style="154" bestFit="1" customWidth="1"/>
    <col min="33" max="33" width="25.5703125" style="154" bestFit="1" customWidth="1"/>
    <col min="34" max="34" width="23.7109375" style="154" bestFit="1" customWidth="1"/>
    <col min="35" max="35" width="25.7109375" style="154" bestFit="1" customWidth="1"/>
    <col min="36" max="36" width="24.28515625" style="154" bestFit="1" customWidth="1"/>
    <col min="37" max="37" width="26.42578125" style="154" bestFit="1" customWidth="1"/>
    <col min="38" max="38" width="23.42578125" style="154" bestFit="1" customWidth="1"/>
    <col min="39" max="39" width="25.42578125" style="154" bestFit="1" customWidth="1"/>
    <col min="40" max="40" width="23.7109375" style="154" bestFit="1" customWidth="1"/>
    <col min="41" max="41" width="26.28515625" style="154" bestFit="1" customWidth="1"/>
    <col min="42" max="42" width="22.42578125" style="154" bestFit="1" customWidth="1"/>
    <col min="43" max="43" width="22.7109375" style="154" bestFit="1" customWidth="1"/>
    <col min="44" max="44" width="25" style="154" bestFit="1" customWidth="1"/>
    <col min="45" max="45" width="25.42578125" style="154" bestFit="1" customWidth="1"/>
    <col min="46" max="46" width="25.7109375" style="154" bestFit="1" customWidth="1"/>
    <col min="47" max="47" width="27.7109375" style="154" bestFit="1" customWidth="1"/>
    <col min="48" max="48" width="24" style="154" bestFit="1" customWidth="1"/>
    <col min="49" max="49" width="24.42578125" style="154" bestFit="1" customWidth="1"/>
    <col min="50" max="50" width="26.5703125" style="154" bestFit="1" customWidth="1"/>
    <col min="51" max="51" width="24.7109375" style="154" bestFit="1" customWidth="1"/>
    <col min="52" max="52" width="25.28515625" style="154" bestFit="1" customWidth="1"/>
    <col min="53" max="53" width="27.42578125" style="154" bestFit="1" customWidth="1"/>
    <col min="54" max="54" width="24.42578125" style="154" bestFit="1" customWidth="1"/>
    <col min="55" max="55" width="24.7109375" style="154" bestFit="1" customWidth="1"/>
    <col min="56" max="56" width="27.28515625" style="154" bestFit="1" customWidth="1"/>
    <col min="57" max="57" width="18.7109375" style="154" bestFit="1" customWidth="1"/>
    <col min="58" max="58" width="19.42578125" style="154" bestFit="1" customWidth="1"/>
    <col min="59" max="59" width="23.5703125" style="154" bestFit="1" customWidth="1"/>
    <col min="60" max="60" width="23.7109375" style="154" bestFit="1" customWidth="1"/>
    <col min="61" max="61" width="24" style="154" bestFit="1" customWidth="1"/>
    <col min="62" max="62" width="20.28515625" style="154" bestFit="1" customWidth="1"/>
    <col min="63" max="63" width="20.7109375" style="154" bestFit="1" customWidth="1"/>
    <col min="64" max="64" width="25.28515625" style="154" bestFit="1" customWidth="1"/>
    <col min="65" max="65" width="25.42578125" style="154" bestFit="1" customWidth="1"/>
    <col min="66" max="66" width="25.5703125" style="154" bestFit="1" customWidth="1"/>
    <col min="67" max="67" width="21.28515625" style="154" bestFit="1" customWidth="1"/>
    <col min="68" max="68" width="21.7109375" style="154" bestFit="1" customWidth="1"/>
    <col min="69" max="70" width="26.28515625" style="154" bestFit="1" customWidth="1"/>
    <col min="71" max="71" width="26.42578125" style="154" bestFit="1" customWidth="1"/>
    <col min="72" max="72" width="20.5703125" style="154" bestFit="1" customWidth="1"/>
    <col min="73" max="73" width="21.5703125" style="154" bestFit="1" customWidth="1"/>
    <col min="74" max="74" width="25.7109375" style="154" bestFit="1" customWidth="1"/>
    <col min="75" max="75" width="26" style="154" bestFit="1" customWidth="1"/>
    <col min="76" max="76" width="26.28515625" style="154" bestFit="1" customWidth="1"/>
    <col min="77" max="77" width="21.5703125" style="154" bestFit="1" customWidth="1"/>
    <col min="78" max="78" width="23.42578125" style="154" bestFit="1" customWidth="1"/>
    <col min="79" max="79" width="21.7109375" style="154" bestFit="1" customWidth="1"/>
    <col min="80" max="80" width="24" style="154" bestFit="1" customWidth="1"/>
    <col min="81" max="81" width="24.42578125" style="154" bestFit="1" customWidth="1"/>
    <col min="82" max="82" width="26.28515625" style="154" bestFit="1" customWidth="1"/>
    <col min="83" max="83" width="24.5703125" style="154" bestFit="1" customWidth="1"/>
    <col min="84" max="84" width="26.7109375" style="154" bestFit="1" customWidth="1"/>
    <col min="85" max="85" width="23" style="154" bestFit="1" customWidth="1"/>
    <col min="86" max="86" width="24.7109375" style="154" bestFit="1" customWidth="1"/>
    <col min="87" max="87" width="23.42578125" style="154" bestFit="1" customWidth="1"/>
    <col min="88" max="88" width="25.5703125" style="154" bestFit="1" customWidth="1"/>
    <col min="89" max="89" width="23.7109375" style="154" bestFit="1" customWidth="1"/>
    <col min="90" max="90" width="25.7109375" style="154" bestFit="1" customWidth="1"/>
    <col min="91" max="91" width="24.28515625" style="154" bestFit="1" customWidth="1"/>
    <col min="92" max="92" width="26.42578125" style="154" bestFit="1" customWidth="1"/>
    <col min="93" max="93" width="23.42578125" style="154" bestFit="1" customWidth="1"/>
    <col min="94" max="94" width="25.42578125" style="154" bestFit="1" customWidth="1"/>
    <col min="95" max="95" width="23.7109375" style="154" bestFit="1" customWidth="1"/>
    <col min="96" max="96" width="26.28515625" style="154" bestFit="1" customWidth="1"/>
    <col min="97" max="97" width="22.42578125" style="154" bestFit="1" customWidth="1"/>
    <col min="98" max="98" width="22.7109375" style="154" bestFit="1" customWidth="1"/>
    <col min="99" max="99" width="25" style="154" bestFit="1" customWidth="1"/>
    <col min="100" max="100" width="25.42578125" style="154" bestFit="1" customWidth="1"/>
    <col min="101" max="101" width="25.7109375" style="154" bestFit="1" customWidth="1"/>
    <col min="102" max="102" width="27.7109375" style="154" bestFit="1" customWidth="1"/>
    <col min="103" max="103" width="24" style="154" bestFit="1" customWidth="1"/>
    <col min="104" max="104" width="24.42578125" style="154" bestFit="1" customWidth="1"/>
    <col min="105" max="105" width="26.5703125" style="154" bestFit="1" customWidth="1"/>
    <col min="106" max="106" width="24.7109375" style="154" bestFit="1" customWidth="1"/>
    <col min="107" max="107" width="25.28515625" style="154" bestFit="1" customWidth="1"/>
    <col min="108" max="108" width="27.42578125" style="154" bestFit="1" customWidth="1"/>
    <col min="109" max="109" width="24.42578125" style="154" bestFit="1" customWidth="1"/>
    <col min="110" max="110" width="24.7109375" style="154" bestFit="1" customWidth="1"/>
    <col min="111" max="111" width="27.28515625" style="154" bestFit="1" customWidth="1"/>
    <col min="112" max="112" width="18.7109375" style="154" bestFit="1" customWidth="1"/>
    <col min="113" max="113" width="19.42578125" style="154" bestFit="1" customWidth="1"/>
    <col min="114" max="114" width="23.5703125" style="154" bestFit="1" customWidth="1"/>
    <col min="115" max="115" width="23.7109375" style="154" bestFit="1" customWidth="1"/>
    <col min="116" max="116" width="24" style="154" bestFit="1" customWidth="1"/>
    <col min="117" max="117" width="20.28515625" style="154" bestFit="1" customWidth="1"/>
    <col min="118" max="118" width="20.7109375" style="154" bestFit="1" customWidth="1"/>
    <col min="119" max="119" width="25.28515625" style="154" bestFit="1" customWidth="1"/>
    <col min="120" max="120" width="25.42578125" style="154" bestFit="1" customWidth="1"/>
    <col min="121" max="121" width="25.5703125" style="154" bestFit="1" customWidth="1"/>
    <col min="122" max="122" width="21.28515625" style="154" bestFit="1" customWidth="1"/>
    <col min="123" max="123" width="21.7109375" style="154" bestFit="1" customWidth="1"/>
    <col min="124" max="125" width="26.28515625" style="154" bestFit="1" customWidth="1"/>
    <col min="126" max="126" width="26.42578125" style="154" bestFit="1" customWidth="1"/>
    <col min="127" max="127" width="20.5703125" style="154" bestFit="1" customWidth="1"/>
    <col min="128" max="128" width="21.5703125" style="154" bestFit="1" customWidth="1"/>
    <col min="129" max="129" width="25.7109375" style="154" bestFit="1" customWidth="1"/>
    <col min="130" max="130" width="26" style="154" bestFit="1" customWidth="1"/>
    <col min="131" max="131" width="26.28515625" style="154" bestFit="1" customWidth="1"/>
    <col min="132" max="132" width="21.5703125" style="154" bestFit="1" customWidth="1"/>
    <col min="133" max="133" width="23.42578125" style="154" bestFit="1" customWidth="1"/>
    <col min="134" max="134" width="21.7109375" style="154" bestFit="1" customWidth="1"/>
    <col min="135" max="135" width="24" style="154" bestFit="1" customWidth="1"/>
    <col min="136" max="136" width="24.42578125" style="154" bestFit="1" customWidth="1"/>
    <col min="137" max="137" width="26.28515625" style="154" bestFit="1" customWidth="1"/>
    <col min="138" max="138" width="24.5703125" style="154" bestFit="1" customWidth="1"/>
    <col min="139" max="139" width="26.7109375" style="154" bestFit="1" customWidth="1"/>
    <col min="140" max="140" width="23" style="154" bestFit="1" customWidth="1"/>
    <col min="141" max="141" width="24.7109375" style="154" bestFit="1" customWidth="1"/>
    <col min="142" max="142" width="23.42578125" style="154" bestFit="1" customWidth="1"/>
    <col min="143" max="143" width="25.5703125" style="154" bestFit="1" customWidth="1"/>
    <col min="144" max="144" width="23.7109375" style="154" bestFit="1" customWidth="1"/>
    <col min="145" max="145" width="25.7109375" style="154" bestFit="1" customWidth="1"/>
    <col min="146" max="146" width="24.28515625" style="154" bestFit="1" customWidth="1"/>
    <col min="147" max="147" width="26.42578125" style="154" bestFit="1" customWidth="1"/>
    <col min="148" max="148" width="23.42578125" style="154" bestFit="1" customWidth="1"/>
    <col min="149" max="149" width="25.42578125" style="154" bestFit="1" customWidth="1"/>
    <col min="150" max="150" width="23.7109375" style="154" bestFit="1" customWidth="1"/>
    <col min="151" max="151" width="26.28515625" style="154" bestFit="1" customWidth="1"/>
    <col min="152" max="152" width="22.42578125" style="154" bestFit="1" customWidth="1"/>
    <col min="153" max="153" width="22.7109375" style="154" bestFit="1" customWidth="1"/>
    <col min="154" max="154" width="25" style="154" bestFit="1" customWidth="1"/>
    <col min="155" max="155" width="25.42578125" style="154" bestFit="1" customWidth="1"/>
    <col min="156" max="156" width="25.7109375" style="154" bestFit="1" customWidth="1"/>
    <col min="157" max="157" width="27.7109375" style="154" bestFit="1" customWidth="1"/>
    <col min="158" max="158" width="24" style="154" bestFit="1" customWidth="1"/>
    <col min="159" max="159" width="24.42578125" style="154" bestFit="1" customWidth="1"/>
    <col min="160" max="160" width="26.5703125" style="154" bestFit="1" customWidth="1"/>
    <col min="161" max="161" width="24.7109375" style="154" bestFit="1" customWidth="1"/>
    <col min="162" max="162" width="25.28515625" style="154" bestFit="1" customWidth="1"/>
    <col min="163" max="163" width="27.42578125" style="154" bestFit="1" customWidth="1"/>
    <col min="164" max="164" width="24.42578125" style="154" bestFit="1" customWidth="1"/>
    <col min="165" max="165" width="24.7109375" style="154" bestFit="1" customWidth="1"/>
    <col min="166" max="166" width="27.28515625" style="154" bestFit="1" customWidth="1"/>
    <col min="167" max="16384" width="8.7109375" style="154"/>
  </cols>
  <sheetData>
    <row r="1" spans="1:174" x14ac:dyDescent="0.25">
      <c r="A1" s="161" t="s">
        <v>397</v>
      </c>
    </row>
    <row r="4" spans="1:174" x14ac:dyDescent="0.25">
      <c r="B4" s="197">
        <v>2023</v>
      </c>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v>2034</v>
      </c>
      <c r="BF4" s="197"/>
      <c r="BG4" s="197"/>
      <c r="BH4" s="197"/>
      <c r="BI4" s="197"/>
      <c r="BJ4" s="197"/>
      <c r="BK4" s="197"/>
      <c r="BL4" s="197"/>
      <c r="BM4" s="197"/>
      <c r="BN4" s="197"/>
      <c r="BO4" s="197"/>
      <c r="BP4" s="197"/>
      <c r="BQ4" s="197"/>
      <c r="BR4" s="197"/>
      <c r="BS4" s="197"/>
      <c r="BT4" s="197"/>
      <c r="BU4" s="197"/>
      <c r="BV4" s="197"/>
      <c r="BW4" s="197"/>
      <c r="BX4" s="197"/>
      <c r="BY4" s="197"/>
      <c r="BZ4" s="197"/>
      <c r="CA4" s="197"/>
      <c r="CB4" s="197"/>
      <c r="CC4" s="197"/>
      <c r="CD4" s="197"/>
      <c r="CE4" s="197"/>
      <c r="CF4" s="197"/>
      <c r="CG4" s="197"/>
      <c r="CH4" s="197"/>
      <c r="CI4" s="197"/>
      <c r="CJ4" s="197"/>
      <c r="CK4" s="197"/>
      <c r="CL4" s="197"/>
      <c r="CM4" s="197"/>
      <c r="CN4" s="197"/>
      <c r="CO4" s="197"/>
      <c r="CP4" s="197"/>
      <c r="CQ4" s="197"/>
      <c r="CR4" s="197"/>
      <c r="CS4" s="197"/>
      <c r="CT4" s="197"/>
      <c r="CU4" s="197"/>
      <c r="CV4" s="197"/>
      <c r="CW4" s="197"/>
      <c r="CX4" s="197"/>
      <c r="CY4" s="197"/>
      <c r="CZ4" s="197"/>
      <c r="DA4" s="197"/>
      <c r="DB4" s="197"/>
      <c r="DC4" s="197"/>
      <c r="DD4" s="197"/>
      <c r="DE4" s="197"/>
      <c r="DF4" s="197"/>
      <c r="DG4" s="197"/>
      <c r="DH4" s="197">
        <v>2050</v>
      </c>
      <c r="DI4" s="197"/>
      <c r="DJ4" s="197"/>
      <c r="DK4" s="197"/>
      <c r="DL4" s="197"/>
      <c r="DM4" s="197"/>
      <c r="DN4" s="197"/>
      <c r="DO4" s="197"/>
      <c r="DP4" s="197"/>
      <c r="DQ4" s="197"/>
      <c r="DR4" s="197"/>
      <c r="DS4" s="197"/>
      <c r="DT4" s="197"/>
      <c r="DU4" s="197"/>
      <c r="DV4" s="197"/>
      <c r="DW4" s="197"/>
      <c r="DX4" s="197"/>
      <c r="DY4" s="197"/>
      <c r="DZ4" s="197"/>
      <c r="EA4" s="197"/>
      <c r="EB4" s="197"/>
      <c r="EC4" s="197"/>
      <c r="ED4" s="197"/>
      <c r="EE4" s="197"/>
      <c r="EF4" s="197"/>
      <c r="EG4" s="197"/>
      <c r="EH4" s="197"/>
      <c r="EI4" s="197"/>
      <c r="EJ4" s="197"/>
      <c r="EK4" s="197"/>
      <c r="EL4" s="197"/>
      <c r="EM4" s="197"/>
      <c r="EN4" s="197"/>
      <c r="EO4" s="197"/>
      <c r="EP4" s="197"/>
      <c r="EQ4" s="197"/>
      <c r="ER4" s="197"/>
      <c r="ES4" s="197"/>
      <c r="ET4" s="197"/>
      <c r="EU4" s="197"/>
      <c r="EV4" s="197"/>
      <c r="EW4" s="197"/>
      <c r="EX4" s="197"/>
      <c r="EY4" s="197"/>
      <c r="EZ4" s="197"/>
      <c r="FA4" s="197"/>
      <c r="FB4" s="197"/>
      <c r="FC4" s="197"/>
      <c r="FD4" s="197"/>
      <c r="FE4" s="197"/>
      <c r="FF4" s="197"/>
      <c r="FG4" s="197"/>
      <c r="FH4" s="197"/>
      <c r="FI4" s="197"/>
      <c r="FJ4" s="197"/>
    </row>
    <row r="5" spans="1:174" x14ac:dyDescent="0.25">
      <c r="B5" s="154" t="s">
        <v>378</v>
      </c>
      <c r="C5" s="154" t="s">
        <v>374</v>
      </c>
      <c r="D5" s="154" t="s">
        <v>327</v>
      </c>
      <c r="E5" s="154" t="s">
        <v>328</v>
      </c>
      <c r="F5" s="154" t="s">
        <v>329</v>
      </c>
      <c r="G5" s="154" t="s">
        <v>379</v>
      </c>
      <c r="H5" s="154" t="s">
        <v>375</v>
      </c>
      <c r="I5" s="154" t="s">
        <v>330</v>
      </c>
      <c r="J5" s="154" t="s">
        <v>331</v>
      </c>
      <c r="K5" s="154" t="s">
        <v>332</v>
      </c>
      <c r="L5" s="154" t="s">
        <v>380</v>
      </c>
      <c r="M5" s="154" t="s">
        <v>376</v>
      </c>
      <c r="N5" s="154" t="s">
        <v>333</v>
      </c>
      <c r="O5" s="154" t="s">
        <v>334</v>
      </c>
      <c r="P5" s="154" t="s">
        <v>335</v>
      </c>
      <c r="Q5" s="154" t="s">
        <v>381</v>
      </c>
      <c r="R5" s="154" t="s">
        <v>377</v>
      </c>
      <c r="S5" s="154" t="s">
        <v>336</v>
      </c>
      <c r="T5" s="154" t="s">
        <v>337</v>
      </c>
      <c r="U5" s="154" t="s">
        <v>338</v>
      </c>
      <c r="V5" s="154" t="s">
        <v>339</v>
      </c>
      <c r="W5" s="154" t="s">
        <v>340</v>
      </c>
      <c r="X5" s="154" t="s">
        <v>341</v>
      </c>
      <c r="Y5" s="154" t="s">
        <v>342</v>
      </c>
      <c r="Z5" s="154" t="s">
        <v>343</v>
      </c>
      <c r="AA5" s="154" t="s">
        <v>344</v>
      </c>
      <c r="AB5" s="154" t="s">
        <v>345</v>
      </c>
      <c r="AC5" s="154" t="s">
        <v>346</v>
      </c>
      <c r="AD5" s="154" t="s">
        <v>347</v>
      </c>
      <c r="AE5" s="154" t="s">
        <v>348</v>
      </c>
      <c r="AF5" s="154" t="s">
        <v>349</v>
      </c>
      <c r="AG5" s="154" t="s">
        <v>350</v>
      </c>
      <c r="AH5" s="154" t="s">
        <v>351</v>
      </c>
      <c r="AI5" s="154" t="s">
        <v>352</v>
      </c>
      <c r="AJ5" s="154" t="s">
        <v>353</v>
      </c>
      <c r="AK5" s="154" t="s">
        <v>354</v>
      </c>
      <c r="AL5" s="154" t="s">
        <v>355</v>
      </c>
      <c r="AM5" s="154" t="s">
        <v>356</v>
      </c>
      <c r="AN5" s="154" t="s">
        <v>357</v>
      </c>
      <c r="AO5" s="154" t="s">
        <v>358</v>
      </c>
      <c r="AP5" s="154" t="s">
        <v>359</v>
      </c>
      <c r="AQ5" s="154" t="s">
        <v>360</v>
      </c>
      <c r="AR5" s="154" t="s">
        <v>361</v>
      </c>
      <c r="AS5" s="154" t="s">
        <v>362</v>
      </c>
      <c r="AT5" s="154" t="s">
        <v>363</v>
      </c>
      <c r="AU5" s="154" t="s">
        <v>364</v>
      </c>
      <c r="AV5" s="154" t="s">
        <v>365</v>
      </c>
      <c r="AW5" s="154" t="s">
        <v>366</v>
      </c>
      <c r="AX5" s="154" t="s">
        <v>367</v>
      </c>
      <c r="AY5" s="154" t="s">
        <v>368</v>
      </c>
      <c r="AZ5" s="154" t="s">
        <v>369</v>
      </c>
      <c r="BA5" s="154" t="s">
        <v>370</v>
      </c>
      <c r="BB5" s="154" t="s">
        <v>371</v>
      </c>
      <c r="BC5" s="154" t="s">
        <v>372</v>
      </c>
      <c r="BD5" s="154" t="s">
        <v>373</v>
      </c>
      <c r="BE5" s="154" t="s">
        <v>378</v>
      </c>
      <c r="BF5" s="154" t="s">
        <v>374</v>
      </c>
      <c r="BG5" s="154" t="s">
        <v>327</v>
      </c>
      <c r="BH5" s="154" t="s">
        <v>328</v>
      </c>
      <c r="BI5" s="154" t="s">
        <v>329</v>
      </c>
      <c r="BJ5" s="154" t="s">
        <v>379</v>
      </c>
      <c r="BK5" s="154" t="s">
        <v>375</v>
      </c>
      <c r="BL5" s="154" t="s">
        <v>330</v>
      </c>
      <c r="BM5" s="154" t="s">
        <v>331</v>
      </c>
      <c r="BN5" s="154" t="s">
        <v>332</v>
      </c>
      <c r="BO5" s="154" t="s">
        <v>380</v>
      </c>
      <c r="BP5" s="154" t="s">
        <v>376</v>
      </c>
      <c r="BQ5" s="154" t="s">
        <v>333</v>
      </c>
      <c r="BR5" s="154" t="s">
        <v>334</v>
      </c>
      <c r="BS5" s="154" t="s">
        <v>335</v>
      </c>
      <c r="BT5" s="154" t="s">
        <v>381</v>
      </c>
      <c r="BU5" s="154" t="s">
        <v>377</v>
      </c>
      <c r="BV5" s="154" t="s">
        <v>336</v>
      </c>
      <c r="BW5" s="154" t="s">
        <v>337</v>
      </c>
      <c r="BX5" s="154" t="s">
        <v>338</v>
      </c>
      <c r="BY5" s="154" t="s">
        <v>339</v>
      </c>
      <c r="BZ5" s="154" t="s">
        <v>340</v>
      </c>
      <c r="CA5" s="154" t="s">
        <v>341</v>
      </c>
      <c r="CB5" s="154" t="s">
        <v>342</v>
      </c>
      <c r="CC5" s="154" t="s">
        <v>343</v>
      </c>
      <c r="CD5" s="154" t="s">
        <v>344</v>
      </c>
      <c r="CE5" s="154" t="s">
        <v>345</v>
      </c>
      <c r="CF5" s="154" t="s">
        <v>346</v>
      </c>
      <c r="CG5" s="154" t="s">
        <v>347</v>
      </c>
      <c r="CH5" s="154" t="s">
        <v>348</v>
      </c>
      <c r="CI5" s="154" t="s">
        <v>349</v>
      </c>
      <c r="CJ5" s="154" t="s">
        <v>350</v>
      </c>
      <c r="CK5" s="154" t="s">
        <v>351</v>
      </c>
      <c r="CL5" s="154" t="s">
        <v>352</v>
      </c>
      <c r="CM5" s="154" t="s">
        <v>353</v>
      </c>
      <c r="CN5" s="154" t="s">
        <v>354</v>
      </c>
      <c r="CO5" s="154" t="s">
        <v>355</v>
      </c>
      <c r="CP5" s="154" t="s">
        <v>356</v>
      </c>
      <c r="CQ5" s="154" t="s">
        <v>357</v>
      </c>
      <c r="CR5" s="154" t="s">
        <v>358</v>
      </c>
      <c r="CS5" s="154" t="s">
        <v>359</v>
      </c>
      <c r="CT5" s="154" t="s">
        <v>360</v>
      </c>
      <c r="CU5" s="154" t="s">
        <v>361</v>
      </c>
      <c r="CV5" s="154" t="s">
        <v>362</v>
      </c>
      <c r="CW5" s="154" t="s">
        <v>363</v>
      </c>
      <c r="CX5" s="154" t="s">
        <v>364</v>
      </c>
      <c r="CY5" s="154" t="s">
        <v>365</v>
      </c>
      <c r="CZ5" s="154" t="s">
        <v>366</v>
      </c>
      <c r="DA5" s="154" t="s">
        <v>367</v>
      </c>
      <c r="DB5" s="154" t="s">
        <v>368</v>
      </c>
      <c r="DC5" s="154" t="s">
        <v>369</v>
      </c>
      <c r="DD5" s="154" t="s">
        <v>370</v>
      </c>
      <c r="DE5" s="154" t="s">
        <v>371</v>
      </c>
      <c r="DF5" s="154" t="s">
        <v>372</v>
      </c>
      <c r="DG5" s="154" t="s">
        <v>373</v>
      </c>
      <c r="DH5" s="154" t="s">
        <v>378</v>
      </c>
      <c r="DI5" s="154" t="s">
        <v>374</v>
      </c>
      <c r="DJ5" s="154" t="s">
        <v>327</v>
      </c>
      <c r="DK5" s="154" t="s">
        <v>328</v>
      </c>
      <c r="DL5" s="154" t="s">
        <v>329</v>
      </c>
      <c r="DM5" s="154" t="s">
        <v>379</v>
      </c>
      <c r="DN5" s="154" t="s">
        <v>375</v>
      </c>
      <c r="DO5" s="154" t="s">
        <v>330</v>
      </c>
      <c r="DP5" s="154" t="s">
        <v>331</v>
      </c>
      <c r="DQ5" s="154" t="s">
        <v>332</v>
      </c>
      <c r="DR5" s="154" t="s">
        <v>380</v>
      </c>
      <c r="DS5" s="154" t="s">
        <v>376</v>
      </c>
      <c r="DT5" s="154" t="s">
        <v>333</v>
      </c>
      <c r="DU5" s="154" t="s">
        <v>334</v>
      </c>
      <c r="DV5" s="154" t="s">
        <v>335</v>
      </c>
      <c r="DW5" s="154" t="s">
        <v>381</v>
      </c>
      <c r="DX5" s="154" t="s">
        <v>377</v>
      </c>
      <c r="DY5" s="154" t="s">
        <v>336</v>
      </c>
      <c r="DZ5" s="154" t="s">
        <v>337</v>
      </c>
      <c r="EA5" s="154" t="s">
        <v>338</v>
      </c>
      <c r="EB5" s="154" t="s">
        <v>339</v>
      </c>
      <c r="EC5" s="154" t="s">
        <v>340</v>
      </c>
      <c r="ED5" s="154" t="s">
        <v>341</v>
      </c>
      <c r="EE5" s="154" t="s">
        <v>342</v>
      </c>
      <c r="EF5" s="154" t="s">
        <v>343</v>
      </c>
      <c r="EG5" s="154" t="s">
        <v>344</v>
      </c>
      <c r="EH5" s="154" t="s">
        <v>345</v>
      </c>
      <c r="EI5" s="154" t="s">
        <v>346</v>
      </c>
      <c r="EJ5" s="154" t="s">
        <v>347</v>
      </c>
      <c r="EK5" s="154" t="s">
        <v>348</v>
      </c>
      <c r="EL5" s="154" t="s">
        <v>349</v>
      </c>
      <c r="EM5" s="154" t="s">
        <v>350</v>
      </c>
      <c r="EN5" s="154" t="s">
        <v>351</v>
      </c>
      <c r="EO5" s="154" t="s">
        <v>352</v>
      </c>
      <c r="EP5" s="154" t="s">
        <v>353</v>
      </c>
      <c r="EQ5" s="154" t="s">
        <v>354</v>
      </c>
      <c r="ER5" s="154" t="s">
        <v>355</v>
      </c>
      <c r="ES5" s="154" t="s">
        <v>356</v>
      </c>
      <c r="ET5" s="154" t="s">
        <v>357</v>
      </c>
      <c r="EU5" s="154" t="s">
        <v>358</v>
      </c>
      <c r="EV5" s="154" t="s">
        <v>359</v>
      </c>
      <c r="EW5" s="154" t="s">
        <v>360</v>
      </c>
      <c r="EX5" s="154" t="s">
        <v>361</v>
      </c>
      <c r="EY5" s="154" t="s">
        <v>362</v>
      </c>
      <c r="EZ5" s="154" t="s">
        <v>363</v>
      </c>
      <c r="FA5" s="154" t="s">
        <v>364</v>
      </c>
      <c r="FB5" s="154" t="s">
        <v>365</v>
      </c>
      <c r="FC5" s="154" t="s">
        <v>366</v>
      </c>
      <c r="FD5" s="154" t="s">
        <v>367</v>
      </c>
      <c r="FE5" s="154" t="s">
        <v>368</v>
      </c>
      <c r="FF5" s="154" t="s">
        <v>369</v>
      </c>
      <c r="FG5" s="154" t="s">
        <v>370</v>
      </c>
      <c r="FH5" s="154" t="s">
        <v>371</v>
      </c>
      <c r="FI5" s="154" t="s">
        <v>372</v>
      </c>
      <c r="FJ5" s="154" t="s">
        <v>373</v>
      </c>
    </row>
    <row r="6" spans="1:174" x14ac:dyDescent="0.25">
      <c r="A6" s="154" t="s">
        <v>18</v>
      </c>
      <c r="B6" s="157">
        <f>'Short-sea (HFO)'!B74</f>
        <v>1.0347449498978036E-3</v>
      </c>
      <c r="C6" s="156">
        <f>'Short-sea (MGO)'!B74</f>
        <v>1.0347449498978036E-3</v>
      </c>
      <c r="D6" s="156">
        <f>'Short-sea (Hydrogen)'!B74</f>
        <v>2.0678991054715748E-3</v>
      </c>
      <c r="E6" s="156">
        <f>'Short-sea (Ammonia)'!B74</f>
        <v>2.0676718491395704E-3</v>
      </c>
      <c r="F6" s="156">
        <f>'Short-sea (Methanol)'!B74</f>
        <v>1.3444866658711308E-3</v>
      </c>
      <c r="G6" s="154">
        <f>'Short-sea (HFO)'!B180</f>
        <v>1.0347449498978036E-3</v>
      </c>
      <c r="H6" s="156">
        <f>'Short-sea (MGO)'!B180</f>
        <v>1.0347449498978036E-3</v>
      </c>
      <c r="I6" s="156">
        <f>'Short-sea (Hydrogen)'!B180</f>
        <v>2.0678991054715748E-3</v>
      </c>
      <c r="J6" s="156">
        <f>'Short-sea (Ammonia)'!B180</f>
        <v>2.0676718491395704E-3</v>
      </c>
      <c r="K6" s="156">
        <f>'Short-sea (Methanol)'!B180</f>
        <v>1.3444866658711308E-3</v>
      </c>
      <c r="L6" s="156">
        <f>'Short-sea (HFO)'!B288</f>
        <v>1.0347449498978036E-3</v>
      </c>
      <c r="M6" s="156">
        <f>'Short-sea (MGO)'!B288</f>
        <v>1.0347449498978036E-3</v>
      </c>
      <c r="N6" s="156">
        <f>'Short-sea (Hydrogen)'!B288</f>
        <v>2.0678991054715748E-3</v>
      </c>
      <c r="O6" s="156">
        <f>'Short-sea (Ammonia)'!B288</f>
        <v>2.0676718491395704E-3</v>
      </c>
      <c r="P6" s="156">
        <f>'Short-sea (Methanol)'!B288</f>
        <v>1.3444866658711308E-3</v>
      </c>
      <c r="Q6" s="156">
        <f>'Short-sea (HFO)'!B397</f>
        <v>1.0347449498978036E-3</v>
      </c>
      <c r="R6" s="156">
        <f>'Short-sea (MGO)'!B397</f>
        <v>1.0347449498978036E-3</v>
      </c>
      <c r="S6" s="156">
        <f>'Short-sea (Hydrogen)'!B397</f>
        <v>2.0678991054715748E-3</v>
      </c>
      <c r="T6" s="156">
        <f>'Short-sea (Ammonia)'!B397</f>
        <v>2.0676718491395704E-3</v>
      </c>
      <c r="U6" s="156">
        <f>'Short-sea (Methanol)'!B397</f>
        <v>1.3444866658711308E-3</v>
      </c>
      <c r="V6" s="156">
        <f>'Railway (Diesel)'!B74</f>
        <v>7.6317014160409149E-4</v>
      </c>
      <c r="W6" s="156">
        <f>'Railway (Catenary)'!B74</f>
        <v>1.0902430594344164E-3</v>
      </c>
      <c r="X6" s="156">
        <f>'Railway (Battery)'!B74</f>
        <v>2.1696909640280381E-3</v>
      </c>
      <c r="Y6" s="156">
        <f>'Railway (Hydrogen)'!B74</f>
        <v>2.1632138711235615E-3</v>
      </c>
      <c r="Z6" s="156">
        <f>'Railway (Diesel)'!B180</f>
        <v>7.6317014160409149E-4</v>
      </c>
      <c r="AA6" s="156">
        <f>'Railway (Catenary)'!B180</f>
        <v>1.0902430594344164E-3</v>
      </c>
      <c r="AB6" s="156">
        <f>'Railway (Battery)'!B180</f>
        <v>2.1696909640280381E-3</v>
      </c>
      <c r="AC6" s="156">
        <f>'Railway (Hydrogen)'!B180</f>
        <v>2.1632138711235615E-3</v>
      </c>
      <c r="AD6" s="156">
        <f>'Railway (Diesel)'!B288</f>
        <v>7.6317014160409149E-4</v>
      </c>
      <c r="AE6" s="156">
        <f>'Railway (Catenary)'!B288</f>
        <v>1.0902430594344164E-3</v>
      </c>
      <c r="AF6" s="156">
        <f>'Railway (Battery)'!B288</f>
        <v>2.1696909640280381E-3</v>
      </c>
      <c r="AG6" s="156">
        <f>'Railway (Hydrogen)'!B288</f>
        <v>2.1632138711235615E-3</v>
      </c>
      <c r="AH6" s="156">
        <f>'Railway (Diesel)'!B397</f>
        <v>7.6317014160409149E-4</v>
      </c>
      <c r="AI6" s="156">
        <f>'Railway (Catenary)'!B397</f>
        <v>1.0902430594344164E-3</v>
      </c>
      <c r="AJ6" s="156">
        <f>'Railway (Battery)'!B397</f>
        <v>2.1696909640280381E-3</v>
      </c>
      <c r="AK6" s="156">
        <f>'Railway (Hydrogen)'!B397</f>
        <v>2.1632138711235615E-3</v>
      </c>
      <c r="AL6" s="156">
        <f>'Railway (Diesel)'!B502</f>
        <v>6.1053611328327313E-4</v>
      </c>
      <c r="AM6" s="156">
        <f>'Railway (Catenary)'!B502</f>
        <v>8.7219444754753307E-4</v>
      </c>
      <c r="AN6" s="156">
        <f>'Railway (Battery)'!B502</f>
        <v>1.7357527712224307E-3</v>
      </c>
      <c r="AO6" s="156">
        <f>'Railway (Hydrogen)'!B502</f>
        <v>1.7305710968988492E-3</v>
      </c>
      <c r="AP6" s="156">
        <f>'Semi-trailer truck (Diesel)'!B74</f>
        <v>1.2312752120811793E-2</v>
      </c>
      <c r="AQ6" s="156">
        <f>'Semi-trailer truck (Battery)'!B74</f>
        <v>4.5229574619176545E-2</v>
      </c>
      <c r="AR6" s="156">
        <f>'Semi-trailer truck (Hydrogen)'!B74</f>
        <v>4.4623597015022408E-2</v>
      </c>
      <c r="AS6" s="156">
        <f>'Semi-trailer truck (Diesel)'!B180</f>
        <v>6.1563760604058963E-3</v>
      </c>
      <c r="AT6" s="156">
        <f>'Semi-trailer truck (Battery)'!B180</f>
        <v>2.2614787309588272E-2</v>
      </c>
      <c r="AU6" s="156">
        <f>'Semi-trailer truck (Hydrogen)'!B180</f>
        <v>2.2311798507511204E-2</v>
      </c>
      <c r="AV6" s="156">
        <f>'Semi-trailer truck (Diesel)'!B288</f>
        <v>6.4495368251871292E-3</v>
      </c>
      <c r="AW6" s="156">
        <f>'Semi-trailer truck (Battery)'!B288</f>
        <v>2.3691681943378187E-2</v>
      </c>
      <c r="AX6" s="156">
        <f>'Semi-trailer truck (Hydrogen)'!B288</f>
        <v>2.3374265103106976E-2</v>
      </c>
      <c r="AY6" s="156">
        <f>'Semi-trailer truck (Diesel)'!B397</f>
        <v>8.6820688031365185E-3</v>
      </c>
      <c r="AZ6" s="156">
        <f>'Semi-trailer truck (Battery)'!B397</f>
        <v>3.1892648769932176E-2</v>
      </c>
      <c r="BA6" s="156">
        <f>'Semi-trailer truck (Hydrogen)'!B397</f>
        <v>3.1465356869567078E-2</v>
      </c>
      <c r="BB6" s="156">
        <f>'Semi-trailer truck (Diesel)'!B502</f>
        <v>7.5244596293849832E-3</v>
      </c>
      <c r="BC6" s="156">
        <f>'Semi-trailer truck (Battery)'!B502</f>
        <v>2.7640295600607889E-2</v>
      </c>
      <c r="BD6" s="156">
        <f>'Semi-trailer truck (Hydrogen)'!B502</f>
        <v>2.7269975953624806E-2</v>
      </c>
      <c r="BE6" s="157">
        <f>'Short-sea (HFO)'!M74</f>
        <v>1.0347449498978036E-3</v>
      </c>
      <c r="BF6" s="156">
        <f>'Short-sea (MGO)'!M74</f>
        <v>1.0347449498978036E-3</v>
      </c>
      <c r="BG6" s="156">
        <f>'Short-sea (Hydrogen)'!M74</f>
        <v>1.9922371300663917E-3</v>
      </c>
      <c r="BH6" s="156">
        <f>'Short-sea (Ammonia)'!M74</f>
        <v>1.9812010201050753E-3</v>
      </c>
      <c r="BI6" s="156">
        <f>'Short-sea (Methanol)'!M74</f>
        <v>1.3120601049831952E-3</v>
      </c>
      <c r="BJ6" s="154">
        <f>'Short-sea (HFO)'!M180</f>
        <v>1.0347449498978036E-3</v>
      </c>
      <c r="BK6" s="156">
        <f>'Short-sea (MGO)'!M180</f>
        <v>1.0347449498978036E-3</v>
      </c>
      <c r="BL6" s="156">
        <f>'Short-sea (Hydrogen)'!M180</f>
        <v>1.9922371300663917E-3</v>
      </c>
      <c r="BM6" s="156">
        <f>'Short-sea (Ammonia)'!M180</f>
        <v>1.9812010201050753E-3</v>
      </c>
      <c r="BN6" s="156">
        <f>'Short-sea (Methanol)'!M180</f>
        <v>1.3120601049831952E-3</v>
      </c>
      <c r="BO6" s="156">
        <f>'Short-sea (HFO)'!M288</f>
        <v>1.0347449498978036E-3</v>
      </c>
      <c r="BP6" s="156">
        <f>'Short-sea (MGO)'!M288</f>
        <v>1.0347449498978036E-3</v>
      </c>
      <c r="BQ6" s="156">
        <f>'Short-sea (Hydrogen)'!M288</f>
        <v>1.9922371300663917E-3</v>
      </c>
      <c r="BR6" s="156">
        <f>'Short-sea (Ammonia)'!M288</f>
        <v>1.9812010201050753E-3</v>
      </c>
      <c r="BS6" s="156">
        <f>'Short-sea (Methanol)'!M288</f>
        <v>1.3120601049831952E-3</v>
      </c>
      <c r="BT6" s="156">
        <f>'Short-sea (HFO)'!M397</f>
        <v>1.0347449498978036E-3</v>
      </c>
      <c r="BU6" s="156">
        <f>'Short-sea (MGO)'!M397</f>
        <v>1.0347449498978036E-3</v>
      </c>
      <c r="BV6" s="156">
        <f>'Short-sea (Hydrogen)'!M397</f>
        <v>1.9922371300663917E-3</v>
      </c>
      <c r="BW6" s="156">
        <f>'Short-sea (Ammonia)'!M397</f>
        <v>1.9812010201050753E-3</v>
      </c>
      <c r="BX6" s="156">
        <f>'Short-sea (Methanol)'!M397</f>
        <v>1.3120601049831952E-3</v>
      </c>
      <c r="BY6" s="156">
        <f>'Railway (Diesel)'!M74</f>
        <v>7.6317014160409149E-4</v>
      </c>
      <c r="BZ6" s="156">
        <f>'Railway (Catenary)'!M74</f>
        <v>1.0902430594344164E-3</v>
      </c>
      <c r="CA6" s="156">
        <f>'Railway (Battery)'!M74</f>
        <v>1.8209695944675583E-3</v>
      </c>
      <c r="CB6" s="156">
        <f>'Railway (Hydrogen)'!M74</f>
        <v>1.6052596798267933E-3</v>
      </c>
      <c r="CC6" s="156">
        <f>'Railway (Diesel)'!M180</f>
        <v>7.6317014160409149E-4</v>
      </c>
      <c r="CD6" s="156">
        <f>'Railway (Catenary)'!M180</f>
        <v>1.0902430594344164E-3</v>
      </c>
      <c r="CE6" s="156">
        <f>'Railway (Battery)'!M180</f>
        <v>1.8209695944675583E-3</v>
      </c>
      <c r="CF6" s="156">
        <f>'Railway (Hydrogen)'!M180</f>
        <v>1.6052596798267933E-3</v>
      </c>
      <c r="CG6" s="156">
        <f>'Railway (Diesel)'!M288</f>
        <v>7.6317014160409149E-4</v>
      </c>
      <c r="CH6" s="156">
        <f>'Railway (Catenary)'!M288</f>
        <v>1.0902430594344164E-3</v>
      </c>
      <c r="CI6" s="156">
        <f>'Railway (Battery)'!M288</f>
        <v>1.8209695944675583E-3</v>
      </c>
      <c r="CJ6" s="156">
        <f>'Railway (Hydrogen)'!M288</f>
        <v>1.6052596798267933E-3</v>
      </c>
      <c r="CK6" s="156">
        <f>'Railway (Diesel)'!M397</f>
        <v>7.6317014160409149E-4</v>
      </c>
      <c r="CL6" s="156">
        <f>'Railway (Catenary)'!M397</f>
        <v>1.0902430594344164E-3</v>
      </c>
      <c r="CM6" s="156">
        <f>'Railway (Battery)'!M397</f>
        <v>1.8209695944675583E-3</v>
      </c>
      <c r="CN6" s="156">
        <f>'Railway (Hydrogen)'!M397</f>
        <v>1.6052596798267933E-3</v>
      </c>
      <c r="CO6" s="156">
        <f>'Railway (Diesel)'!M502</f>
        <v>6.1053611328327313E-4</v>
      </c>
      <c r="CP6" s="156">
        <f>'Railway (Catenary)'!M502</f>
        <v>8.7219444754753307E-4</v>
      </c>
      <c r="CQ6" s="156">
        <f>'Railway (Battery)'!M502</f>
        <v>1.4567756755740466E-3</v>
      </c>
      <c r="CR6" s="156">
        <f>'Railway (Hydrogen)'!M502</f>
        <v>1.2842077438614348E-3</v>
      </c>
      <c r="CS6" s="156">
        <f>'Semi-trailer truck (Diesel)'!M74</f>
        <v>1.2812227504666332E-2</v>
      </c>
      <c r="CT6" s="156">
        <f>'Semi-trailer truck (Battery)'!M74</f>
        <v>2.3282636418581814E-2</v>
      </c>
      <c r="CU6" s="156">
        <f>'Semi-trailer truck (Hydrogen)'!M74</f>
        <v>2.5967869002591151E-2</v>
      </c>
      <c r="CV6" s="156">
        <f>'Semi-trailer truck (Diesel)'!M180</f>
        <v>6.406113752333166E-3</v>
      </c>
      <c r="CW6" s="156">
        <f>'Semi-trailer truck (Battery)'!M180</f>
        <v>1.1641318209290907E-2</v>
      </c>
      <c r="CX6" s="156">
        <f>'Semi-trailer truck (Hydrogen)'!M180</f>
        <v>1.2983934501295575E-2</v>
      </c>
      <c r="CY6" s="156">
        <f>'Semi-trailer truck (Diesel)'!M288</f>
        <v>6.7111667881585542E-3</v>
      </c>
      <c r="CZ6" s="156">
        <f>'Semi-trailer truck (Battery)'!M288</f>
        <v>1.2195666695447615E-2</v>
      </c>
      <c r="DA6" s="156">
        <f>'Semi-trailer truck (Hydrogen)'!M288</f>
        <v>1.3602217096595365E-2</v>
      </c>
      <c r="DB6" s="156">
        <f>'Semi-trailer truck (Diesel)'!M397</f>
        <v>9.034262984059592E-3</v>
      </c>
      <c r="DC6" s="156">
        <f>'Semi-trailer truck (Battery)'!M397</f>
        <v>1.6417243628487177E-2</v>
      </c>
      <c r="DD6" s="156">
        <f>'Semi-trailer truck (Hydrogen)'!M397</f>
        <v>1.8310676860801452E-2</v>
      </c>
      <c r="DE6" s="156">
        <f>'Semi-trailer truck (Diesel)'!M502</f>
        <v>7.8296945861849807E-3</v>
      </c>
      <c r="DF6" s="156">
        <f>'Semi-trailer truck (Battery)'!M502</f>
        <v>1.4228277811355551E-2</v>
      </c>
      <c r="DG6" s="156">
        <f>'Semi-trailer truck (Hydrogen)'!M502</f>
        <v>1.586925327936126E-2</v>
      </c>
      <c r="DH6" s="157">
        <f>'Short-sea (HFO)'!AC74</f>
        <v>1.0347449498978036E-3</v>
      </c>
      <c r="DI6" s="156">
        <f>'Short-sea (MGO)'!AC74</f>
        <v>1.0347449498978036E-3</v>
      </c>
      <c r="DJ6" s="156">
        <f>'Short-sea (Hydrogen)'!AC74</f>
        <v>1.3569040676564852E-3</v>
      </c>
      <c r="DK6" s="156">
        <f>'Short-sea (Ammonia)'!AC74</f>
        <v>1.2551060916366106E-3</v>
      </c>
      <c r="DL6" s="156">
        <f>'Short-sea (Methanol)'!AC74</f>
        <v>1.0397745068075209E-3</v>
      </c>
      <c r="DM6" s="154">
        <f>'Short-sea (HFO)'!AC180</f>
        <v>1.0347449498978036E-3</v>
      </c>
      <c r="DN6" s="156">
        <f>'Short-sea (MGO)'!AC180</f>
        <v>1.0347449498978036E-3</v>
      </c>
      <c r="DO6" s="156">
        <f>'Short-sea (Hydrogen)'!AC180</f>
        <v>1.3569040676564852E-3</v>
      </c>
      <c r="DP6" s="156">
        <f>'Short-sea (Ammonia)'!AC180</f>
        <v>1.2551060916366106E-3</v>
      </c>
      <c r="DQ6" s="156">
        <f>'Short-sea (Methanol)'!AC180</f>
        <v>1.0397745068075209E-3</v>
      </c>
      <c r="DR6" s="156">
        <f>'Short-sea (HFO)'!AC288</f>
        <v>1.0347449498978036E-3</v>
      </c>
      <c r="DS6" s="156">
        <f>'Short-sea (MGO)'!AC288</f>
        <v>1.0347449498978036E-3</v>
      </c>
      <c r="DT6" s="156">
        <f>'Short-sea (Hydrogen)'!AC288</f>
        <v>1.3569040676564852E-3</v>
      </c>
      <c r="DU6" s="156">
        <f>'Short-sea (Ammonia)'!AC288</f>
        <v>1.2551060916366106E-3</v>
      </c>
      <c r="DV6" s="156">
        <f>'Short-sea (Methanol)'!AC288</f>
        <v>1.0397745068075209E-3</v>
      </c>
      <c r="DW6" s="156">
        <f>'Short-sea (HFO)'!AC397</f>
        <v>1.0347449498978036E-3</v>
      </c>
      <c r="DX6" s="156">
        <f>'Short-sea (MGO)'!AC397</f>
        <v>1.0347449498978036E-3</v>
      </c>
      <c r="DY6" s="156">
        <f>'Short-sea (Hydrogen)'!AC397</f>
        <v>1.3569040676564852E-3</v>
      </c>
      <c r="DZ6" s="156">
        <f>'Short-sea (Ammonia)'!AC397</f>
        <v>1.2551060916366106E-3</v>
      </c>
      <c r="EA6" s="156">
        <f>'Short-sea (Methanol)'!AC397</f>
        <v>1.0397745068075209E-3</v>
      </c>
      <c r="EB6" s="156">
        <f>'Railway (Diesel)'!AC74</f>
        <v>7.6317014160409149E-4</v>
      </c>
      <c r="EC6" s="156">
        <f>'Railway (Catenary)'!AC74</f>
        <v>1.0902430594344164E-3</v>
      </c>
      <c r="ED6" s="156">
        <f>'Railway (Battery)'!AC74</f>
        <v>1.364623687619921E-3</v>
      </c>
      <c r="EE6" s="156">
        <f>'Railway (Hydrogen)'!AC74</f>
        <v>8.7510622887057403E-4</v>
      </c>
      <c r="EF6" s="156">
        <f>'Railway (Diesel)'!AC180</f>
        <v>7.6317014160409149E-4</v>
      </c>
      <c r="EG6" s="156">
        <f>'Railway (Catenary)'!AC180</f>
        <v>1.0902430594344164E-3</v>
      </c>
      <c r="EH6" s="156">
        <f>'Railway (Battery)'!AC180</f>
        <v>1.364623687619921E-3</v>
      </c>
      <c r="EI6" s="156">
        <f>'Railway (Hydrogen)'!AC180</f>
        <v>8.7510622887057403E-4</v>
      </c>
      <c r="EJ6" s="156">
        <f>'Railway (Diesel)'!AC288</f>
        <v>7.6317014160409149E-4</v>
      </c>
      <c r="EK6" s="156">
        <f>'Railway (Catenary)'!AC288</f>
        <v>1.0902430594344164E-3</v>
      </c>
      <c r="EL6" s="156">
        <f>'Railway (Battery)'!AC288</f>
        <v>1.364623687619921E-3</v>
      </c>
      <c r="EM6" s="156">
        <f>'Railway (Hydrogen)'!AC288</f>
        <v>8.7510622887057403E-4</v>
      </c>
      <c r="EN6" s="156">
        <f>'Railway (Diesel)'!AC397</f>
        <v>7.6317014160409149E-4</v>
      </c>
      <c r="EO6" s="156">
        <f>'Railway (Catenary)'!AC397</f>
        <v>1.0902430594344164E-3</v>
      </c>
      <c r="EP6" s="156">
        <f>'Railway (Battery)'!AC397</f>
        <v>1.364623687619921E-3</v>
      </c>
      <c r="EQ6" s="156">
        <f>'Railway (Hydrogen)'!AC397</f>
        <v>8.7510622887057403E-4</v>
      </c>
      <c r="ER6" s="156">
        <f>'Railway (Diesel)'!AC502</f>
        <v>6.1053611328327313E-4</v>
      </c>
      <c r="ES6" s="156">
        <f>'Railway (Catenary)'!AC502</f>
        <v>8.7219444754753307E-4</v>
      </c>
      <c r="ET6" s="156">
        <f>'Railway (Battery)'!AC502</f>
        <v>1.0916989500959369E-3</v>
      </c>
      <c r="EU6" s="156">
        <f>'Railway (Hydrogen)'!AC502</f>
        <v>7.0008498309645929E-4</v>
      </c>
      <c r="EV6" s="156">
        <f>'Semi-trailer truck (Diesel)'!AC74</f>
        <v>1.3465854058382996E-2</v>
      </c>
      <c r="EW6" s="156">
        <f>'Semi-trailer truck (Battery)'!AC74</f>
        <v>1.6995417056938824E-2</v>
      </c>
      <c r="EX6" s="156">
        <f>'Semi-trailer truck (Hydrogen)'!AC74</f>
        <v>1.8171622640410206E-2</v>
      </c>
      <c r="EY6" s="156">
        <f>'Semi-trailer truck (Diesel)'!AC180</f>
        <v>6.7329270291914978E-3</v>
      </c>
      <c r="EZ6" s="156">
        <f>'Semi-trailer truck (Battery)'!AC180</f>
        <v>8.497708528469412E-3</v>
      </c>
      <c r="FA6" s="156">
        <f>'Semi-trailer truck (Hydrogen)'!AC180</f>
        <v>9.0858113202051029E-3</v>
      </c>
      <c r="FB6" s="156">
        <f>'Semi-trailer truck (Diesel)'!AC288</f>
        <v>7.0535426020101408E-3</v>
      </c>
      <c r="FC6" s="156">
        <f>'Semi-trailer truck (Battery)'!AC288</f>
        <v>8.9023613155393838E-3</v>
      </c>
      <c r="FD6" s="156">
        <f>'Semi-trailer truck (Hydrogen)'!AC288</f>
        <v>9.5184690021196325E-3</v>
      </c>
      <c r="FE6" s="156">
        <f>'Semi-trailer truck (Diesel)'!AC397</f>
        <v>9.4951535027059594E-3</v>
      </c>
      <c r="FF6" s="156">
        <f>'Semi-trailer truck (Battery)'!AC397</f>
        <v>1.1983947924764555E-2</v>
      </c>
      <c r="FG6" s="156">
        <f>'Semi-trailer truck (Hydrogen)'!AC397</f>
        <v>1.2813323656699505E-2</v>
      </c>
      <c r="FH6" s="156">
        <f>'Semi-trailer truck (Diesel)'!AC502</f>
        <v>8.2291330356784979E-3</v>
      </c>
      <c r="FI6" s="156">
        <f>'Semi-trailer truck (Battery)'!AC502</f>
        <v>1.0386088201462616E-2</v>
      </c>
      <c r="FJ6" s="156">
        <f>'Semi-trailer truck (Hydrogen)'!AC502</f>
        <v>1.1104880502472903E-2</v>
      </c>
      <c r="FK6" s="156"/>
      <c r="FL6" s="156"/>
      <c r="FM6" s="156"/>
      <c r="FN6" s="156"/>
      <c r="FP6" s="156"/>
      <c r="FQ6" s="156"/>
      <c r="FR6" s="156"/>
    </row>
    <row r="7" spans="1:174" x14ac:dyDescent="0.25">
      <c r="A7" s="154" t="s">
        <v>28</v>
      </c>
      <c r="B7" s="157">
        <f>'Short-sea (HFO)'!B75</f>
        <v>-1.0336086682377807E-4</v>
      </c>
      <c r="C7" s="156">
        <f>'Short-sea (MGO)'!B75</f>
        <v>-1.0336086682377807E-4</v>
      </c>
      <c r="D7" s="156">
        <f>'Short-sea (Hydrogen)'!B75</f>
        <v>-1.0354267188938173E-4</v>
      </c>
      <c r="E7" s="156">
        <f>'Short-sea (Ammonia)'!B75</f>
        <v>-1.0351994625618128E-4</v>
      </c>
      <c r="F7" s="156">
        <f>'Short-sea (Methanol)'!B75</f>
        <v>-6.7337961459558828E-5</v>
      </c>
      <c r="G7" s="154">
        <f>'Short-sea (HFO)'!B181</f>
        <v>-1.0336086682377807E-4</v>
      </c>
      <c r="H7" s="156">
        <f>'Short-sea (MGO)'!B181</f>
        <v>-1.0336086682377807E-4</v>
      </c>
      <c r="I7" s="156">
        <f>'Short-sea (Hydrogen)'!B181</f>
        <v>-1.0354267188938173E-4</v>
      </c>
      <c r="J7" s="156">
        <f>'Short-sea (Ammonia)'!B181</f>
        <v>-1.0351994625618128E-4</v>
      </c>
      <c r="K7" s="156">
        <f>'Short-sea (Methanol)'!B181</f>
        <v>-6.7337961459558828E-5</v>
      </c>
      <c r="L7" s="156">
        <f>'Short-sea (HFO)'!B289</f>
        <v>-1.0336086682377807E-4</v>
      </c>
      <c r="M7" s="156">
        <f>'Short-sea (MGO)'!B289</f>
        <v>-1.0336086682377807E-4</v>
      </c>
      <c r="N7" s="156">
        <f>'Short-sea (Hydrogen)'!B289</f>
        <v>-1.0354267188938173E-4</v>
      </c>
      <c r="O7" s="156">
        <f>'Short-sea (Ammonia)'!B289</f>
        <v>-1.0351994625618128E-4</v>
      </c>
      <c r="P7" s="156">
        <f>'Short-sea (Methanol)'!B289</f>
        <v>-6.7337961459558828E-5</v>
      </c>
      <c r="Q7" s="156">
        <f>'Short-sea (HFO)'!B398</f>
        <v>-1.0336086682377807E-4</v>
      </c>
      <c r="R7" s="156">
        <f>'Short-sea (MGO)'!B398</f>
        <v>-1.0336086682377807E-4</v>
      </c>
      <c r="S7" s="156">
        <f>'Short-sea (Hydrogen)'!B398</f>
        <v>-1.0354267188938173E-4</v>
      </c>
      <c r="T7" s="156">
        <f>'Short-sea (Ammonia)'!B398</f>
        <v>-1.0351994625618128E-4</v>
      </c>
      <c r="U7" s="156">
        <f>'Short-sea (Methanol)'!B398</f>
        <v>-6.7337961459558828E-5</v>
      </c>
      <c r="V7" s="156">
        <f>'Railway (Diesel)'!B75</f>
        <v>-1.1346797345547289E-4</v>
      </c>
      <c r="W7" s="156">
        <f>'Railway (Catenary)'!B75</f>
        <v>-1.6353645891516245E-4</v>
      </c>
      <c r="X7" s="156">
        <f>'Railway (Battery)'!B75</f>
        <v>-1.1028374067486764E-4</v>
      </c>
      <c r="Y7" s="156">
        <f>'Railway (Hydrogen)'!B75</f>
        <v>-1.0931217673919614E-4</v>
      </c>
      <c r="Z7" s="156">
        <f>'Railway (Diesel)'!B181</f>
        <v>-1.1346797345547289E-4</v>
      </c>
      <c r="AA7" s="156">
        <f>'Railway (Catenary)'!B181</f>
        <v>-1.6353645891516245E-4</v>
      </c>
      <c r="AB7" s="156">
        <f>'Railway (Battery)'!B181</f>
        <v>-1.1028374067486764E-4</v>
      </c>
      <c r="AC7" s="156">
        <f>'Railway (Hydrogen)'!B181</f>
        <v>-1.0931217673919614E-4</v>
      </c>
      <c r="AD7" s="156">
        <f>'Railway (Diesel)'!B289</f>
        <v>-1.1346797345547289E-4</v>
      </c>
      <c r="AE7" s="156">
        <f>'Railway (Catenary)'!B289</f>
        <v>-1.6353645891516245E-4</v>
      </c>
      <c r="AF7" s="156">
        <f>'Railway (Battery)'!B289</f>
        <v>-1.1028374067486764E-4</v>
      </c>
      <c r="AG7" s="156">
        <f>'Railway (Hydrogen)'!B289</f>
        <v>-1.0931217673919614E-4</v>
      </c>
      <c r="AH7" s="156">
        <f>'Railway (Diesel)'!B398</f>
        <v>-1.1346797345547289E-4</v>
      </c>
      <c r="AI7" s="156">
        <f>'Railway (Catenary)'!B398</f>
        <v>-1.6353645891516245E-4</v>
      </c>
      <c r="AJ7" s="156">
        <f>'Railway (Battery)'!B398</f>
        <v>-1.1028374067486764E-4</v>
      </c>
      <c r="AK7" s="156">
        <f>'Railway (Hydrogen)'!B398</f>
        <v>-1.0931217673919614E-4</v>
      </c>
      <c r="AL7" s="156">
        <f>'Railway (Diesel)'!B503</f>
        <v>-9.0774378764378309E-5</v>
      </c>
      <c r="AM7" s="156">
        <f>'Railway (Catenary)'!B503</f>
        <v>-1.3082916713212997E-4</v>
      </c>
      <c r="AN7" s="156">
        <f>'Railway (Battery)'!B503</f>
        <v>-8.822699253989411E-5</v>
      </c>
      <c r="AO7" s="156">
        <f>'Railway (Hydrogen)'!B503</f>
        <v>-8.7449741391356912E-5</v>
      </c>
      <c r="AP7" s="156">
        <f>'Semi-trailer truck (Diesel)'!B75</f>
        <v>-3.0604067820050769E-3</v>
      </c>
      <c r="AQ7" s="156">
        <f>'Semi-trailer truck (Battery)'!B75</f>
        <v>-6.8763971865001975E-3</v>
      </c>
      <c r="AR7" s="156">
        <f>'Semi-trailer truck (Hydrogen)'!B75</f>
        <v>-6.7629302274573042E-3</v>
      </c>
      <c r="AS7" s="156">
        <f>'Semi-trailer truck (Diesel)'!B181</f>
        <v>-1.5302033910025385E-3</v>
      </c>
      <c r="AT7" s="156">
        <f>'Semi-trailer truck (Battery)'!B181</f>
        <v>-3.4381985932500987E-3</v>
      </c>
      <c r="AU7" s="156">
        <f>'Semi-trailer truck (Hydrogen)'!B181</f>
        <v>-3.3814651137286521E-3</v>
      </c>
      <c r="AV7" s="156">
        <f>'Semi-trailer truck (Diesel)'!B289</f>
        <v>-1.6030702191455165E-3</v>
      </c>
      <c r="AW7" s="156">
        <f>'Semi-trailer truck (Battery)'!B289</f>
        <v>-3.6019223357858176E-3</v>
      </c>
      <c r="AX7" s="156">
        <f>'Semi-trailer truck (Hydrogen)'!B289</f>
        <v>-3.5424872620014453E-3</v>
      </c>
      <c r="AY7" s="156">
        <f>'Semi-trailer truck (Diesel)'!B398</f>
        <v>-2.157979141157426E-3</v>
      </c>
      <c r="AZ7" s="156">
        <f>'Semi-trailer truck (Battery)'!B398</f>
        <v>-4.8487416058655246E-3</v>
      </c>
      <c r="BA7" s="156">
        <f>'Semi-trailer truck (Hydrogen)'!B398</f>
        <v>-4.7687328526942532E-3</v>
      </c>
      <c r="BB7" s="156">
        <f>'Semi-trailer truck (Diesel)'!B503</f>
        <v>-1.8702485890031025E-3</v>
      </c>
      <c r="BC7" s="156">
        <f>'Semi-trailer truck (Battery)'!B503</f>
        <v>-4.2022427250834543E-3</v>
      </c>
      <c r="BD7" s="156">
        <f>'Semi-trailer truck (Hydrogen)'!B503</f>
        <v>-4.1329018056683528E-3</v>
      </c>
      <c r="BE7" s="157">
        <f>'Short-sea (HFO)'!M75</f>
        <v>-9.7956440009122124E-5</v>
      </c>
      <c r="BF7" s="156">
        <f>'Short-sea (MGO)'!M75</f>
        <v>-9.7956440009122124E-5</v>
      </c>
      <c r="BG7" s="156">
        <f>'Short-sea (Hydrogen)'!M75</f>
        <v>-1.067853279781753E-4</v>
      </c>
      <c r="BH7" s="156">
        <f>'Short-sea (Ammonia)'!M75</f>
        <v>-1.0568171698204363E-4</v>
      </c>
      <c r="BI7" s="156">
        <f>'Short-sea (Methanol)'!M75</f>
        <v>-7.1121060229817985E-5</v>
      </c>
      <c r="BJ7" s="154">
        <f>'Short-sea (HFO)'!M181</f>
        <v>-9.7956440009122124E-5</v>
      </c>
      <c r="BK7" s="156">
        <f>'Short-sea (MGO)'!M181</f>
        <v>-9.7956440009122124E-5</v>
      </c>
      <c r="BL7" s="156">
        <f>'Short-sea (Hydrogen)'!M181</f>
        <v>-1.067853279781753E-4</v>
      </c>
      <c r="BM7" s="156">
        <f>'Short-sea (Ammonia)'!M181</f>
        <v>-1.0568171698204363E-4</v>
      </c>
      <c r="BN7" s="156">
        <f>'Short-sea (Methanol)'!M181</f>
        <v>-7.1121060229817985E-5</v>
      </c>
      <c r="BO7" s="156">
        <f>'Short-sea (HFO)'!M289</f>
        <v>-9.7956440009122124E-5</v>
      </c>
      <c r="BP7" s="156">
        <f>'Short-sea (MGO)'!M289</f>
        <v>-9.7956440009122124E-5</v>
      </c>
      <c r="BQ7" s="156">
        <f>'Short-sea (Hydrogen)'!M289</f>
        <v>-1.067853279781753E-4</v>
      </c>
      <c r="BR7" s="156">
        <f>'Short-sea (Ammonia)'!M289</f>
        <v>-1.0568171698204363E-4</v>
      </c>
      <c r="BS7" s="156">
        <f>'Short-sea (Methanol)'!M289</f>
        <v>-7.1121060229817985E-5</v>
      </c>
      <c r="BT7" s="156">
        <f>'Short-sea (HFO)'!M398</f>
        <v>-9.7956440009122124E-5</v>
      </c>
      <c r="BU7" s="156">
        <f>'Short-sea (MGO)'!M398</f>
        <v>-9.7956440009122124E-5</v>
      </c>
      <c r="BV7" s="156">
        <f>'Short-sea (Hydrogen)'!M398</f>
        <v>-1.067853279781753E-4</v>
      </c>
      <c r="BW7" s="156">
        <f>'Short-sea (Ammonia)'!M398</f>
        <v>-1.0568171698204363E-4</v>
      </c>
      <c r="BX7" s="156">
        <f>'Short-sea (Methanol)'!M398</f>
        <v>-7.1121060229817985E-5</v>
      </c>
      <c r="BY7" s="156">
        <f>'Railway (Diesel)'!M75</f>
        <v>-8.0920645629828101E-5</v>
      </c>
      <c r="BZ7" s="156">
        <f>'Railway (Catenary)'!M75</f>
        <v>-1.6353645891516245E-4</v>
      </c>
      <c r="CA7" s="156">
        <f>'Railway (Battery)'!M75</f>
        <v>-1.5096790045692366E-4</v>
      </c>
      <c r="CB7" s="156">
        <f>'Railway (Hydrogen)'!M75</f>
        <v>-1.1861141326080898E-4</v>
      </c>
      <c r="CC7" s="156">
        <f>'Railway (Diesel)'!M181</f>
        <v>-8.0920645629828101E-5</v>
      </c>
      <c r="CD7" s="156">
        <f>'Railway (Catenary)'!M181</f>
        <v>-1.6353645891516245E-4</v>
      </c>
      <c r="CE7" s="156">
        <f>'Railway (Battery)'!M181</f>
        <v>-1.5096790045692366E-4</v>
      </c>
      <c r="CF7" s="156">
        <f>'Railway (Hydrogen)'!M181</f>
        <v>-1.1861141326080898E-4</v>
      </c>
      <c r="CG7" s="156">
        <f>'Railway (Diesel)'!M289</f>
        <v>-8.0920645629828101E-5</v>
      </c>
      <c r="CH7" s="156">
        <f>'Railway (Catenary)'!M289</f>
        <v>-1.6353645891516245E-4</v>
      </c>
      <c r="CI7" s="156">
        <f>'Railway (Battery)'!M289</f>
        <v>-1.5096790045692366E-4</v>
      </c>
      <c r="CJ7" s="156">
        <f>'Railway (Hydrogen)'!M289</f>
        <v>-1.1861141326080898E-4</v>
      </c>
      <c r="CK7" s="156">
        <f>'Railway (Diesel)'!M398</f>
        <v>-8.0920645629828101E-5</v>
      </c>
      <c r="CL7" s="156">
        <f>'Railway (Catenary)'!M398</f>
        <v>-1.6353645891516245E-4</v>
      </c>
      <c r="CM7" s="156">
        <f>'Railway (Battery)'!M398</f>
        <v>-1.5096790045692366E-4</v>
      </c>
      <c r="CN7" s="156">
        <f>'Railway (Hydrogen)'!M398</f>
        <v>-1.1861141326080898E-4</v>
      </c>
      <c r="CO7" s="156">
        <f>'Railway (Diesel)'!M503</f>
        <v>-6.4736516503862478E-5</v>
      </c>
      <c r="CP7" s="156">
        <f>'Railway (Catenary)'!M503</f>
        <v>-1.3082916713212997E-4</v>
      </c>
      <c r="CQ7" s="156">
        <f>'Railway (Battery)'!M503</f>
        <v>-1.2077432036553891E-4</v>
      </c>
      <c r="CR7" s="156">
        <f>'Railway (Hydrogen)'!M503</f>
        <v>-9.4889130608647181E-5</v>
      </c>
      <c r="CS7" s="156">
        <f>'Semi-trailer truck (Diesel)'!M75</f>
        <v>-2.6108789365359899E-3</v>
      </c>
      <c r="CT7" s="156">
        <f>'Semi-trailer truck (Battery)'!M75</f>
        <v>-4.8323196089938266E-3</v>
      </c>
      <c r="CU7" s="156">
        <f>'Semi-trailer truck (Hydrogen)'!M75</f>
        <v>-5.1950552136465931E-3</v>
      </c>
      <c r="CV7" s="156">
        <f>'Semi-trailer truck (Diesel)'!M181</f>
        <v>-1.3054394682679949E-3</v>
      </c>
      <c r="CW7" s="156">
        <f>'Semi-trailer truck (Battery)'!M181</f>
        <v>-2.4161598044969133E-3</v>
      </c>
      <c r="CX7" s="156">
        <f>'Semi-trailer truck (Hydrogen)'!M181</f>
        <v>-2.5975276068232966E-3</v>
      </c>
      <c r="CY7" s="156">
        <f>'Semi-trailer truck (Diesel)'!M289</f>
        <v>-1.3676032524712327E-3</v>
      </c>
      <c r="CZ7" s="156">
        <f>'Semi-trailer truck (Battery)'!M289</f>
        <v>-2.5312150332824808E-3</v>
      </c>
      <c r="DA7" s="156">
        <f>'Semi-trailer truck (Hydrogen)'!M289</f>
        <v>-2.721219397624406E-3</v>
      </c>
      <c r="DB7" s="156">
        <f>'Semi-trailer truck (Diesel)'!M398</f>
        <v>-1.8410043783266593E-3</v>
      </c>
      <c r="DC7" s="156">
        <f>'Semi-trailer truck (Battery)'!M398</f>
        <v>-3.4074048524956467E-3</v>
      </c>
      <c r="DD7" s="156">
        <f>'Semi-trailer truck (Hydrogen)'!M398</f>
        <v>-3.6631799583405462E-3</v>
      </c>
      <c r="DE7" s="156">
        <f>'Semi-trailer truck (Diesel)'!M503</f>
        <v>-1.5955371278831049E-3</v>
      </c>
      <c r="DF7" s="156">
        <f>'Semi-trailer truck (Battery)'!M503</f>
        <v>-2.9530842054962272E-3</v>
      </c>
      <c r="DG7" s="156">
        <f>'Semi-trailer truck (Hydrogen)'!M503</f>
        <v>-3.1747559638951399E-3</v>
      </c>
      <c r="DH7" s="157">
        <f>'Short-sea (HFO)'!AC75</f>
        <v>-5.2575506979843073E-5</v>
      </c>
      <c r="DI7" s="156">
        <f>'Short-sea (MGO)'!AC75</f>
        <v>-5.2575506979843073E-5</v>
      </c>
      <c r="DJ7" s="156">
        <f>'Short-sea (Hydrogen)'!AC75</f>
        <v>-1.3401388779574273E-4</v>
      </c>
      <c r="DK7" s="156">
        <f>'Short-sea (Ammonia)'!AC75</f>
        <v>-1.2383409019375524E-4</v>
      </c>
      <c r="DL7" s="156">
        <f>'Short-sea (Methanol)'!AC75</f>
        <v>-1.0288771335031333E-4</v>
      </c>
      <c r="DM7" s="154">
        <f>'Short-sea (HFO)'!AC181</f>
        <v>-5.2575506979843073E-5</v>
      </c>
      <c r="DN7" s="156">
        <f>'Short-sea (MGO)'!AC181</f>
        <v>-5.2575506979843073E-5</v>
      </c>
      <c r="DO7" s="156">
        <f>'Short-sea (Hydrogen)'!AC181</f>
        <v>-1.3401388779574273E-4</v>
      </c>
      <c r="DP7" s="156">
        <f>'Short-sea (Ammonia)'!AC181</f>
        <v>-1.2383409019375524E-4</v>
      </c>
      <c r="DQ7" s="156">
        <f>'Short-sea (Methanol)'!AC181</f>
        <v>-1.0288771335031333E-4</v>
      </c>
      <c r="DR7" s="156">
        <f>'Short-sea (HFO)'!AC289</f>
        <v>-5.2575506979843073E-5</v>
      </c>
      <c r="DS7" s="156">
        <f>'Short-sea (MGO)'!AC289</f>
        <v>-5.2575506979843073E-5</v>
      </c>
      <c r="DT7" s="156">
        <f>'Short-sea (Hydrogen)'!AC289</f>
        <v>-1.3401388779574273E-4</v>
      </c>
      <c r="DU7" s="156">
        <f>'Short-sea (Ammonia)'!AC289</f>
        <v>-1.2383409019375524E-4</v>
      </c>
      <c r="DV7" s="156">
        <f>'Short-sea (Methanol)'!AC289</f>
        <v>-1.0288771335031333E-4</v>
      </c>
      <c r="DW7" s="156">
        <f>'Short-sea (HFO)'!AC398</f>
        <v>-5.2575506979843073E-5</v>
      </c>
      <c r="DX7" s="156">
        <f>'Short-sea (MGO)'!AC398</f>
        <v>-5.2575506979843073E-5</v>
      </c>
      <c r="DY7" s="156">
        <f>'Short-sea (Hydrogen)'!AC398</f>
        <v>-1.3401388779574273E-4</v>
      </c>
      <c r="DZ7" s="156">
        <f>'Short-sea (Ammonia)'!AC398</f>
        <v>-1.2383409019375524E-4</v>
      </c>
      <c r="EA7" s="156">
        <f>'Short-sea (Methanol)'!AC398</f>
        <v>-1.0288771335031333E-4</v>
      </c>
      <c r="EB7" s="156">
        <f>'Railway (Diesel)'!AC75</f>
        <v>-3.832836099071531E-5</v>
      </c>
      <c r="EC7" s="156">
        <f>'Railway (Catenary)'!AC75</f>
        <v>-1.6353645891516245E-4</v>
      </c>
      <c r="ED7" s="156">
        <f>'Railway (Battery)'!AC75</f>
        <v>-2.0420825625581466E-4</v>
      </c>
      <c r="EE7" s="156">
        <f>'Railway (Hydrogen)'!AC75</f>
        <v>-1.3078063744341263E-4</v>
      </c>
      <c r="EF7" s="156">
        <f>'Railway (Diesel)'!AC181</f>
        <v>-3.832836099071531E-5</v>
      </c>
      <c r="EG7" s="156">
        <f>'Railway (Catenary)'!AC181</f>
        <v>-1.6353645891516245E-4</v>
      </c>
      <c r="EH7" s="156">
        <f>'Railway (Battery)'!AC181</f>
        <v>-2.0420825625581466E-4</v>
      </c>
      <c r="EI7" s="156">
        <f>'Railway (Hydrogen)'!AC181</f>
        <v>-1.3078063744341263E-4</v>
      </c>
      <c r="EJ7" s="156">
        <f>'Railway (Diesel)'!AC289</f>
        <v>-3.832836099071531E-5</v>
      </c>
      <c r="EK7" s="156">
        <f>'Railway (Catenary)'!AC289</f>
        <v>-1.6353645891516245E-4</v>
      </c>
      <c r="EL7" s="156">
        <f>'Railway (Battery)'!AC289</f>
        <v>-2.0420825625581466E-4</v>
      </c>
      <c r="EM7" s="156">
        <f>'Railway (Hydrogen)'!AC289</f>
        <v>-1.3078063744341263E-4</v>
      </c>
      <c r="EN7" s="156">
        <f>'Railway (Diesel)'!AC398</f>
        <v>-3.832836099071531E-5</v>
      </c>
      <c r="EO7" s="156">
        <f>'Railway (Catenary)'!AC398</f>
        <v>-1.6353645891516245E-4</v>
      </c>
      <c r="EP7" s="156">
        <f>'Railway (Battery)'!AC398</f>
        <v>-2.0420825625581466E-4</v>
      </c>
      <c r="EQ7" s="156">
        <f>'Railway (Hydrogen)'!AC398</f>
        <v>-1.3078063744341263E-4</v>
      </c>
      <c r="ER7" s="156">
        <f>'Railway (Diesel)'!AC503</f>
        <v>-3.0662688792572247E-5</v>
      </c>
      <c r="ES7" s="156">
        <f>'Railway (Catenary)'!AC503</f>
        <v>-1.3082916713212997E-4</v>
      </c>
      <c r="ET7" s="156">
        <f>'Railway (Battery)'!AC503</f>
        <v>-1.6336660500465173E-4</v>
      </c>
      <c r="EU7" s="156">
        <f>'Railway (Hydrogen)'!AC503</f>
        <v>-1.046245099547301E-4</v>
      </c>
      <c r="EV7" s="156">
        <f>'Semi-trailer truck (Diesel)'!AC75</f>
        <v>-2.0226150381909905E-3</v>
      </c>
      <c r="EW7" s="156">
        <f>'Semi-trailer truck (Battery)'!AC75</f>
        <v>-4.2467452566839394E-3</v>
      </c>
      <c r="EX7" s="156">
        <f>'Semi-trailer truck (Hydrogen)'!AC75</f>
        <v>-4.5398387640590461E-3</v>
      </c>
      <c r="EY7" s="156">
        <f>'Semi-trailer truck (Diesel)'!AC181</f>
        <v>-1.0113075190954952E-3</v>
      </c>
      <c r="EZ7" s="156">
        <f>'Semi-trailer truck (Battery)'!AC181</f>
        <v>-2.1233726283419697E-3</v>
      </c>
      <c r="FA7" s="156">
        <f>'Semi-trailer truck (Hydrogen)'!AC181</f>
        <v>-2.2699193820295231E-3</v>
      </c>
      <c r="FB7" s="156">
        <f>'Semi-trailer truck (Diesel)'!AC289</f>
        <v>-1.0594650200048046E-3</v>
      </c>
      <c r="FC7" s="156">
        <f>'Semi-trailer truck (Battery)'!AC289</f>
        <v>-2.2244856106439686E-3</v>
      </c>
      <c r="FD7" s="156">
        <f>'Semi-trailer truck (Hydrogen)'!AC289</f>
        <v>-2.3780107811737857E-3</v>
      </c>
      <c r="FE7" s="156">
        <f>'Semi-trailer truck (Diesel)'!AC398</f>
        <v>-1.4262029115449293E-3</v>
      </c>
      <c r="FF7" s="156">
        <f>'Semi-trailer truck (Battery)'!AC398</f>
        <v>-2.9944998604822652E-3</v>
      </c>
      <c r="FG7" s="156">
        <f>'Semi-trailer truck (Hydrogen)'!AC398</f>
        <v>-3.2011683592724038E-3</v>
      </c>
      <c r="FH7" s="156">
        <f>'Semi-trailer truck (Diesel)'!AC503</f>
        <v>-1.2360425233389387E-3</v>
      </c>
      <c r="FI7" s="156">
        <f>'Semi-trailer truck (Battery)'!AC503</f>
        <v>-2.5952332124179632E-3</v>
      </c>
      <c r="FJ7" s="156">
        <f>'Semi-trailer truck (Hydrogen)'!AC503</f>
        <v>-2.7743459113694167E-3</v>
      </c>
      <c r="FK7" s="156"/>
      <c r="FL7" s="156"/>
      <c r="FM7" s="156"/>
      <c r="FN7" s="156"/>
      <c r="FP7" s="156"/>
      <c r="FQ7" s="156"/>
      <c r="FR7" s="156"/>
    </row>
    <row r="8" spans="1:174" x14ac:dyDescent="0.25">
      <c r="A8" s="154" t="s">
        <v>14</v>
      </c>
      <c r="B8" s="157">
        <f>'Short-sea (HFO)'!B76</f>
        <v>6.8982996659853576E-5</v>
      </c>
      <c r="C8" s="156">
        <f>'Short-sea (MGO)'!B76</f>
        <v>6.8982996659853576E-5</v>
      </c>
      <c r="D8" s="156">
        <f>'Short-sea (Hydrogen)'!B76</f>
        <v>6.8982996659853576E-5</v>
      </c>
      <c r="E8" s="156">
        <f>'Short-sea (Ammonia)'!B76</f>
        <v>6.8982996659853576E-5</v>
      </c>
      <c r="F8" s="156">
        <f>'Short-sea (Methanol)'!B76</f>
        <v>6.8982996659853576E-5</v>
      </c>
      <c r="G8" s="154">
        <f>'Short-sea (HFO)'!B182</f>
        <v>3.4491498329926784E-4</v>
      </c>
      <c r="H8" s="156">
        <f>'Short-sea (MGO)'!B182</f>
        <v>3.4491498329926784E-4</v>
      </c>
      <c r="I8" s="156">
        <f>'Short-sea (Hydrogen)'!B182</f>
        <v>3.4491498329926784E-4</v>
      </c>
      <c r="J8" s="156">
        <f>'Short-sea (Ammonia)'!B182</f>
        <v>3.4491498329926784E-4</v>
      </c>
      <c r="K8" s="156">
        <f>'Short-sea (Methanol)'!B182</f>
        <v>3.4491498329926784E-4</v>
      </c>
      <c r="L8" s="156">
        <f>'Short-sea (HFO)'!B290</f>
        <v>6.8982996659853576E-5</v>
      </c>
      <c r="M8" s="156">
        <f>'Short-sea (MGO)'!B290</f>
        <v>6.8982996659853576E-5</v>
      </c>
      <c r="N8" s="156">
        <f>'Short-sea (Hydrogen)'!B290</f>
        <v>6.8982996659853576E-5</v>
      </c>
      <c r="O8" s="156">
        <f>'Short-sea (Ammonia)'!B290</f>
        <v>6.8982996659853576E-5</v>
      </c>
      <c r="P8" s="156">
        <f>'Short-sea (Methanol)'!B290</f>
        <v>6.8982996659853576E-5</v>
      </c>
      <c r="Q8" s="156">
        <f>'Short-sea (HFO)'!B399</f>
        <v>6.8982996659853576E-5</v>
      </c>
      <c r="R8" s="156">
        <f>'Short-sea (MGO)'!B399</f>
        <v>6.8982996659853576E-5</v>
      </c>
      <c r="S8" s="156">
        <f>'Short-sea (Hydrogen)'!B399</f>
        <v>6.8982996659853576E-5</v>
      </c>
      <c r="T8" s="156">
        <f>'Short-sea (Ammonia)'!B399</f>
        <v>6.8982996659853576E-5</v>
      </c>
      <c r="U8" s="156">
        <f>'Short-sea (Methanol)'!B399</f>
        <v>6.8982996659853576E-5</v>
      </c>
      <c r="V8" s="156">
        <f>'Railway (Diesel)'!B76</f>
        <v>7.6311881817276459E-4</v>
      </c>
      <c r="W8" s="156">
        <f>'Railway (Catenary)'!B76</f>
        <v>7.6311881817276459E-4</v>
      </c>
      <c r="X8" s="156">
        <f>'Railway (Battery)'!B76</f>
        <v>7.6311881817276459E-4</v>
      </c>
      <c r="Y8" s="156">
        <f>'Railway (Hydrogen)'!B76</f>
        <v>7.6311881817276459E-4</v>
      </c>
      <c r="Z8" s="156">
        <f>'Railway (Diesel)'!B182</f>
        <v>1.0174917575636864E-3</v>
      </c>
      <c r="AA8" s="156">
        <f>'Railway (Catenary)'!B182</f>
        <v>1.0174917575636864E-3</v>
      </c>
      <c r="AB8" s="156">
        <f>'Railway (Battery)'!B182</f>
        <v>1.0174917575636864E-3</v>
      </c>
      <c r="AC8" s="156">
        <f>'Railway (Hydrogen)'!B182</f>
        <v>1.0174917575636864E-3</v>
      </c>
      <c r="AD8" s="156">
        <f>'Railway (Diesel)'!B290</f>
        <v>5.087458787818432E-4</v>
      </c>
      <c r="AE8" s="156">
        <f>'Railway (Catenary)'!B290</f>
        <v>5.087458787818432E-4</v>
      </c>
      <c r="AF8" s="156">
        <f>'Railway (Battery)'!B290</f>
        <v>5.087458787818432E-4</v>
      </c>
      <c r="AG8" s="156">
        <f>'Railway (Hydrogen)'!B290</f>
        <v>5.087458787818432E-4</v>
      </c>
      <c r="AH8" s="156">
        <f>'Railway (Diesel)'!B399</f>
        <v>7.6311881817276459E-4</v>
      </c>
      <c r="AI8" s="156">
        <f>'Railway (Catenary)'!B399</f>
        <v>7.6311881817276459E-4</v>
      </c>
      <c r="AJ8" s="156">
        <f>'Railway (Battery)'!B399</f>
        <v>7.6311881817276459E-4</v>
      </c>
      <c r="AK8" s="156">
        <f>'Railway (Hydrogen)'!B399</f>
        <v>7.6311881817276459E-4</v>
      </c>
      <c r="AL8" s="156">
        <f>'Railway (Diesel)'!B504</f>
        <v>5.0874587878184309E-4</v>
      </c>
      <c r="AM8" s="156">
        <f>'Railway (Catenary)'!B504</f>
        <v>5.0874587878184309E-4</v>
      </c>
      <c r="AN8" s="156">
        <f>'Railway (Battery)'!B504</f>
        <v>5.0874587878184309E-4</v>
      </c>
      <c r="AO8" s="156">
        <f>'Railway (Hydrogen)'!B504</f>
        <v>5.0874587878184309E-4</v>
      </c>
      <c r="AP8" s="156">
        <f>'Semi-trailer truck (Diesel)'!B76</f>
        <v>3.9525224209566176E-3</v>
      </c>
      <c r="AQ8" s="156">
        <f>'Semi-trailer truck (Battery)'!B76</f>
        <v>3.9525224209566176E-3</v>
      </c>
      <c r="AR8" s="156">
        <f>'Semi-trailer truck (Hydrogen)'!B76</f>
        <v>3.9525224209566176E-3</v>
      </c>
      <c r="AS8" s="156">
        <f>'Semi-trailer truck (Diesel)'!B182</f>
        <v>2.964391815717463E-3</v>
      </c>
      <c r="AT8" s="156">
        <f>'Semi-trailer truck (Battery)'!B182</f>
        <v>2.964391815717463E-3</v>
      </c>
      <c r="AU8" s="156">
        <f>'Semi-trailer truck (Hydrogen)'!B182</f>
        <v>2.964391815717463E-3</v>
      </c>
      <c r="AV8" s="156">
        <f>'Semi-trailer truck (Diesel)'!B290</f>
        <v>1.552776665375814E-3</v>
      </c>
      <c r="AW8" s="156">
        <f>'Semi-trailer truck (Battery)'!B290</f>
        <v>1.552776665375814E-3</v>
      </c>
      <c r="AX8" s="156">
        <f>'Semi-trailer truck (Hydrogen)'!B290</f>
        <v>1.552776665375814E-3</v>
      </c>
      <c r="AY8" s="156">
        <f>'Semi-trailer truck (Diesel)'!B399</f>
        <v>2.7870350404181278E-3</v>
      </c>
      <c r="AZ8" s="156">
        <f>'Semi-trailer truck (Battery)'!B399</f>
        <v>2.7870350404181278E-3</v>
      </c>
      <c r="BA8" s="156">
        <f>'Semi-trailer truck (Hydrogen)'!B399</f>
        <v>2.7870350404181278E-3</v>
      </c>
      <c r="BB8" s="156">
        <f>'Semi-trailer truck (Diesel)'!B504</f>
        <v>2.1135015723170798E-3</v>
      </c>
      <c r="BC8" s="156">
        <f>'Semi-trailer truck (Battery)'!B504</f>
        <v>2.1135015723170798E-3</v>
      </c>
      <c r="BD8" s="156">
        <f>'Semi-trailer truck (Hydrogen)'!B504</f>
        <v>2.1135015723170798E-3</v>
      </c>
      <c r="BE8" s="157">
        <f>'Short-sea (HFO)'!M76</f>
        <v>6.8982996659853576E-5</v>
      </c>
      <c r="BF8" s="156">
        <f>'Short-sea (MGO)'!M76</f>
        <v>6.8982996659853576E-5</v>
      </c>
      <c r="BG8" s="156">
        <f>'Short-sea (Hydrogen)'!M76</f>
        <v>6.8982996659853576E-5</v>
      </c>
      <c r="BH8" s="156">
        <f>'Short-sea (Ammonia)'!M76</f>
        <v>6.8982996659853576E-5</v>
      </c>
      <c r="BI8" s="156">
        <f>'Short-sea (Methanol)'!M76</f>
        <v>6.8982996659853576E-5</v>
      </c>
      <c r="BJ8" s="154">
        <f>'Short-sea (HFO)'!M182</f>
        <v>3.4491498329926784E-4</v>
      </c>
      <c r="BK8" s="156">
        <f>'Short-sea (MGO)'!M182</f>
        <v>3.4491498329926784E-4</v>
      </c>
      <c r="BL8" s="156">
        <f>'Short-sea (Hydrogen)'!M182</f>
        <v>3.4491498329926784E-4</v>
      </c>
      <c r="BM8" s="156">
        <f>'Short-sea (Ammonia)'!M182</f>
        <v>3.4491498329926784E-4</v>
      </c>
      <c r="BN8" s="156">
        <f>'Short-sea (Methanol)'!M182</f>
        <v>3.4491498329926784E-4</v>
      </c>
      <c r="BO8" s="156">
        <f>'Short-sea (HFO)'!M290</f>
        <v>6.8982996659853576E-5</v>
      </c>
      <c r="BP8" s="156">
        <f>'Short-sea (MGO)'!M290</f>
        <v>6.8982996659853576E-5</v>
      </c>
      <c r="BQ8" s="156">
        <f>'Short-sea (Hydrogen)'!M290</f>
        <v>6.8982996659853576E-5</v>
      </c>
      <c r="BR8" s="156">
        <f>'Short-sea (Ammonia)'!M290</f>
        <v>6.8982996659853576E-5</v>
      </c>
      <c r="BS8" s="156">
        <f>'Short-sea (Methanol)'!M290</f>
        <v>6.8982996659853576E-5</v>
      </c>
      <c r="BT8" s="156">
        <f>'Short-sea (HFO)'!M399</f>
        <v>6.8982996659853576E-5</v>
      </c>
      <c r="BU8" s="156">
        <f>'Short-sea (MGO)'!M399</f>
        <v>6.8982996659853576E-5</v>
      </c>
      <c r="BV8" s="156">
        <f>'Short-sea (Hydrogen)'!M399</f>
        <v>6.8982996659853576E-5</v>
      </c>
      <c r="BW8" s="156">
        <f>'Short-sea (Ammonia)'!M399</f>
        <v>6.8982996659853576E-5</v>
      </c>
      <c r="BX8" s="156">
        <f>'Short-sea (Methanol)'!M399</f>
        <v>6.8982996659853576E-5</v>
      </c>
      <c r="BY8" s="156">
        <f>'Railway (Diesel)'!M76</f>
        <v>7.6311881817276459E-4</v>
      </c>
      <c r="BZ8" s="156">
        <f>'Railway (Catenary)'!M76</f>
        <v>7.6311881817276459E-4</v>
      </c>
      <c r="CA8" s="156">
        <f>'Railway (Battery)'!M76</f>
        <v>7.6311881817276459E-4</v>
      </c>
      <c r="CB8" s="156">
        <f>'Railway (Hydrogen)'!M76</f>
        <v>7.6311881817276459E-4</v>
      </c>
      <c r="CC8" s="156">
        <f>'Railway (Diesel)'!M182</f>
        <v>1.0174917575636864E-3</v>
      </c>
      <c r="CD8" s="156">
        <f>'Railway (Catenary)'!M182</f>
        <v>1.0174917575636864E-3</v>
      </c>
      <c r="CE8" s="156">
        <f>'Railway (Battery)'!M182</f>
        <v>1.0174917575636864E-3</v>
      </c>
      <c r="CF8" s="156">
        <f>'Railway (Hydrogen)'!M182</f>
        <v>1.0174917575636864E-3</v>
      </c>
      <c r="CG8" s="156">
        <f>'Railway (Diesel)'!M290</f>
        <v>5.087458787818432E-4</v>
      </c>
      <c r="CH8" s="156">
        <f>'Railway (Catenary)'!M290</f>
        <v>5.087458787818432E-4</v>
      </c>
      <c r="CI8" s="156">
        <f>'Railway (Battery)'!M290</f>
        <v>5.087458787818432E-4</v>
      </c>
      <c r="CJ8" s="156">
        <f>'Railway (Hydrogen)'!M290</f>
        <v>5.087458787818432E-4</v>
      </c>
      <c r="CK8" s="156">
        <f>'Railway (Diesel)'!M399</f>
        <v>7.6311881817276459E-4</v>
      </c>
      <c r="CL8" s="156">
        <f>'Railway (Catenary)'!M399</f>
        <v>7.6311881817276459E-4</v>
      </c>
      <c r="CM8" s="156">
        <f>'Railway (Battery)'!M399</f>
        <v>7.6311881817276459E-4</v>
      </c>
      <c r="CN8" s="156">
        <f>'Railway (Hydrogen)'!M399</f>
        <v>7.6311881817276459E-4</v>
      </c>
      <c r="CO8" s="156">
        <f>'Railway (Diesel)'!M504</f>
        <v>5.0874587878184309E-4</v>
      </c>
      <c r="CP8" s="156">
        <f>'Railway (Catenary)'!M504</f>
        <v>5.0874587878184309E-4</v>
      </c>
      <c r="CQ8" s="156">
        <f>'Railway (Battery)'!M504</f>
        <v>5.0874587878184309E-4</v>
      </c>
      <c r="CR8" s="156">
        <f>'Railway (Hydrogen)'!M504</f>
        <v>5.0874587878184309E-4</v>
      </c>
      <c r="CS8" s="156">
        <f>'Semi-trailer truck (Diesel)'!M76</f>
        <v>3.9525224209566176E-3</v>
      </c>
      <c r="CT8" s="156">
        <f>'Semi-trailer truck (Battery)'!M76</f>
        <v>3.9525224209566176E-3</v>
      </c>
      <c r="CU8" s="156">
        <f>'Semi-trailer truck (Hydrogen)'!M76</f>
        <v>3.9525224209566176E-3</v>
      </c>
      <c r="CV8" s="156">
        <f>'Semi-trailer truck (Diesel)'!M182</f>
        <v>2.964391815717463E-3</v>
      </c>
      <c r="CW8" s="156">
        <f>'Semi-trailer truck (Battery)'!M182</f>
        <v>2.964391815717463E-3</v>
      </c>
      <c r="CX8" s="156">
        <f>'Semi-trailer truck (Hydrogen)'!M182</f>
        <v>2.964391815717463E-3</v>
      </c>
      <c r="CY8" s="156">
        <f>'Semi-trailer truck (Diesel)'!M290</f>
        <v>1.552776665375814E-3</v>
      </c>
      <c r="CZ8" s="156">
        <f>'Semi-trailer truck (Battery)'!M290</f>
        <v>1.552776665375814E-3</v>
      </c>
      <c r="DA8" s="156">
        <f>'Semi-trailer truck (Hydrogen)'!M290</f>
        <v>1.552776665375814E-3</v>
      </c>
      <c r="DB8" s="156">
        <f>'Semi-trailer truck (Diesel)'!M399</f>
        <v>2.7870350404181278E-3</v>
      </c>
      <c r="DC8" s="156">
        <f>'Semi-trailer truck (Battery)'!M399</f>
        <v>2.7870350404181278E-3</v>
      </c>
      <c r="DD8" s="156">
        <f>'Semi-trailer truck (Hydrogen)'!M399</f>
        <v>2.7870350404181278E-3</v>
      </c>
      <c r="DE8" s="156">
        <f>'Semi-trailer truck (Diesel)'!M504</f>
        <v>2.1135015723170798E-3</v>
      </c>
      <c r="DF8" s="156">
        <f>'Semi-trailer truck (Battery)'!M504</f>
        <v>2.1135015723170798E-3</v>
      </c>
      <c r="DG8" s="156">
        <f>'Semi-trailer truck (Hydrogen)'!M504</f>
        <v>2.1135015723170798E-3</v>
      </c>
      <c r="DH8" s="157">
        <f>'Short-sea (HFO)'!AC76</f>
        <v>6.8982996659853576E-5</v>
      </c>
      <c r="DI8" s="156">
        <f>'Short-sea (MGO)'!AC76</f>
        <v>6.8982996659853576E-5</v>
      </c>
      <c r="DJ8" s="156">
        <f>'Short-sea (Hydrogen)'!AC76</f>
        <v>6.8982996659853576E-5</v>
      </c>
      <c r="DK8" s="156">
        <f>'Short-sea (Ammonia)'!AC76</f>
        <v>6.8982996659853576E-5</v>
      </c>
      <c r="DL8" s="156">
        <f>'Short-sea (Methanol)'!AC76</f>
        <v>6.8982996659853576E-5</v>
      </c>
      <c r="DM8" s="154">
        <f>'Short-sea (HFO)'!AC182</f>
        <v>3.4491498329926784E-4</v>
      </c>
      <c r="DN8" s="156">
        <f>'Short-sea (MGO)'!AC182</f>
        <v>3.4491498329926784E-4</v>
      </c>
      <c r="DO8" s="156">
        <f>'Short-sea (Hydrogen)'!AC182</f>
        <v>3.4491498329926784E-4</v>
      </c>
      <c r="DP8" s="156">
        <f>'Short-sea (Ammonia)'!AC182</f>
        <v>3.4491498329926784E-4</v>
      </c>
      <c r="DQ8" s="156">
        <f>'Short-sea (Methanol)'!AC182</f>
        <v>3.4491498329926784E-4</v>
      </c>
      <c r="DR8" s="156">
        <f>'Short-sea (HFO)'!AC290</f>
        <v>6.8982996659853576E-5</v>
      </c>
      <c r="DS8" s="156">
        <f>'Short-sea (MGO)'!AC290</f>
        <v>6.8982996659853576E-5</v>
      </c>
      <c r="DT8" s="156">
        <f>'Short-sea (Hydrogen)'!AC290</f>
        <v>6.8982996659853576E-5</v>
      </c>
      <c r="DU8" s="156">
        <f>'Short-sea (Ammonia)'!AC290</f>
        <v>6.8982996659853576E-5</v>
      </c>
      <c r="DV8" s="156">
        <f>'Short-sea (Methanol)'!AC290</f>
        <v>6.8982996659853576E-5</v>
      </c>
      <c r="DW8" s="156">
        <f>'Short-sea (HFO)'!AC399</f>
        <v>6.8982996659853576E-5</v>
      </c>
      <c r="DX8" s="156">
        <f>'Short-sea (MGO)'!AC399</f>
        <v>6.8982996659853576E-5</v>
      </c>
      <c r="DY8" s="156">
        <f>'Short-sea (Hydrogen)'!AC399</f>
        <v>6.8982996659853576E-5</v>
      </c>
      <c r="DZ8" s="156">
        <f>'Short-sea (Ammonia)'!AC399</f>
        <v>6.8982996659853576E-5</v>
      </c>
      <c r="EA8" s="156">
        <f>'Short-sea (Methanol)'!AC399</f>
        <v>6.8982996659853576E-5</v>
      </c>
      <c r="EB8" s="156">
        <f>'Railway (Diesel)'!AC76</f>
        <v>7.6311881817276459E-4</v>
      </c>
      <c r="EC8" s="156">
        <f>'Railway (Catenary)'!AC76</f>
        <v>7.6311881817276459E-4</v>
      </c>
      <c r="ED8" s="156">
        <f>'Railway (Battery)'!AC76</f>
        <v>7.6311881817276459E-4</v>
      </c>
      <c r="EE8" s="156">
        <f>'Railway (Hydrogen)'!AC76</f>
        <v>7.6311881817276459E-4</v>
      </c>
      <c r="EF8" s="156">
        <f>'Railway (Diesel)'!AC182</f>
        <v>1.0174917575636864E-3</v>
      </c>
      <c r="EG8" s="156">
        <f>'Railway (Catenary)'!AC182</f>
        <v>1.0174917575636864E-3</v>
      </c>
      <c r="EH8" s="156">
        <f>'Railway (Battery)'!AC182</f>
        <v>1.0174917575636864E-3</v>
      </c>
      <c r="EI8" s="156">
        <f>'Railway (Hydrogen)'!AC182</f>
        <v>1.0174917575636864E-3</v>
      </c>
      <c r="EJ8" s="156">
        <f>'Railway (Diesel)'!AC290</f>
        <v>5.087458787818432E-4</v>
      </c>
      <c r="EK8" s="156">
        <f>'Railway (Catenary)'!AC290</f>
        <v>5.087458787818432E-4</v>
      </c>
      <c r="EL8" s="156">
        <f>'Railway (Battery)'!AC290</f>
        <v>5.087458787818432E-4</v>
      </c>
      <c r="EM8" s="156">
        <f>'Railway (Hydrogen)'!AC290</f>
        <v>5.087458787818432E-4</v>
      </c>
      <c r="EN8" s="156">
        <f>'Railway (Diesel)'!AC399</f>
        <v>7.6311881817276459E-4</v>
      </c>
      <c r="EO8" s="156">
        <f>'Railway (Catenary)'!AC399</f>
        <v>7.6311881817276459E-4</v>
      </c>
      <c r="EP8" s="156">
        <f>'Railway (Battery)'!AC399</f>
        <v>7.6311881817276459E-4</v>
      </c>
      <c r="EQ8" s="156">
        <f>'Railway (Hydrogen)'!AC399</f>
        <v>7.6311881817276459E-4</v>
      </c>
      <c r="ER8" s="156">
        <f>'Railway (Diesel)'!AC504</f>
        <v>5.0874587878184309E-4</v>
      </c>
      <c r="ES8" s="156">
        <f>'Railway (Catenary)'!AC504</f>
        <v>5.0874587878184309E-4</v>
      </c>
      <c r="ET8" s="156">
        <f>'Railway (Battery)'!AC504</f>
        <v>5.0874587878184309E-4</v>
      </c>
      <c r="EU8" s="156">
        <f>'Railway (Hydrogen)'!AC504</f>
        <v>5.0874587878184309E-4</v>
      </c>
      <c r="EV8" s="156">
        <f>'Semi-trailer truck (Diesel)'!AC76</f>
        <v>3.9525224209566176E-3</v>
      </c>
      <c r="EW8" s="156">
        <f>'Semi-trailer truck (Battery)'!AC76</f>
        <v>3.9525224209566176E-3</v>
      </c>
      <c r="EX8" s="156">
        <f>'Semi-trailer truck (Hydrogen)'!AC76</f>
        <v>3.9525224209566176E-3</v>
      </c>
      <c r="EY8" s="156">
        <f>'Semi-trailer truck (Diesel)'!AC182</f>
        <v>2.964391815717463E-3</v>
      </c>
      <c r="EZ8" s="156">
        <f>'Semi-trailer truck (Battery)'!AC182</f>
        <v>2.964391815717463E-3</v>
      </c>
      <c r="FA8" s="156">
        <f>'Semi-trailer truck (Hydrogen)'!AC182</f>
        <v>2.964391815717463E-3</v>
      </c>
      <c r="FB8" s="156">
        <f>'Semi-trailer truck (Diesel)'!AC290</f>
        <v>1.552776665375814E-3</v>
      </c>
      <c r="FC8" s="156">
        <f>'Semi-trailer truck (Battery)'!AC290</f>
        <v>1.552776665375814E-3</v>
      </c>
      <c r="FD8" s="156">
        <f>'Semi-trailer truck (Hydrogen)'!AC290</f>
        <v>1.552776665375814E-3</v>
      </c>
      <c r="FE8" s="156">
        <f>'Semi-trailer truck (Diesel)'!AC399</f>
        <v>2.7870350404181278E-3</v>
      </c>
      <c r="FF8" s="156">
        <f>'Semi-trailer truck (Battery)'!AC399</f>
        <v>2.7870350404181278E-3</v>
      </c>
      <c r="FG8" s="156">
        <f>'Semi-trailer truck (Hydrogen)'!AC399</f>
        <v>2.7870350404181278E-3</v>
      </c>
      <c r="FH8" s="156">
        <f>'Semi-trailer truck (Diesel)'!AC504</f>
        <v>2.1135015723170798E-3</v>
      </c>
      <c r="FI8" s="156">
        <f>'Semi-trailer truck (Battery)'!AC504</f>
        <v>2.1135015723170798E-3</v>
      </c>
      <c r="FJ8" s="156">
        <f>'Semi-trailer truck (Hydrogen)'!AC504</f>
        <v>2.1135015723170798E-3</v>
      </c>
      <c r="FK8" s="156"/>
      <c r="FL8" s="156"/>
      <c r="FM8" s="156"/>
      <c r="FN8" s="156"/>
      <c r="FP8" s="156"/>
      <c r="FQ8" s="156"/>
      <c r="FR8" s="156"/>
    </row>
    <row r="9" spans="1:174" x14ac:dyDescent="0.25">
      <c r="A9" s="154" t="s">
        <v>25</v>
      </c>
      <c r="B9" s="157">
        <f>'Short-sea (HFO)'!B77</f>
        <v>-6.8982996659853564E-6</v>
      </c>
      <c r="C9" s="156">
        <f>'Short-sea (MGO)'!B77</f>
        <v>-6.8982996659853564E-6</v>
      </c>
      <c r="D9" s="156">
        <f>'Short-sea (Hydrogen)'!B77</f>
        <v>-6.8982996659853564E-6</v>
      </c>
      <c r="E9" s="156">
        <f>'Short-sea (Ammonia)'!B77</f>
        <v>-6.8982996659853564E-6</v>
      </c>
      <c r="F9" s="156">
        <f>'Short-sea (Methanol)'!B77</f>
        <v>-6.8982996659853564E-6</v>
      </c>
      <c r="G9" s="154">
        <f>'Short-sea (HFO)'!B183</f>
        <v>-3.4491498329926788E-5</v>
      </c>
      <c r="H9" s="156">
        <f>'Short-sea (MGO)'!B183</f>
        <v>-3.4491498329926788E-5</v>
      </c>
      <c r="I9" s="156">
        <f>'Short-sea (Hydrogen)'!B183</f>
        <v>-3.4491498329926788E-5</v>
      </c>
      <c r="J9" s="156">
        <f>'Short-sea (Ammonia)'!B183</f>
        <v>-3.4491498329926788E-5</v>
      </c>
      <c r="K9" s="156">
        <f>'Short-sea (Methanol)'!B183</f>
        <v>-3.4491498329926788E-5</v>
      </c>
      <c r="L9" s="156">
        <f>'Short-sea (HFO)'!B291</f>
        <v>-6.8982996659853564E-6</v>
      </c>
      <c r="M9" s="156">
        <f>'Short-sea (MGO)'!B291</f>
        <v>-6.8982996659853564E-6</v>
      </c>
      <c r="N9" s="156">
        <f>'Short-sea (Hydrogen)'!B291</f>
        <v>-6.8982996659853564E-6</v>
      </c>
      <c r="O9" s="156">
        <f>'Short-sea (Ammonia)'!B291</f>
        <v>-6.8982996659853564E-6</v>
      </c>
      <c r="P9" s="156">
        <f>'Short-sea (Methanol)'!B291</f>
        <v>-6.8982996659853564E-6</v>
      </c>
      <c r="Q9" s="156">
        <f>'Short-sea (HFO)'!B400</f>
        <v>-6.8982996659853564E-6</v>
      </c>
      <c r="R9" s="156">
        <f>'Short-sea (MGO)'!B400</f>
        <v>-6.8982996659853564E-6</v>
      </c>
      <c r="S9" s="156">
        <f>'Short-sea (Hydrogen)'!B400</f>
        <v>-6.8982996659853564E-6</v>
      </c>
      <c r="T9" s="156">
        <f>'Short-sea (Ammonia)'!B400</f>
        <v>-6.8982996659853564E-6</v>
      </c>
      <c r="U9" s="156">
        <f>'Short-sea (Methanol)'!B400</f>
        <v>-6.8982996659853564E-6</v>
      </c>
      <c r="V9" s="156">
        <f>'Railway (Diesel)'!B77</f>
        <v>-3.8155940908638231E-5</v>
      </c>
      <c r="W9" s="156">
        <f>'Railway (Catenary)'!B77</f>
        <v>-3.8155940908638231E-5</v>
      </c>
      <c r="X9" s="156">
        <f>'Railway (Battery)'!B77</f>
        <v>-3.8155940908638231E-5</v>
      </c>
      <c r="Y9" s="156">
        <f>'Railway (Hydrogen)'!B77</f>
        <v>-3.8155940908638231E-5</v>
      </c>
      <c r="Z9" s="156">
        <f>'Railway (Diesel)'!B183</f>
        <v>-5.0874587878184312E-5</v>
      </c>
      <c r="AA9" s="156">
        <f>'Railway (Catenary)'!B183</f>
        <v>-5.0874587878184312E-5</v>
      </c>
      <c r="AB9" s="156">
        <f>'Railway (Battery)'!B183</f>
        <v>-5.0874587878184312E-5</v>
      </c>
      <c r="AC9" s="156">
        <f>'Railway (Hydrogen)'!B183</f>
        <v>-5.0874587878184312E-5</v>
      </c>
      <c r="AD9" s="156">
        <f>'Railway (Diesel)'!B291</f>
        <v>-2.5437293939092156E-5</v>
      </c>
      <c r="AE9" s="156">
        <f>'Railway (Catenary)'!B291</f>
        <v>-2.5437293939092156E-5</v>
      </c>
      <c r="AF9" s="156">
        <f>'Railway (Battery)'!B291</f>
        <v>-2.5437293939092156E-5</v>
      </c>
      <c r="AG9" s="156">
        <f>'Railway (Hydrogen)'!B291</f>
        <v>-2.5437293939092156E-5</v>
      </c>
      <c r="AH9" s="156">
        <f>'Railway (Diesel)'!B400</f>
        <v>-3.8155940908638231E-5</v>
      </c>
      <c r="AI9" s="156">
        <f>'Railway (Catenary)'!B400</f>
        <v>-3.8155940908638231E-5</v>
      </c>
      <c r="AJ9" s="156">
        <f>'Railway (Battery)'!B400</f>
        <v>-3.8155940908638231E-5</v>
      </c>
      <c r="AK9" s="156">
        <f>'Railway (Hydrogen)'!B400</f>
        <v>-3.8155940908638231E-5</v>
      </c>
      <c r="AL9" s="156">
        <f>'Railway (Diesel)'!B505</f>
        <v>-2.5437293939092159E-5</v>
      </c>
      <c r="AM9" s="156">
        <f>'Railway (Catenary)'!B505</f>
        <v>-2.5437293939092159E-5</v>
      </c>
      <c r="AN9" s="156">
        <f>'Railway (Battery)'!B505</f>
        <v>-2.5437293939092159E-5</v>
      </c>
      <c r="AO9" s="156">
        <f>'Railway (Hydrogen)'!B505</f>
        <v>-2.5437293939092159E-5</v>
      </c>
      <c r="AP9" s="156">
        <f>'Semi-trailer truck (Diesel)'!B77</f>
        <v>-9.8813060523915441E-4</v>
      </c>
      <c r="AQ9" s="156">
        <f>'Semi-trailer truck (Battery)'!B77</f>
        <v>-9.8813060523915441E-4</v>
      </c>
      <c r="AR9" s="156">
        <f>'Semi-trailer truck (Hydrogen)'!B77</f>
        <v>-9.8813060523915441E-4</v>
      </c>
      <c r="AS9" s="156">
        <f>'Semi-trailer truck (Diesel)'!B183</f>
        <v>-7.4109795392936575E-4</v>
      </c>
      <c r="AT9" s="156">
        <f>'Semi-trailer truck (Battery)'!B183</f>
        <v>-7.4109795392936575E-4</v>
      </c>
      <c r="AU9" s="156">
        <f>'Semi-trailer truck (Hydrogen)'!B183</f>
        <v>-7.4109795392936575E-4</v>
      </c>
      <c r="AV9" s="156">
        <f>'Semi-trailer truck (Diesel)'!B291</f>
        <v>-3.8819416634395349E-4</v>
      </c>
      <c r="AW9" s="156">
        <f>'Semi-trailer truck (Battery)'!B291</f>
        <v>-3.8819416634395349E-4</v>
      </c>
      <c r="AX9" s="156">
        <f>'Semi-trailer truck (Hydrogen)'!B291</f>
        <v>-3.8819416634395349E-4</v>
      </c>
      <c r="AY9" s="156">
        <f>'Semi-trailer truck (Diesel)'!B400</f>
        <v>-6.9675876010453195E-4</v>
      </c>
      <c r="AZ9" s="156">
        <f>'Semi-trailer truck (Battery)'!B400</f>
        <v>-6.9675876010453195E-4</v>
      </c>
      <c r="BA9" s="156">
        <f>'Semi-trailer truck (Hydrogen)'!B400</f>
        <v>-6.9675876010453195E-4</v>
      </c>
      <c r="BB9" s="156">
        <f>'Semi-trailer truck (Diesel)'!B505</f>
        <v>-5.2837539307926996E-4</v>
      </c>
      <c r="BC9" s="156">
        <f>'Semi-trailer truck (Battery)'!B505</f>
        <v>-5.2837539307926996E-4</v>
      </c>
      <c r="BD9" s="156">
        <f>'Semi-trailer truck (Hydrogen)'!B505</f>
        <v>-5.2837539307926996E-4</v>
      </c>
      <c r="BE9" s="157">
        <f>'Short-sea (HFO)'!M77</f>
        <v>-6.8982996659853564E-6</v>
      </c>
      <c r="BF9" s="156">
        <f>'Short-sea (MGO)'!M77</f>
        <v>-6.8982996659853564E-6</v>
      </c>
      <c r="BG9" s="156">
        <f>'Short-sea (Hydrogen)'!M77</f>
        <v>-6.8982996659853564E-6</v>
      </c>
      <c r="BH9" s="156">
        <f>'Short-sea (Ammonia)'!M77</f>
        <v>-6.8982996659853564E-6</v>
      </c>
      <c r="BI9" s="156">
        <f>'Short-sea (Methanol)'!M77</f>
        <v>-6.8982996659853564E-6</v>
      </c>
      <c r="BJ9" s="154">
        <f>'Short-sea (HFO)'!M183</f>
        <v>-3.4491498329926788E-5</v>
      </c>
      <c r="BK9" s="156">
        <f>'Short-sea (MGO)'!M183</f>
        <v>-3.4491498329926788E-5</v>
      </c>
      <c r="BL9" s="156">
        <f>'Short-sea (Hydrogen)'!M183</f>
        <v>-3.4491498329926788E-5</v>
      </c>
      <c r="BM9" s="156">
        <f>'Short-sea (Ammonia)'!M183</f>
        <v>-3.4491498329926788E-5</v>
      </c>
      <c r="BN9" s="156">
        <f>'Short-sea (Methanol)'!M183</f>
        <v>-3.4491498329926788E-5</v>
      </c>
      <c r="BO9" s="156">
        <f>'Short-sea (HFO)'!M291</f>
        <v>-6.8982996659853564E-6</v>
      </c>
      <c r="BP9" s="156">
        <f>'Short-sea (MGO)'!M291</f>
        <v>-6.8982996659853564E-6</v>
      </c>
      <c r="BQ9" s="156">
        <f>'Short-sea (Hydrogen)'!M291</f>
        <v>-6.8982996659853564E-6</v>
      </c>
      <c r="BR9" s="156">
        <f>'Short-sea (Ammonia)'!M291</f>
        <v>-6.8982996659853564E-6</v>
      </c>
      <c r="BS9" s="156">
        <f>'Short-sea (Methanol)'!M291</f>
        <v>-6.8982996659853564E-6</v>
      </c>
      <c r="BT9" s="156">
        <f>'Short-sea (HFO)'!M400</f>
        <v>-6.8982996659853564E-6</v>
      </c>
      <c r="BU9" s="156">
        <f>'Short-sea (MGO)'!M400</f>
        <v>-6.8982996659853564E-6</v>
      </c>
      <c r="BV9" s="156">
        <f>'Short-sea (Hydrogen)'!M400</f>
        <v>-6.8982996659853564E-6</v>
      </c>
      <c r="BW9" s="156">
        <f>'Short-sea (Ammonia)'!M400</f>
        <v>-6.8982996659853564E-6</v>
      </c>
      <c r="BX9" s="156">
        <f>'Short-sea (Methanol)'!M400</f>
        <v>-6.8982996659853564E-6</v>
      </c>
      <c r="BY9" s="156">
        <f>'Railway (Diesel)'!M77</f>
        <v>-3.8155940908638231E-5</v>
      </c>
      <c r="BZ9" s="156">
        <f>'Railway (Catenary)'!M77</f>
        <v>-3.8155940908638231E-5</v>
      </c>
      <c r="CA9" s="156">
        <f>'Railway (Battery)'!M77</f>
        <v>-3.8155940908638231E-5</v>
      </c>
      <c r="CB9" s="156">
        <f>'Railway (Hydrogen)'!M77</f>
        <v>-3.8155940908638231E-5</v>
      </c>
      <c r="CC9" s="156">
        <f>'Railway (Diesel)'!M183</f>
        <v>-5.0874587878184312E-5</v>
      </c>
      <c r="CD9" s="156">
        <f>'Railway (Catenary)'!M183</f>
        <v>-5.0874587878184312E-5</v>
      </c>
      <c r="CE9" s="156">
        <f>'Railway (Battery)'!M183</f>
        <v>-5.0874587878184312E-5</v>
      </c>
      <c r="CF9" s="156">
        <f>'Railway (Hydrogen)'!M183</f>
        <v>-5.0874587878184312E-5</v>
      </c>
      <c r="CG9" s="156">
        <f>'Railway (Diesel)'!M291</f>
        <v>-2.5437293939092156E-5</v>
      </c>
      <c r="CH9" s="156">
        <f>'Railway (Catenary)'!M291</f>
        <v>-2.5437293939092156E-5</v>
      </c>
      <c r="CI9" s="156">
        <f>'Railway (Battery)'!M291</f>
        <v>-2.5437293939092156E-5</v>
      </c>
      <c r="CJ9" s="156">
        <f>'Railway (Hydrogen)'!M291</f>
        <v>-2.5437293939092156E-5</v>
      </c>
      <c r="CK9" s="156">
        <f>'Railway (Diesel)'!M400</f>
        <v>-3.8155940908638231E-5</v>
      </c>
      <c r="CL9" s="156">
        <f>'Railway (Catenary)'!M400</f>
        <v>-3.8155940908638231E-5</v>
      </c>
      <c r="CM9" s="156">
        <f>'Railway (Battery)'!M400</f>
        <v>-3.8155940908638231E-5</v>
      </c>
      <c r="CN9" s="156">
        <f>'Railway (Hydrogen)'!M400</f>
        <v>-3.8155940908638231E-5</v>
      </c>
      <c r="CO9" s="156">
        <f>'Railway (Diesel)'!M505</f>
        <v>-2.5437293939092159E-5</v>
      </c>
      <c r="CP9" s="156">
        <f>'Railway (Catenary)'!M505</f>
        <v>-2.5437293939092159E-5</v>
      </c>
      <c r="CQ9" s="156">
        <f>'Railway (Battery)'!M505</f>
        <v>-2.5437293939092159E-5</v>
      </c>
      <c r="CR9" s="156">
        <f>'Railway (Hydrogen)'!M505</f>
        <v>-2.5437293939092159E-5</v>
      </c>
      <c r="CS9" s="156">
        <f>'Semi-trailer truck (Diesel)'!M77</f>
        <v>-9.8813060523915441E-4</v>
      </c>
      <c r="CT9" s="156">
        <f>'Semi-trailer truck (Battery)'!M77</f>
        <v>-9.8813060523915441E-4</v>
      </c>
      <c r="CU9" s="156">
        <f>'Semi-trailer truck (Hydrogen)'!M77</f>
        <v>-9.8813060523915441E-4</v>
      </c>
      <c r="CV9" s="156">
        <f>'Semi-trailer truck (Diesel)'!M183</f>
        <v>-7.4109795392936575E-4</v>
      </c>
      <c r="CW9" s="156">
        <f>'Semi-trailer truck (Battery)'!M183</f>
        <v>-7.4109795392936575E-4</v>
      </c>
      <c r="CX9" s="156">
        <f>'Semi-trailer truck (Hydrogen)'!M183</f>
        <v>-7.4109795392936575E-4</v>
      </c>
      <c r="CY9" s="156">
        <f>'Semi-trailer truck (Diesel)'!M291</f>
        <v>-3.8819416634395349E-4</v>
      </c>
      <c r="CZ9" s="156">
        <f>'Semi-trailer truck (Battery)'!M291</f>
        <v>-3.8819416634395349E-4</v>
      </c>
      <c r="DA9" s="156">
        <f>'Semi-trailer truck (Hydrogen)'!M291</f>
        <v>-3.8819416634395349E-4</v>
      </c>
      <c r="DB9" s="156">
        <f>'Semi-trailer truck (Diesel)'!M400</f>
        <v>-6.9675876010453195E-4</v>
      </c>
      <c r="DC9" s="156">
        <f>'Semi-trailer truck (Battery)'!M400</f>
        <v>-6.9675876010453195E-4</v>
      </c>
      <c r="DD9" s="156">
        <f>'Semi-trailer truck (Hydrogen)'!M400</f>
        <v>-6.9675876010453195E-4</v>
      </c>
      <c r="DE9" s="156">
        <f>'Semi-trailer truck (Diesel)'!M505</f>
        <v>-5.2837539307926996E-4</v>
      </c>
      <c r="DF9" s="156">
        <f>'Semi-trailer truck (Battery)'!M505</f>
        <v>-5.2837539307926996E-4</v>
      </c>
      <c r="DG9" s="156">
        <f>'Semi-trailer truck (Hydrogen)'!M505</f>
        <v>-5.2837539307926996E-4</v>
      </c>
      <c r="DH9" s="157">
        <f>'Short-sea (HFO)'!AC77</f>
        <v>-6.8982996659853564E-6</v>
      </c>
      <c r="DI9" s="156">
        <f>'Short-sea (MGO)'!AC77</f>
        <v>-6.8982996659853564E-6</v>
      </c>
      <c r="DJ9" s="156">
        <f>'Short-sea (Hydrogen)'!AC77</f>
        <v>-6.8982996659853564E-6</v>
      </c>
      <c r="DK9" s="156">
        <f>'Short-sea (Ammonia)'!AC77</f>
        <v>-6.8982996659853564E-6</v>
      </c>
      <c r="DL9" s="156">
        <f>'Short-sea (Methanol)'!AC77</f>
        <v>-6.8982996659853564E-6</v>
      </c>
      <c r="DM9" s="154">
        <f>'Short-sea (HFO)'!AC183</f>
        <v>-3.4491498329926788E-5</v>
      </c>
      <c r="DN9" s="156">
        <f>'Short-sea (MGO)'!AC183</f>
        <v>-3.4491498329926788E-5</v>
      </c>
      <c r="DO9" s="156">
        <f>'Short-sea (Hydrogen)'!AC183</f>
        <v>-3.4491498329926788E-5</v>
      </c>
      <c r="DP9" s="156">
        <f>'Short-sea (Ammonia)'!AC183</f>
        <v>-3.4491498329926788E-5</v>
      </c>
      <c r="DQ9" s="156">
        <f>'Short-sea (Methanol)'!AC183</f>
        <v>-3.4491498329926788E-5</v>
      </c>
      <c r="DR9" s="156">
        <f>'Short-sea (HFO)'!AC291</f>
        <v>-6.8982996659853564E-6</v>
      </c>
      <c r="DS9" s="156">
        <f>'Short-sea (MGO)'!AC291</f>
        <v>-6.8982996659853564E-6</v>
      </c>
      <c r="DT9" s="156">
        <f>'Short-sea (Hydrogen)'!AC291</f>
        <v>-6.8982996659853564E-6</v>
      </c>
      <c r="DU9" s="156">
        <f>'Short-sea (Ammonia)'!AC291</f>
        <v>-6.8982996659853564E-6</v>
      </c>
      <c r="DV9" s="156">
        <f>'Short-sea (Methanol)'!AC291</f>
        <v>-6.8982996659853564E-6</v>
      </c>
      <c r="DW9" s="156">
        <f>'Short-sea (HFO)'!AC400</f>
        <v>-6.8982996659853564E-6</v>
      </c>
      <c r="DX9" s="156">
        <f>'Short-sea (MGO)'!AC400</f>
        <v>-6.8982996659853564E-6</v>
      </c>
      <c r="DY9" s="156">
        <f>'Short-sea (Hydrogen)'!AC400</f>
        <v>-6.8982996659853564E-6</v>
      </c>
      <c r="DZ9" s="156">
        <f>'Short-sea (Ammonia)'!AC400</f>
        <v>-6.8982996659853564E-6</v>
      </c>
      <c r="EA9" s="156">
        <f>'Short-sea (Methanol)'!AC400</f>
        <v>-6.8982996659853564E-6</v>
      </c>
      <c r="EB9" s="156">
        <f>'Railway (Diesel)'!AC77</f>
        <v>-3.8155940908638231E-5</v>
      </c>
      <c r="EC9" s="156">
        <f>'Railway (Catenary)'!AC77</f>
        <v>-3.8155940908638231E-5</v>
      </c>
      <c r="ED9" s="156">
        <f>'Railway (Battery)'!AC77</f>
        <v>-3.8155940908638231E-5</v>
      </c>
      <c r="EE9" s="156">
        <f>'Railway (Hydrogen)'!AC77</f>
        <v>-3.8155940908638231E-5</v>
      </c>
      <c r="EF9" s="156">
        <f>'Railway (Diesel)'!AC183</f>
        <v>-5.0874587878184312E-5</v>
      </c>
      <c r="EG9" s="156">
        <f>'Railway (Catenary)'!AC183</f>
        <v>-5.0874587878184312E-5</v>
      </c>
      <c r="EH9" s="156">
        <f>'Railway (Battery)'!AC183</f>
        <v>-5.0874587878184312E-5</v>
      </c>
      <c r="EI9" s="156">
        <f>'Railway (Hydrogen)'!AC183</f>
        <v>-5.0874587878184312E-5</v>
      </c>
      <c r="EJ9" s="156">
        <f>'Railway (Diesel)'!AC291</f>
        <v>-2.5437293939092156E-5</v>
      </c>
      <c r="EK9" s="156">
        <f>'Railway (Catenary)'!AC291</f>
        <v>-2.5437293939092156E-5</v>
      </c>
      <c r="EL9" s="156">
        <f>'Railway (Battery)'!AC291</f>
        <v>-2.5437293939092156E-5</v>
      </c>
      <c r="EM9" s="156">
        <f>'Railway (Hydrogen)'!AC291</f>
        <v>-2.5437293939092156E-5</v>
      </c>
      <c r="EN9" s="156">
        <f>'Railway (Diesel)'!AC400</f>
        <v>-3.8155940908638231E-5</v>
      </c>
      <c r="EO9" s="156">
        <f>'Railway (Catenary)'!AC400</f>
        <v>-3.8155940908638231E-5</v>
      </c>
      <c r="EP9" s="156">
        <f>'Railway (Battery)'!AC400</f>
        <v>-3.8155940908638231E-5</v>
      </c>
      <c r="EQ9" s="156">
        <f>'Railway (Hydrogen)'!AC400</f>
        <v>-3.8155940908638231E-5</v>
      </c>
      <c r="ER9" s="156">
        <f>'Railway (Diesel)'!AC505</f>
        <v>-2.5437293939092159E-5</v>
      </c>
      <c r="ES9" s="156">
        <f>'Railway (Catenary)'!AC505</f>
        <v>-2.5437293939092159E-5</v>
      </c>
      <c r="ET9" s="156">
        <f>'Railway (Battery)'!AC505</f>
        <v>-2.5437293939092159E-5</v>
      </c>
      <c r="EU9" s="156">
        <f>'Railway (Hydrogen)'!AC505</f>
        <v>-2.5437293939092159E-5</v>
      </c>
      <c r="EV9" s="156">
        <f>'Semi-trailer truck (Diesel)'!AC77</f>
        <v>-9.8813060523915441E-4</v>
      </c>
      <c r="EW9" s="156">
        <f>'Semi-trailer truck (Battery)'!AC77</f>
        <v>-9.8813060523915441E-4</v>
      </c>
      <c r="EX9" s="156">
        <f>'Semi-trailer truck (Hydrogen)'!AC77</f>
        <v>-9.8813060523915441E-4</v>
      </c>
      <c r="EY9" s="156">
        <f>'Semi-trailer truck (Diesel)'!AC183</f>
        <v>-7.4109795392936575E-4</v>
      </c>
      <c r="EZ9" s="156">
        <f>'Semi-trailer truck (Battery)'!AC183</f>
        <v>-7.4109795392936575E-4</v>
      </c>
      <c r="FA9" s="156">
        <f>'Semi-trailer truck (Hydrogen)'!AC183</f>
        <v>-7.4109795392936575E-4</v>
      </c>
      <c r="FB9" s="156">
        <f>'Semi-trailer truck (Diesel)'!AC291</f>
        <v>-3.8819416634395349E-4</v>
      </c>
      <c r="FC9" s="156">
        <f>'Semi-trailer truck (Battery)'!AC291</f>
        <v>-3.8819416634395349E-4</v>
      </c>
      <c r="FD9" s="156">
        <f>'Semi-trailer truck (Hydrogen)'!AC291</f>
        <v>-3.8819416634395349E-4</v>
      </c>
      <c r="FE9" s="156">
        <f>'Semi-trailer truck (Diesel)'!AC400</f>
        <v>-6.9675876010453195E-4</v>
      </c>
      <c r="FF9" s="156">
        <f>'Semi-trailer truck (Battery)'!AC400</f>
        <v>-6.9675876010453195E-4</v>
      </c>
      <c r="FG9" s="156">
        <f>'Semi-trailer truck (Hydrogen)'!AC400</f>
        <v>-6.9675876010453195E-4</v>
      </c>
      <c r="FH9" s="156">
        <f>'Semi-trailer truck (Diesel)'!AC505</f>
        <v>-5.2837539307926996E-4</v>
      </c>
      <c r="FI9" s="156">
        <f>'Semi-trailer truck (Battery)'!AC505</f>
        <v>-5.2837539307926996E-4</v>
      </c>
      <c r="FJ9" s="156">
        <f>'Semi-trailer truck (Hydrogen)'!AC505</f>
        <v>-5.2837539307926996E-4</v>
      </c>
      <c r="FK9" s="156"/>
      <c r="FL9" s="156"/>
      <c r="FM9" s="156"/>
      <c r="FN9" s="156"/>
      <c r="FP9" s="156"/>
      <c r="FQ9" s="156"/>
      <c r="FR9" s="156"/>
    </row>
    <row r="10" spans="1:174" x14ac:dyDescent="0.25">
      <c r="A10" s="154" t="s">
        <v>37</v>
      </c>
      <c r="B10" s="157">
        <f>'Short-sea (HFO)'!B78</f>
        <v>1.0654632223259673E-3</v>
      </c>
      <c r="C10" s="156">
        <f>'Short-sea (MGO)'!B78</f>
        <v>1.0654632223259673E-3</v>
      </c>
      <c r="D10" s="156">
        <f>'Short-sea (Hydrogen)'!B78</f>
        <v>1.0654632223259673E-3</v>
      </c>
      <c r="E10" s="156">
        <f>'Short-sea (Ammonia)'!B78</f>
        <v>1.0654632223259673E-3</v>
      </c>
      <c r="F10" s="156">
        <f>'Short-sea (Methanol)'!B78</f>
        <v>1.0654632223259673E-3</v>
      </c>
      <c r="G10" s="154">
        <f>'Short-sea (HFO)'!B184</f>
        <v>1.0654632223259673E-3</v>
      </c>
      <c r="H10" s="156">
        <f>'Short-sea (MGO)'!B184</f>
        <v>1.0654632223259673E-3</v>
      </c>
      <c r="I10" s="156">
        <f>'Short-sea (Hydrogen)'!B184</f>
        <v>1.0654632223259673E-3</v>
      </c>
      <c r="J10" s="156">
        <f>'Short-sea (Ammonia)'!B184</f>
        <v>1.0654632223259673E-3</v>
      </c>
      <c r="K10" s="156">
        <f>'Short-sea (Methanol)'!B184</f>
        <v>1.0654632223259673E-3</v>
      </c>
      <c r="L10" s="156">
        <f>'Short-sea (HFO)'!B292</f>
        <v>1.0654632223259673E-3</v>
      </c>
      <c r="M10" s="156">
        <f>'Short-sea (MGO)'!B292</f>
        <v>1.0654632223259673E-3</v>
      </c>
      <c r="N10" s="156">
        <f>'Short-sea (Hydrogen)'!B292</f>
        <v>1.0654632223259673E-3</v>
      </c>
      <c r="O10" s="156">
        <f>'Short-sea (Ammonia)'!B292</f>
        <v>1.0654632223259673E-3</v>
      </c>
      <c r="P10" s="156">
        <f>'Short-sea (Methanol)'!B292</f>
        <v>1.0654632223259673E-3</v>
      </c>
      <c r="Q10" s="156">
        <f>'Short-sea (HFO)'!B401</f>
        <v>1.0654632223259673E-3</v>
      </c>
      <c r="R10" s="156">
        <f>'Short-sea (MGO)'!B401</f>
        <v>1.0654632223259673E-3</v>
      </c>
      <c r="S10" s="156">
        <f>'Short-sea (Hydrogen)'!B401</f>
        <v>1.0654632223259673E-3</v>
      </c>
      <c r="T10" s="156">
        <f>'Short-sea (Ammonia)'!B401</f>
        <v>1.0654632223259673E-3</v>
      </c>
      <c r="U10" s="156">
        <f>'Short-sea (Methanol)'!B401</f>
        <v>1.0654632223259673E-3</v>
      </c>
      <c r="V10" s="156">
        <f>'Railway (Diesel)'!B78</f>
        <v>1.6256502601040416E-3</v>
      </c>
      <c r="W10" s="156">
        <f>'Railway (Catenary)'!B78</f>
        <v>1.6256502601040416E-3</v>
      </c>
      <c r="X10" s="156">
        <f>'Railway (Battery)'!B78</f>
        <v>1.6256502601040416E-3</v>
      </c>
      <c r="Y10" s="156">
        <f>'Railway (Hydrogen)'!B78</f>
        <v>1.6256502601040416E-3</v>
      </c>
      <c r="Z10" s="156">
        <f>'Railway (Diesel)'!B184</f>
        <v>1.5506202480992397E-3</v>
      </c>
      <c r="AA10" s="156">
        <f>'Railway (Catenary)'!B184</f>
        <v>1.5506202480992397E-3</v>
      </c>
      <c r="AB10" s="156">
        <f>'Railway (Battery)'!B184</f>
        <v>1.5506202480992397E-3</v>
      </c>
      <c r="AC10" s="156">
        <f>'Railway (Hydrogen)'!B184</f>
        <v>1.5506202480992397E-3</v>
      </c>
      <c r="AD10" s="156">
        <f>'Railway (Diesel)'!B292</f>
        <v>1.525610244097639E-3</v>
      </c>
      <c r="AE10" s="156">
        <f>'Railway (Catenary)'!B292</f>
        <v>1.525610244097639E-3</v>
      </c>
      <c r="AF10" s="156">
        <f>'Railway (Battery)'!B292</f>
        <v>1.525610244097639E-3</v>
      </c>
      <c r="AG10" s="156">
        <f>'Railway (Hydrogen)'!B292</f>
        <v>1.525610244097639E-3</v>
      </c>
      <c r="AH10" s="156">
        <f>'Railway (Diesel)'!B401</f>
        <v>3.6264505802320927E-3</v>
      </c>
      <c r="AI10" s="156">
        <f>'Railway (Catenary)'!B401</f>
        <v>3.6264505802320927E-3</v>
      </c>
      <c r="AJ10" s="156">
        <f>'Railway (Battery)'!B401</f>
        <v>3.6264505802320927E-3</v>
      </c>
      <c r="AK10" s="156">
        <f>'Railway (Hydrogen)'!B401</f>
        <v>3.6264505802320927E-3</v>
      </c>
      <c r="AL10" s="156">
        <f>'Railway (Diesel)'!B506</f>
        <v>1.3005202080832333E-3</v>
      </c>
      <c r="AM10" s="156">
        <f>'Railway (Catenary)'!B506</f>
        <v>1.3005202080832333E-3</v>
      </c>
      <c r="AN10" s="156">
        <f>'Railway (Battery)'!B506</f>
        <v>1.3005202080832333E-3</v>
      </c>
      <c r="AO10" s="156">
        <f>'Railway (Hydrogen)'!B506</f>
        <v>1.3005202080832333E-3</v>
      </c>
      <c r="AP10" s="156">
        <f>'Semi-trailer truck (Diesel)'!B78</f>
        <v>5.0909090909090911E-2</v>
      </c>
      <c r="AQ10" s="156">
        <f>'Semi-trailer truck (Battery)'!B78</f>
        <v>5.0909090909090911E-2</v>
      </c>
      <c r="AR10" s="156">
        <f>'Semi-trailer truck (Hydrogen)'!B78</f>
        <v>5.0909090909090911E-2</v>
      </c>
      <c r="AS10" s="156">
        <f>'Semi-trailer truck (Diesel)'!B184</f>
        <v>2.5454545454545455E-2</v>
      </c>
      <c r="AT10" s="156">
        <f>'Semi-trailer truck (Battery)'!B184</f>
        <v>2.5454545454545455E-2</v>
      </c>
      <c r="AU10" s="156">
        <f>'Semi-trailer truck (Hydrogen)'!B184</f>
        <v>2.5454545454545455E-2</v>
      </c>
      <c r="AV10" s="156">
        <f>'Semi-trailer truck (Diesel)'!B292</f>
        <v>2.6666666666666665E-2</v>
      </c>
      <c r="AW10" s="156">
        <f>'Semi-trailer truck (Battery)'!B292</f>
        <v>2.6666666666666665E-2</v>
      </c>
      <c r="AX10" s="156">
        <f>'Semi-trailer truck (Hydrogen)'!B292</f>
        <v>2.6666666666666665E-2</v>
      </c>
      <c r="AY10" s="156">
        <f>'Semi-trailer truck (Diesel)'!B401</f>
        <v>3.5897435897435902E-2</v>
      </c>
      <c r="AZ10" s="156">
        <f>'Semi-trailer truck (Battery)'!B401</f>
        <v>3.5897435897435902E-2</v>
      </c>
      <c r="BA10" s="156">
        <f>'Semi-trailer truck (Hydrogen)'!B401</f>
        <v>3.5897435897435902E-2</v>
      </c>
      <c r="BB10" s="156">
        <f>'Semi-trailer truck (Diesel)'!B506</f>
        <v>3.111111111111111E-2</v>
      </c>
      <c r="BC10" s="156">
        <f>'Semi-trailer truck (Battery)'!B506</f>
        <v>3.111111111111111E-2</v>
      </c>
      <c r="BD10" s="156">
        <f>'Semi-trailer truck (Hydrogen)'!B506</f>
        <v>3.111111111111111E-2</v>
      </c>
      <c r="BE10" s="157">
        <f>'Short-sea (HFO)'!M78</f>
        <v>1.0654632223259673E-3</v>
      </c>
      <c r="BF10" s="156">
        <f>'Short-sea (MGO)'!M78</f>
        <v>1.0654632223259673E-3</v>
      </c>
      <c r="BG10" s="156">
        <f>'Short-sea (Hydrogen)'!M78</f>
        <v>1.0654632223259673E-3</v>
      </c>
      <c r="BH10" s="156">
        <f>'Short-sea (Ammonia)'!M78</f>
        <v>1.0654632223259673E-3</v>
      </c>
      <c r="BI10" s="156">
        <f>'Short-sea (Methanol)'!M78</f>
        <v>1.0654632223259673E-3</v>
      </c>
      <c r="BJ10" s="154">
        <f>'Short-sea (HFO)'!M184</f>
        <v>1.0654632223259673E-3</v>
      </c>
      <c r="BK10" s="156">
        <f>'Short-sea (MGO)'!M184</f>
        <v>1.0654632223259673E-3</v>
      </c>
      <c r="BL10" s="156">
        <f>'Short-sea (Hydrogen)'!M184</f>
        <v>1.0654632223259673E-3</v>
      </c>
      <c r="BM10" s="156">
        <f>'Short-sea (Ammonia)'!M184</f>
        <v>1.0654632223259673E-3</v>
      </c>
      <c r="BN10" s="156">
        <f>'Short-sea (Methanol)'!M184</f>
        <v>1.0654632223259673E-3</v>
      </c>
      <c r="BO10" s="156">
        <f>'Short-sea (HFO)'!M292</f>
        <v>1.0654632223259673E-3</v>
      </c>
      <c r="BP10" s="156">
        <f>'Short-sea (MGO)'!M292</f>
        <v>1.0654632223259673E-3</v>
      </c>
      <c r="BQ10" s="156">
        <f>'Short-sea (Hydrogen)'!M292</f>
        <v>1.0654632223259673E-3</v>
      </c>
      <c r="BR10" s="156">
        <f>'Short-sea (Ammonia)'!M292</f>
        <v>1.0654632223259673E-3</v>
      </c>
      <c r="BS10" s="156">
        <f>'Short-sea (Methanol)'!M292</f>
        <v>1.0654632223259673E-3</v>
      </c>
      <c r="BT10" s="156">
        <f>'Short-sea (HFO)'!M401</f>
        <v>1.0654632223259673E-3</v>
      </c>
      <c r="BU10" s="156">
        <f>'Short-sea (MGO)'!M401</f>
        <v>1.0654632223259673E-3</v>
      </c>
      <c r="BV10" s="156">
        <f>'Short-sea (Hydrogen)'!M401</f>
        <v>1.0654632223259673E-3</v>
      </c>
      <c r="BW10" s="156">
        <f>'Short-sea (Ammonia)'!M401</f>
        <v>1.0654632223259673E-3</v>
      </c>
      <c r="BX10" s="156">
        <f>'Short-sea (Methanol)'!M401</f>
        <v>1.0654632223259673E-3</v>
      </c>
      <c r="BY10" s="156">
        <f>'Railway (Diesel)'!M78</f>
        <v>1.6256502601040416E-3</v>
      </c>
      <c r="BZ10" s="156">
        <f>'Railway (Catenary)'!M78</f>
        <v>1.6256502601040416E-3</v>
      </c>
      <c r="CA10" s="156">
        <f>'Railway (Battery)'!M78</f>
        <v>1.6256502601040416E-3</v>
      </c>
      <c r="CB10" s="156">
        <f>'Railway (Hydrogen)'!M78</f>
        <v>1.6256502601040416E-3</v>
      </c>
      <c r="CC10" s="156">
        <f>'Railway (Diesel)'!M184</f>
        <v>1.5506202480992397E-3</v>
      </c>
      <c r="CD10" s="156">
        <f>'Railway (Catenary)'!M184</f>
        <v>1.5506202480992397E-3</v>
      </c>
      <c r="CE10" s="156">
        <f>'Railway (Battery)'!M184</f>
        <v>1.5506202480992397E-3</v>
      </c>
      <c r="CF10" s="156">
        <f>'Railway (Hydrogen)'!M184</f>
        <v>1.5506202480992397E-3</v>
      </c>
      <c r="CG10" s="156">
        <f>'Railway (Diesel)'!M292</f>
        <v>1.525610244097639E-3</v>
      </c>
      <c r="CH10" s="156">
        <f>'Railway (Catenary)'!M292</f>
        <v>1.525610244097639E-3</v>
      </c>
      <c r="CI10" s="156">
        <f>'Railway (Battery)'!M292</f>
        <v>1.525610244097639E-3</v>
      </c>
      <c r="CJ10" s="156">
        <f>'Railway (Hydrogen)'!M292</f>
        <v>1.525610244097639E-3</v>
      </c>
      <c r="CK10" s="156">
        <f>'Railway (Diesel)'!M401</f>
        <v>3.6264505802320927E-3</v>
      </c>
      <c r="CL10" s="156">
        <f>'Railway (Catenary)'!M401</f>
        <v>3.6264505802320927E-3</v>
      </c>
      <c r="CM10" s="156">
        <f>'Railway (Battery)'!M401</f>
        <v>3.6264505802320927E-3</v>
      </c>
      <c r="CN10" s="156">
        <f>'Railway (Hydrogen)'!M401</f>
        <v>3.6264505802320927E-3</v>
      </c>
      <c r="CO10" s="156">
        <f>'Railway (Diesel)'!M506</f>
        <v>1.3005202080832333E-3</v>
      </c>
      <c r="CP10" s="156">
        <f>'Railway (Catenary)'!M506</f>
        <v>1.3005202080832333E-3</v>
      </c>
      <c r="CQ10" s="156">
        <f>'Railway (Battery)'!M506</f>
        <v>1.3005202080832333E-3</v>
      </c>
      <c r="CR10" s="156">
        <f>'Railway (Hydrogen)'!M506</f>
        <v>1.3005202080832333E-3</v>
      </c>
      <c r="CS10" s="156">
        <f>'Semi-trailer truck (Diesel)'!M78</f>
        <v>5.0909090909090911E-2</v>
      </c>
      <c r="CT10" s="156">
        <f>'Semi-trailer truck (Battery)'!M78</f>
        <v>5.0909090909090911E-2</v>
      </c>
      <c r="CU10" s="156">
        <f>'Semi-trailer truck (Hydrogen)'!M78</f>
        <v>5.0909090909090911E-2</v>
      </c>
      <c r="CV10" s="156">
        <f>'Semi-trailer truck (Diesel)'!M184</f>
        <v>2.5454545454545455E-2</v>
      </c>
      <c r="CW10" s="156">
        <f>'Semi-trailer truck (Battery)'!M184</f>
        <v>2.5454545454545455E-2</v>
      </c>
      <c r="CX10" s="156">
        <f>'Semi-trailer truck (Hydrogen)'!M184</f>
        <v>2.5454545454545455E-2</v>
      </c>
      <c r="CY10" s="156">
        <f>'Semi-trailer truck (Diesel)'!M292</f>
        <v>2.6666666666666665E-2</v>
      </c>
      <c r="CZ10" s="156">
        <f>'Semi-trailer truck (Battery)'!M292</f>
        <v>2.6666666666666665E-2</v>
      </c>
      <c r="DA10" s="156">
        <f>'Semi-trailer truck (Hydrogen)'!M292</f>
        <v>2.6666666666666665E-2</v>
      </c>
      <c r="DB10" s="156">
        <f>'Semi-trailer truck (Diesel)'!M401</f>
        <v>3.5897435897435902E-2</v>
      </c>
      <c r="DC10" s="156">
        <f>'Semi-trailer truck (Battery)'!M401</f>
        <v>3.5897435897435902E-2</v>
      </c>
      <c r="DD10" s="156">
        <f>'Semi-trailer truck (Hydrogen)'!M401</f>
        <v>3.5897435897435902E-2</v>
      </c>
      <c r="DE10" s="156">
        <f>'Semi-trailer truck (Diesel)'!M506</f>
        <v>3.111111111111111E-2</v>
      </c>
      <c r="DF10" s="156">
        <f>'Semi-trailer truck (Battery)'!M506</f>
        <v>3.111111111111111E-2</v>
      </c>
      <c r="DG10" s="156">
        <f>'Semi-trailer truck (Hydrogen)'!M506</f>
        <v>3.111111111111111E-2</v>
      </c>
      <c r="DH10" s="157">
        <f>'Short-sea (HFO)'!AC78</f>
        <v>1.0654632223259673E-3</v>
      </c>
      <c r="DI10" s="156">
        <f>'Short-sea (MGO)'!AC78</f>
        <v>1.0654632223259673E-3</v>
      </c>
      <c r="DJ10" s="156">
        <f>'Short-sea (Hydrogen)'!AC78</f>
        <v>1.0654632223259673E-3</v>
      </c>
      <c r="DK10" s="156">
        <f>'Short-sea (Ammonia)'!AC78</f>
        <v>1.0654632223259673E-3</v>
      </c>
      <c r="DL10" s="156">
        <f>'Short-sea (Methanol)'!AC78</f>
        <v>1.0654632223259673E-3</v>
      </c>
      <c r="DM10" s="154">
        <f>'Short-sea (HFO)'!AC184</f>
        <v>1.0654632223259673E-3</v>
      </c>
      <c r="DN10" s="156">
        <f>'Short-sea (MGO)'!AC184</f>
        <v>1.0654632223259673E-3</v>
      </c>
      <c r="DO10" s="156">
        <f>'Short-sea (Hydrogen)'!AC184</f>
        <v>1.0654632223259673E-3</v>
      </c>
      <c r="DP10" s="156">
        <f>'Short-sea (Ammonia)'!AC184</f>
        <v>1.0654632223259673E-3</v>
      </c>
      <c r="DQ10" s="156">
        <f>'Short-sea (Methanol)'!AC184</f>
        <v>1.0654632223259673E-3</v>
      </c>
      <c r="DR10" s="156">
        <f>'Short-sea (HFO)'!AC292</f>
        <v>1.0654632223259673E-3</v>
      </c>
      <c r="DS10" s="156">
        <f>'Short-sea (MGO)'!AC292</f>
        <v>1.0654632223259673E-3</v>
      </c>
      <c r="DT10" s="156">
        <f>'Short-sea (Hydrogen)'!AC292</f>
        <v>1.0654632223259673E-3</v>
      </c>
      <c r="DU10" s="156">
        <f>'Short-sea (Ammonia)'!AC292</f>
        <v>1.0654632223259673E-3</v>
      </c>
      <c r="DV10" s="156">
        <f>'Short-sea (Methanol)'!AC292</f>
        <v>1.0654632223259673E-3</v>
      </c>
      <c r="DW10" s="156">
        <f>'Short-sea (HFO)'!AC401</f>
        <v>1.0654632223259673E-3</v>
      </c>
      <c r="DX10" s="156">
        <f>'Short-sea (MGO)'!AC401</f>
        <v>1.0654632223259673E-3</v>
      </c>
      <c r="DY10" s="156">
        <f>'Short-sea (Hydrogen)'!AC401</f>
        <v>1.0654632223259673E-3</v>
      </c>
      <c r="DZ10" s="156">
        <f>'Short-sea (Ammonia)'!AC401</f>
        <v>1.0654632223259673E-3</v>
      </c>
      <c r="EA10" s="156">
        <f>'Short-sea (Methanol)'!AC401</f>
        <v>1.0654632223259673E-3</v>
      </c>
      <c r="EB10" s="156">
        <f>'Railway (Diesel)'!AC78</f>
        <v>1.6256502601040416E-3</v>
      </c>
      <c r="EC10" s="156">
        <f>'Railway (Catenary)'!AC78</f>
        <v>1.6256502601040416E-3</v>
      </c>
      <c r="ED10" s="156">
        <f>'Railway (Battery)'!AC78</f>
        <v>1.6256502601040416E-3</v>
      </c>
      <c r="EE10" s="156">
        <f>'Railway (Hydrogen)'!AC78</f>
        <v>1.6256502601040416E-3</v>
      </c>
      <c r="EF10" s="156">
        <f>'Railway (Diesel)'!AC184</f>
        <v>1.5506202480992397E-3</v>
      </c>
      <c r="EG10" s="156">
        <f>'Railway (Catenary)'!AC184</f>
        <v>1.5506202480992397E-3</v>
      </c>
      <c r="EH10" s="156">
        <f>'Railway (Battery)'!AC184</f>
        <v>1.5506202480992397E-3</v>
      </c>
      <c r="EI10" s="156">
        <f>'Railway (Hydrogen)'!AC184</f>
        <v>1.5506202480992397E-3</v>
      </c>
      <c r="EJ10" s="156">
        <f>'Railway (Diesel)'!AC292</f>
        <v>1.525610244097639E-3</v>
      </c>
      <c r="EK10" s="156">
        <f>'Railway (Catenary)'!AC292</f>
        <v>1.525610244097639E-3</v>
      </c>
      <c r="EL10" s="156">
        <f>'Railway (Battery)'!AC292</f>
        <v>1.525610244097639E-3</v>
      </c>
      <c r="EM10" s="156">
        <f>'Railway (Hydrogen)'!AC292</f>
        <v>1.525610244097639E-3</v>
      </c>
      <c r="EN10" s="156">
        <f>'Railway (Diesel)'!AC401</f>
        <v>3.6264505802320927E-3</v>
      </c>
      <c r="EO10" s="156">
        <f>'Railway (Catenary)'!AC401</f>
        <v>3.6264505802320927E-3</v>
      </c>
      <c r="EP10" s="156">
        <f>'Railway (Battery)'!AC401</f>
        <v>3.6264505802320927E-3</v>
      </c>
      <c r="EQ10" s="156">
        <f>'Railway (Hydrogen)'!AC401</f>
        <v>3.6264505802320927E-3</v>
      </c>
      <c r="ER10" s="156">
        <f>'Railway (Diesel)'!AC506</f>
        <v>1.3005202080832333E-3</v>
      </c>
      <c r="ES10" s="156">
        <f>'Railway (Catenary)'!AC506</f>
        <v>1.3005202080832333E-3</v>
      </c>
      <c r="ET10" s="156">
        <f>'Railway (Battery)'!AC506</f>
        <v>1.3005202080832333E-3</v>
      </c>
      <c r="EU10" s="156">
        <f>'Railway (Hydrogen)'!AC506</f>
        <v>1.3005202080832333E-3</v>
      </c>
      <c r="EV10" s="156">
        <f>'Semi-trailer truck (Diesel)'!AC78</f>
        <v>5.0909090909090911E-2</v>
      </c>
      <c r="EW10" s="156">
        <f>'Semi-trailer truck (Battery)'!AC78</f>
        <v>5.0909090909090911E-2</v>
      </c>
      <c r="EX10" s="156">
        <f>'Semi-trailer truck (Hydrogen)'!AC78</f>
        <v>5.0909090909090911E-2</v>
      </c>
      <c r="EY10" s="156">
        <f>'Semi-trailer truck (Diesel)'!AC184</f>
        <v>2.5454545454545455E-2</v>
      </c>
      <c r="EZ10" s="156">
        <f>'Semi-trailer truck (Battery)'!AC184</f>
        <v>2.5454545454545455E-2</v>
      </c>
      <c r="FA10" s="156">
        <f>'Semi-trailer truck (Hydrogen)'!AC184</f>
        <v>2.5454545454545455E-2</v>
      </c>
      <c r="FB10" s="156">
        <f>'Semi-trailer truck (Diesel)'!AC292</f>
        <v>2.6666666666666665E-2</v>
      </c>
      <c r="FC10" s="156">
        <f>'Semi-trailer truck (Battery)'!AC292</f>
        <v>2.6666666666666665E-2</v>
      </c>
      <c r="FD10" s="156">
        <f>'Semi-trailer truck (Hydrogen)'!AC292</f>
        <v>2.6666666666666665E-2</v>
      </c>
      <c r="FE10" s="156">
        <f>'Semi-trailer truck (Diesel)'!AC401</f>
        <v>3.5897435897435902E-2</v>
      </c>
      <c r="FF10" s="156">
        <f>'Semi-trailer truck (Battery)'!AC401</f>
        <v>3.5897435897435902E-2</v>
      </c>
      <c r="FG10" s="156">
        <f>'Semi-trailer truck (Hydrogen)'!AC401</f>
        <v>3.5897435897435902E-2</v>
      </c>
      <c r="FH10" s="156">
        <f>'Semi-trailer truck (Diesel)'!AC506</f>
        <v>3.111111111111111E-2</v>
      </c>
      <c r="FI10" s="156">
        <f>'Semi-trailer truck (Battery)'!AC506</f>
        <v>3.111111111111111E-2</v>
      </c>
      <c r="FJ10" s="156">
        <f>'Semi-trailer truck (Hydrogen)'!AC506</f>
        <v>3.111111111111111E-2</v>
      </c>
      <c r="FK10" s="156"/>
      <c r="FL10" s="156"/>
      <c r="FM10" s="156"/>
      <c r="FN10" s="156"/>
      <c r="FP10" s="156"/>
      <c r="FQ10" s="156"/>
      <c r="FR10" s="156"/>
    </row>
    <row r="11" spans="1:174" x14ac:dyDescent="0.25">
      <c r="A11" s="154" t="s">
        <v>52</v>
      </c>
      <c r="B11" s="157">
        <f>'Short-sea (HFO)'!B79</f>
        <v>4.305425874053325E-4</v>
      </c>
      <c r="C11" s="156">
        <f>'Short-sea (MGO)'!B79</f>
        <v>4.305425874053325E-4</v>
      </c>
      <c r="D11" s="156">
        <f>'Short-sea (Hydrogen)'!B79</f>
        <v>2.9878618113912231E-4</v>
      </c>
      <c r="E11" s="156">
        <f>'Short-sea (Ammonia)'!B79</f>
        <v>2.9878618113912231E-4</v>
      </c>
      <c r="F11" s="156">
        <f>'Short-sea (Methanol)'!B79</f>
        <v>4.305425874053325E-4</v>
      </c>
      <c r="G11" s="154">
        <f>'Short-sea (HFO)'!B185</f>
        <v>4.305425874053325E-4</v>
      </c>
      <c r="H11" s="156">
        <f>'Short-sea (MGO)'!B185</f>
        <v>4.305425874053325E-4</v>
      </c>
      <c r="I11" s="156">
        <f>'Short-sea (Hydrogen)'!B185</f>
        <v>2.9878618113912231E-4</v>
      </c>
      <c r="J11" s="156">
        <f>'Short-sea (Ammonia)'!B185</f>
        <v>2.9878618113912231E-4</v>
      </c>
      <c r="K11" s="156">
        <f>'Short-sea (Methanol)'!B185</f>
        <v>4.305425874053325E-4</v>
      </c>
      <c r="L11" s="156">
        <f>'Short-sea (HFO)'!B293</f>
        <v>4.305425874053325E-4</v>
      </c>
      <c r="M11" s="156">
        <f>'Short-sea (MGO)'!B293</f>
        <v>4.305425874053325E-4</v>
      </c>
      <c r="N11" s="156">
        <f>'Short-sea (Hydrogen)'!B293</f>
        <v>2.9878618113912231E-4</v>
      </c>
      <c r="O11" s="156">
        <f>'Short-sea (Ammonia)'!B293</f>
        <v>2.9878618113912231E-4</v>
      </c>
      <c r="P11" s="156">
        <f>'Short-sea (Methanol)'!B293</f>
        <v>4.305425874053325E-4</v>
      </c>
      <c r="Q11" s="156">
        <f>'Short-sea (HFO)'!B402</f>
        <v>4.305425874053325E-4</v>
      </c>
      <c r="R11" s="156">
        <f>'Short-sea (MGO)'!B402</f>
        <v>4.305425874053325E-4</v>
      </c>
      <c r="S11" s="156">
        <f>'Short-sea (Hydrogen)'!B402</f>
        <v>2.9878618113912231E-4</v>
      </c>
      <c r="T11" s="156">
        <f>'Short-sea (Ammonia)'!B402</f>
        <v>2.9878618113912231E-4</v>
      </c>
      <c r="U11" s="156">
        <f>'Short-sea (Methanol)'!B402</f>
        <v>4.305425874053325E-4</v>
      </c>
      <c r="V11" s="156">
        <f>'Railway (Diesel)'!B79</f>
        <v>2.6260504201680674E-3</v>
      </c>
      <c r="W11" s="156">
        <f>'Railway (Catenary)'!B79</f>
        <v>1.6256502601040416E-3</v>
      </c>
      <c r="X11" s="156">
        <f>'Railway (Battery)'!B79</f>
        <v>3.235203975384487E-3</v>
      </c>
      <c r="Y11" s="156">
        <f>'Railway (Hydrogen)'!B79</f>
        <v>3.4736649752972778E-3</v>
      </c>
      <c r="Z11" s="156">
        <f>'Railway (Diesel)'!B185</f>
        <v>2.6260504201680674E-3</v>
      </c>
      <c r="AA11" s="156">
        <f>'Railway (Catenary)'!B185</f>
        <v>1.6256502601040416E-3</v>
      </c>
      <c r="AB11" s="156">
        <f>'Railway (Battery)'!B185</f>
        <v>3.235203975384487E-3</v>
      </c>
      <c r="AC11" s="156">
        <f>'Railway (Hydrogen)'!B185</f>
        <v>3.4736649752972778E-3</v>
      </c>
      <c r="AD11" s="156">
        <f>'Railway (Diesel)'!B293</f>
        <v>2.6260504201680674E-3</v>
      </c>
      <c r="AE11" s="156">
        <f>'Railway (Catenary)'!B293</f>
        <v>1.6256502601040416E-3</v>
      </c>
      <c r="AF11" s="156">
        <f>'Railway (Battery)'!B293</f>
        <v>3.235203975384487E-3</v>
      </c>
      <c r="AG11" s="156">
        <f>'Railway (Hydrogen)'!B293</f>
        <v>3.4736649752972778E-3</v>
      </c>
      <c r="AH11" s="156">
        <f>'Railway (Diesel)'!B402</f>
        <v>2.6260504201680674E-3</v>
      </c>
      <c r="AI11" s="156">
        <f>'Railway (Catenary)'!B402</f>
        <v>1.6256502601040416E-3</v>
      </c>
      <c r="AJ11" s="156">
        <f>'Railway (Battery)'!B402</f>
        <v>3.235203975384487E-3</v>
      </c>
      <c r="AK11" s="156">
        <f>'Railway (Hydrogen)'!B402</f>
        <v>3.4736649752972778E-3</v>
      </c>
      <c r="AL11" s="156">
        <f>'Railway (Diesel)'!B507</f>
        <v>2.1008403361344541E-3</v>
      </c>
      <c r="AM11" s="156">
        <f>'Railway (Catenary)'!B507</f>
        <v>1.3005202080832333E-3</v>
      </c>
      <c r="AN11" s="156">
        <f>'Railway (Battery)'!B507</f>
        <v>2.5881631803075897E-3</v>
      </c>
      <c r="AO11" s="156">
        <f>'Railway (Hydrogen)'!B507</f>
        <v>2.7789319802378224E-3</v>
      </c>
      <c r="AP11" s="156">
        <f>'Semi-trailer truck (Diesel)'!B79</f>
        <v>1.4545454545454545E-2</v>
      </c>
      <c r="AQ11" s="156">
        <f>'Semi-trailer truck (Battery)'!B79</f>
        <v>1.0909090909090908E-2</v>
      </c>
      <c r="AR11" s="156">
        <f>'Semi-trailer truck (Hydrogen)'!B79</f>
        <v>1.868668998758358E-2</v>
      </c>
      <c r="AS11" s="156">
        <f>'Semi-trailer truck (Diesel)'!B185</f>
        <v>7.2727272727272727E-3</v>
      </c>
      <c r="AT11" s="156">
        <f>'Semi-trailer truck (Battery)'!B185</f>
        <v>5.4545454545454541E-3</v>
      </c>
      <c r="AU11" s="156">
        <f>'Semi-trailer truck (Hydrogen)'!B185</f>
        <v>9.3433449937917901E-3</v>
      </c>
      <c r="AV11" s="156">
        <f>'Semi-trailer truck (Diesel)'!B293</f>
        <v>7.619047619047619E-3</v>
      </c>
      <c r="AW11" s="156">
        <f>'Semi-trailer truck (Battery)'!B293</f>
        <v>5.7142857142857143E-3</v>
      </c>
      <c r="AX11" s="156">
        <f>'Semi-trailer truck (Hydrogen)'!B293</f>
        <v>9.7882661839723516E-3</v>
      </c>
      <c r="AY11" s="156">
        <f>'Semi-trailer truck (Diesel)'!B402</f>
        <v>1.0256410256410255E-2</v>
      </c>
      <c r="AZ11" s="156">
        <f>'Semi-trailer truck (Battery)'!B402</f>
        <v>7.6923076923076927E-3</v>
      </c>
      <c r="BA11" s="156">
        <f>'Semi-trailer truck (Hydrogen)'!B402</f>
        <v>1.3176512170732011E-2</v>
      </c>
      <c r="BB11" s="156">
        <f>'Semi-trailer truck (Diesel)'!B507</f>
        <v>8.8888888888888889E-3</v>
      </c>
      <c r="BC11" s="156">
        <f>'Semi-trailer truck (Battery)'!B507</f>
        <v>6.6666666666666662E-3</v>
      </c>
      <c r="BD11" s="156">
        <f>'Semi-trailer truck (Hydrogen)'!B507</f>
        <v>1.1419643881301077E-2</v>
      </c>
      <c r="BE11" s="157">
        <f>'Short-sea (HFO)'!M79</f>
        <v>4.305425874053325E-4</v>
      </c>
      <c r="BF11" s="156">
        <f>'Short-sea (MGO)'!M79</f>
        <v>4.305425874053325E-4</v>
      </c>
      <c r="BG11" s="156">
        <f>'Short-sea (Hydrogen)'!M79</f>
        <v>2.9878618113912231E-4</v>
      </c>
      <c r="BH11" s="156">
        <f>'Short-sea (Ammonia)'!M79</f>
        <v>2.9878618113912231E-4</v>
      </c>
      <c r="BI11" s="156">
        <f>'Short-sea (Methanol)'!M79</f>
        <v>4.305425874053325E-4</v>
      </c>
      <c r="BJ11" s="154">
        <f>'Short-sea (HFO)'!M185</f>
        <v>4.305425874053325E-4</v>
      </c>
      <c r="BK11" s="156">
        <f>'Short-sea (MGO)'!M185</f>
        <v>4.305425874053325E-4</v>
      </c>
      <c r="BL11" s="156">
        <f>'Short-sea (Hydrogen)'!M185</f>
        <v>2.9878618113912231E-4</v>
      </c>
      <c r="BM11" s="156">
        <f>'Short-sea (Ammonia)'!M185</f>
        <v>2.9878618113912231E-4</v>
      </c>
      <c r="BN11" s="156">
        <f>'Short-sea (Methanol)'!M185</f>
        <v>4.305425874053325E-4</v>
      </c>
      <c r="BO11" s="156">
        <f>'Short-sea (HFO)'!M293</f>
        <v>4.305425874053325E-4</v>
      </c>
      <c r="BP11" s="156">
        <f>'Short-sea (MGO)'!M293</f>
        <v>4.305425874053325E-4</v>
      </c>
      <c r="BQ11" s="156">
        <f>'Short-sea (Hydrogen)'!M293</f>
        <v>2.9878618113912231E-4</v>
      </c>
      <c r="BR11" s="156">
        <f>'Short-sea (Ammonia)'!M293</f>
        <v>2.9878618113912231E-4</v>
      </c>
      <c r="BS11" s="156">
        <f>'Short-sea (Methanol)'!M293</f>
        <v>4.305425874053325E-4</v>
      </c>
      <c r="BT11" s="156">
        <f>'Short-sea (HFO)'!M402</f>
        <v>4.305425874053325E-4</v>
      </c>
      <c r="BU11" s="156">
        <f>'Short-sea (MGO)'!M402</f>
        <v>4.305425874053325E-4</v>
      </c>
      <c r="BV11" s="156">
        <f>'Short-sea (Hydrogen)'!M402</f>
        <v>2.9878618113912231E-4</v>
      </c>
      <c r="BW11" s="156">
        <f>'Short-sea (Ammonia)'!M402</f>
        <v>2.9878618113912231E-4</v>
      </c>
      <c r="BX11" s="156">
        <f>'Short-sea (Methanol)'!M402</f>
        <v>4.305425874053325E-4</v>
      </c>
      <c r="BY11" s="156">
        <f>'Railway (Diesel)'!M79</f>
        <v>2.6260504201680674E-3</v>
      </c>
      <c r="BZ11" s="156">
        <f>'Railway (Catenary)'!M79</f>
        <v>1.6256502601040416E-3</v>
      </c>
      <c r="CA11" s="156">
        <f>'Railway (Battery)'!M79</f>
        <v>2.7152291126929309E-3</v>
      </c>
      <c r="CB11" s="156">
        <f>'Railway (Hydrogen)'!M79</f>
        <v>2.5777082888133671E-3</v>
      </c>
      <c r="CC11" s="156">
        <f>'Railway (Diesel)'!M185</f>
        <v>2.6260504201680674E-3</v>
      </c>
      <c r="CD11" s="156">
        <f>'Railway (Catenary)'!M185</f>
        <v>1.6256502601040416E-3</v>
      </c>
      <c r="CE11" s="156">
        <f>'Railway (Battery)'!M185</f>
        <v>2.7152291126929309E-3</v>
      </c>
      <c r="CF11" s="156">
        <f>'Railway (Hydrogen)'!M185</f>
        <v>2.5777082888133671E-3</v>
      </c>
      <c r="CG11" s="156">
        <f>'Railway (Diesel)'!M293</f>
        <v>2.6260504201680674E-3</v>
      </c>
      <c r="CH11" s="156">
        <f>'Railway (Catenary)'!M293</f>
        <v>1.6256502601040416E-3</v>
      </c>
      <c r="CI11" s="156">
        <f>'Railway (Battery)'!M293</f>
        <v>2.7152291126929309E-3</v>
      </c>
      <c r="CJ11" s="156">
        <f>'Railway (Hydrogen)'!M293</f>
        <v>2.5777082888133671E-3</v>
      </c>
      <c r="CK11" s="156">
        <f>'Railway (Diesel)'!M402</f>
        <v>2.6260504201680674E-3</v>
      </c>
      <c r="CL11" s="156">
        <f>'Railway (Catenary)'!M402</f>
        <v>1.6256502601040416E-3</v>
      </c>
      <c r="CM11" s="156">
        <f>'Railway (Battery)'!M402</f>
        <v>2.7152291126929309E-3</v>
      </c>
      <c r="CN11" s="156">
        <f>'Railway (Hydrogen)'!M402</f>
        <v>2.5777082888133671E-3</v>
      </c>
      <c r="CO11" s="156">
        <f>'Railway (Diesel)'!M507</f>
        <v>2.1008403361344541E-3</v>
      </c>
      <c r="CP11" s="156">
        <f>'Railway (Catenary)'!M507</f>
        <v>1.3005202080832333E-3</v>
      </c>
      <c r="CQ11" s="156">
        <f>'Railway (Battery)'!M507</f>
        <v>2.1721832901543448E-3</v>
      </c>
      <c r="CR11" s="156">
        <f>'Railway (Hydrogen)'!M507</f>
        <v>2.0621666310506933E-3</v>
      </c>
      <c r="CS11" s="156">
        <f>'Semi-trailer truck (Diesel)'!M79</f>
        <v>1.4545454545454545E-2</v>
      </c>
      <c r="CT11" s="156">
        <f>'Semi-trailer truck (Battery)'!M79</f>
        <v>1.0909090909090908E-2</v>
      </c>
      <c r="CU11" s="156">
        <f>'Semi-trailer truck (Hydrogen)'!M79</f>
        <v>1.474292064798436E-2</v>
      </c>
      <c r="CV11" s="156">
        <f>'Semi-trailer truck (Diesel)'!M185</f>
        <v>7.2727272727272727E-3</v>
      </c>
      <c r="CW11" s="156">
        <f>'Semi-trailer truck (Battery)'!M185</f>
        <v>5.4545454545454541E-3</v>
      </c>
      <c r="CX11" s="156">
        <f>'Semi-trailer truck (Hydrogen)'!M185</f>
        <v>7.3714603239921801E-3</v>
      </c>
      <c r="CY11" s="156">
        <f>'Semi-trailer truck (Diesel)'!M293</f>
        <v>7.619047619047619E-3</v>
      </c>
      <c r="CZ11" s="156">
        <f>'Semi-trailer truck (Battery)'!M293</f>
        <v>5.7142857142857143E-3</v>
      </c>
      <c r="DA11" s="156">
        <f>'Semi-trailer truck (Hydrogen)'!M293</f>
        <v>7.7224822441822839E-3</v>
      </c>
      <c r="DB11" s="156">
        <f>'Semi-trailer truck (Diesel)'!M402</f>
        <v>1.0256410256410255E-2</v>
      </c>
      <c r="DC11" s="156">
        <f>'Semi-trailer truck (Battery)'!M402</f>
        <v>7.6923076923076927E-3</v>
      </c>
      <c r="DD11" s="156">
        <f>'Semi-trailer truck (Hydrogen)'!M402</f>
        <v>1.0395649174860766E-2</v>
      </c>
      <c r="DE11" s="156">
        <f>'Semi-trailer truck (Diesel)'!M507</f>
        <v>8.8888888888888889E-3</v>
      </c>
      <c r="DF11" s="156">
        <f>'Semi-trailer truck (Battery)'!M507</f>
        <v>6.6666666666666662E-3</v>
      </c>
      <c r="DG11" s="156">
        <f>'Semi-trailer truck (Hydrogen)'!M507</f>
        <v>9.0095626182126638E-3</v>
      </c>
      <c r="DH11" s="157">
        <f>'Short-sea (HFO)'!AC79</f>
        <v>4.305425874053325E-4</v>
      </c>
      <c r="DI11" s="156">
        <f>'Short-sea (MGO)'!AC79</f>
        <v>4.305425874053325E-4</v>
      </c>
      <c r="DJ11" s="156">
        <f>'Short-sea (Hydrogen)'!AC79</f>
        <v>2.9878618113912231E-4</v>
      </c>
      <c r="DK11" s="156">
        <f>'Short-sea (Ammonia)'!AC79</f>
        <v>2.9878618113912231E-4</v>
      </c>
      <c r="DL11" s="156">
        <f>'Short-sea (Methanol)'!AC79</f>
        <v>4.305425874053325E-4</v>
      </c>
      <c r="DM11" s="154">
        <f>'Short-sea (HFO)'!AC185</f>
        <v>4.305425874053325E-4</v>
      </c>
      <c r="DN11" s="156">
        <f>'Short-sea (MGO)'!AC185</f>
        <v>4.305425874053325E-4</v>
      </c>
      <c r="DO11" s="156">
        <f>'Short-sea (Hydrogen)'!AC185</f>
        <v>2.9878618113912231E-4</v>
      </c>
      <c r="DP11" s="156">
        <f>'Short-sea (Ammonia)'!AC185</f>
        <v>2.9878618113912231E-4</v>
      </c>
      <c r="DQ11" s="156">
        <f>'Short-sea (Methanol)'!AC185</f>
        <v>4.305425874053325E-4</v>
      </c>
      <c r="DR11" s="156">
        <f>'Short-sea (HFO)'!AC293</f>
        <v>4.305425874053325E-4</v>
      </c>
      <c r="DS11" s="156">
        <f>'Short-sea (MGO)'!AC293</f>
        <v>4.305425874053325E-4</v>
      </c>
      <c r="DT11" s="156">
        <f>'Short-sea (Hydrogen)'!AC293</f>
        <v>2.9878618113912231E-4</v>
      </c>
      <c r="DU11" s="156">
        <f>'Short-sea (Ammonia)'!AC293</f>
        <v>2.9878618113912231E-4</v>
      </c>
      <c r="DV11" s="156">
        <f>'Short-sea (Methanol)'!AC293</f>
        <v>4.305425874053325E-4</v>
      </c>
      <c r="DW11" s="156">
        <f>'Short-sea (HFO)'!AC402</f>
        <v>4.305425874053325E-4</v>
      </c>
      <c r="DX11" s="156">
        <f>'Short-sea (MGO)'!AC402</f>
        <v>4.305425874053325E-4</v>
      </c>
      <c r="DY11" s="156">
        <f>'Short-sea (Hydrogen)'!AC402</f>
        <v>2.9878618113912231E-4</v>
      </c>
      <c r="DZ11" s="156">
        <f>'Short-sea (Ammonia)'!AC402</f>
        <v>2.9878618113912231E-4</v>
      </c>
      <c r="EA11" s="156">
        <f>'Short-sea (Methanol)'!AC402</f>
        <v>4.305425874053325E-4</v>
      </c>
      <c r="EB11" s="156">
        <f>'Railway (Diesel)'!AC79</f>
        <v>2.6260504201680674E-3</v>
      </c>
      <c r="EC11" s="156">
        <f>'Railway (Catenary)'!AC79</f>
        <v>1.6256502601040416E-3</v>
      </c>
      <c r="ED11" s="156">
        <f>'Railway (Battery)'!AC79</f>
        <v>2.0347764046985059E-3</v>
      </c>
      <c r="EE11" s="156">
        <f>'Railway (Hydrogen)'!AC79</f>
        <v>1.4052359304229719E-3</v>
      </c>
      <c r="EF11" s="156">
        <f>'Railway (Diesel)'!AC185</f>
        <v>2.6260504201680674E-3</v>
      </c>
      <c r="EG11" s="156">
        <f>'Railway (Catenary)'!AC185</f>
        <v>1.6256502601040416E-3</v>
      </c>
      <c r="EH11" s="156">
        <f>'Railway (Battery)'!AC185</f>
        <v>2.0347764046985059E-3</v>
      </c>
      <c r="EI11" s="156">
        <f>'Railway (Hydrogen)'!AC185</f>
        <v>1.4052359304229719E-3</v>
      </c>
      <c r="EJ11" s="156">
        <f>'Railway (Diesel)'!AC293</f>
        <v>2.6260504201680674E-3</v>
      </c>
      <c r="EK11" s="156">
        <f>'Railway (Catenary)'!AC293</f>
        <v>1.6256502601040416E-3</v>
      </c>
      <c r="EL11" s="156">
        <f>'Railway (Battery)'!AC293</f>
        <v>2.0347764046985059E-3</v>
      </c>
      <c r="EM11" s="156">
        <f>'Railway (Hydrogen)'!AC293</f>
        <v>1.4052359304229719E-3</v>
      </c>
      <c r="EN11" s="156">
        <f>'Railway (Diesel)'!AC402</f>
        <v>2.6260504201680674E-3</v>
      </c>
      <c r="EO11" s="156">
        <f>'Railway (Catenary)'!AC402</f>
        <v>1.6256502601040416E-3</v>
      </c>
      <c r="EP11" s="156">
        <f>'Railway (Battery)'!AC402</f>
        <v>2.0347764046985059E-3</v>
      </c>
      <c r="EQ11" s="156">
        <f>'Railway (Hydrogen)'!AC402</f>
        <v>1.4052359304229719E-3</v>
      </c>
      <c r="ER11" s="156">
        <f>'Railway (Diesel)'!AC507</f>
        <v>2.1008403361344541E-3</v>
      </c>
      <c r="ES11" s="156">
        <f>'Railway (Catenary)'!AC507</f>
        <v>1.3005202080832333E-3</v>
      </c>
      <c r="ET11" s="156">
        <f>'Railway (Battery)'!AC507</f>
        <v>1.6278211237588046E-3</v>
      </c>
      <c r="EU11" s="156">
        <f>'Railway (Hydrogen)'!AC507</f>
        <v>1.1241887443383775E-3</v>
      </c>
      <c r="EV11" s="156">
        <f>'Semi-trailer truck (Diesel)'!AC79</f>
        <v>1.4545454545454545E-2</v>
      </c>
      <c r="EW11" s="156">
        <f>'Semi-trailer truck (Battery)'!AC79</f>
        <v>1.0909090909090908E-2</v>
      </c>
      <c r="EX11" s="156">
        <f>'Semi-trailer truck (Hydrogen)'!AC79</f>
        <v>1.3094815714923418E-2</v>
      </c>
      <c r="EY11" s="156">
        <f>'Semi-trailer truck (Diesel)'!AC185</f>
        <v>7.2727272727272727E-3</v>
      </c>
      <c r="EZ11" s="156">
        <f>'Semi-trailer truck (Battery)'!AC185</f>
        <v>5.4545454545454541E-3</v>
      </c>
      <c r="FA11" s="156">
        <f>'Semi-trailer truck (Hydrogen)'!AC185</f>
        <v>6.5474078574617092E-3</v>
      </c>
      <c r="FB11" s="156">
        <f>'Semi-trailer truck (Diesel)'!AC293</f>
        <v>7.619047619047619E-3</v>
      </c>
      <c r="FC11" s="156">
        <f>'Semi-trailer truck (Battery)'!AC293</f>
        <v>5.7142857142857143E-3</v>
      </c>
      <c r="FD11" s="156">
        <f>'Semi-trailer truck (Hydrogen)'!AC293</f>
        <v>6.8591891840075045E-3</v>
      </c>
      <c r="FE11" s="156">
        <f>'Semi-trailer truck (Diesel)'!AC402</f>
        <v>1.0256410256410255E-2</v>
      </c>
      <c r="FF11" s="156">
        <f>'Semi-trailer truck (Battery)'!AC402</f>
        <v>7.6923076923076927E-3</v>
      </c>
      <c r="FG11" s="156">
        <f>'Semi-trailer truck (Hydrogen)'!AC402</f>
        <v>9.2335239015485654E-3</v>
      </c>
      <c r="FH11" s="156">
        <f>'Semi-trailer truck (Diesel)'!AC507</f>
        <v>8.8888888888888889E-3</v>
      </c>
      <c r="FI11" s="156">
        <f>'Semi-trailer truck (Battery)'!AC507</f>
        <v>6.6666666666666662E-3</v>
      </c>
      <c r="FJ11" s="156">
        <f>'Semi-trailer truck (Hydrogen)'!AC507</f>
        <v>8.0023873813420895E-3</v>
      </c>
      <c r="FK11" s="156"/>
      <c r="FL11" s="156"/>
      <c r="FM11" s="156"/>
      <c r="FN11" s="156"/>
      <c r="FP11" s="156"/>
      <c r="FQ11" s="156"/>
      <c r="FR11" s="156"/>
    </row>
    <row r="12" spans="1:174" x14ac:dyDescent="0.25">
      <c r="A12" s="154" t="s">
        <v>262</v>
      </c>
      <c r="B12" s="157">
        <f>'Short-sea (HFO)'!B80</f>
        <v>8.9502842587904882E-5</v>
      </c>
      <c r="C12" s="156">
        <f>'Short-sea (MGO)'!B80</f>
        <v>8.9502842587904882E-5</v>
      </c>
      <c r="D12" s="156">
        <f>'Short-sea (Hydrogen)'!B80</f>
        <v>8.9502842587904882E-5</v>
      </c>
      <c r="E12" s="156">
        <f>'Short-sea (Ammonia)'!B80</f>
        <v>8.9502842587904882E-5</v>
      </c>
      <c r="F12" s="156">
        <f>'Short-sea (Methanol)'!B80</f>
        <v>8.9502842587904882E-5</v>
      </c>
      <c r="G12" s="154">
        <f>'Short-sea (HFO)'!B186</f>
        <v>1.7869725535414797E-4</v>
      </c>
      <c r="H12" s="156">
        <f>'Short-sea (MGO)'!B186</f>
        <v>1.7869725535414797E-4</v>
      </c>
      <c r="I12" s="156">
        <f>'Short-sea (Hydrogen)'!B186</f>
        <v>1.7869725535414797E-4</v>
      </c>
      <c r="J12" s="156">
        <f>'Short-sea (Ammonia)'!B186</f>
        <v>1.7869725535414797E-4</v>
      </c>
      <c r="K12" s="156">
        <f>'Short-sea (Methanol)'!B186</f>
        <v>1.7869725535414797E-4</v>
      </c>
      <c r="L12" s="156">
        <f>'Short-sea (HFO)'!B294</f>
        <v>8.6011184229469056E-5</v>
      </c>
      <c r="M12" s="156">
        <f>'Short-sea (MGO)'!B294</f>
        <v>8.6011184229469056E-5</v>
      </c>
      <c r="N12" s="156">
        <f>'Short-sea (Hydrogen)'!B294</f>
        <v>8.6011184229469056E-5</v>
      </c>
      <c r="O12" s="156">
        <f>'Short-sea (Ammonia)'!B294</f>
        <v>8.6011184229469056E-5</v>
      </c>
      <c r="P12" s="156">
        <f>'Short-sea (Methanol)'!B294</f>
        <v>8.6011184229469056E-5</v>
      </c>
      <c r="Q12" s="156">
        <f>'Short-sea (HFO)'!B403</f>
        <v>8.6011184229469056E-5</v>
      </c>
      <c r="R12" s="156">
        <f>'Short-sea (MGO)'!B403</f>
        <v>8.6011184229469056E-5</v>
      </c>
      <c r="S12" s="156">
        <f>'Short-sea (Hydrogen)'!B403</f>
        <v>8.6011184229469056E-5</v>
      </c>
      <c r="T12" s="156">
        <f>'Short-sea (Ammonia)'!B403</f>
        <v>8.6011184229469056E-5</v>
      </c>
      <c r="U12" s="156">
        <f>'Short-sea (Methanol)'!B403</f>
        <v>8.6011184229469056E-5</v>
      </c>
      <c r="V12" s="156">
        <f>'Railway (Diesel)'!B80</f>
        <v>1.7507002801120447E-3</v>
      </c>
      <c r="W12" s="156">
        <f>'Railway (Catenary)'!B80</f>
        <v>1.7507002801120447E-3</v>
      </c>
      <c r="X12" s="156">
        <f>'Railway (Battery)'!B80</f>
        <v>1.7507002801120447E-3</v>
      </c>
      <c r="Y12" s="156">
        <f>'Railway (Hydrogen)'!B80</f>
        <v>1.7507002801120447E-3</v>
      </c>
      <c r="Z12" s="156">
        <f>'Railway (Diesel)'!B186</f>
        <v>1.6256502601040416E-3</v>
      </c>
      <c r="AA12" s="156">
        <f>'Railway (Catenary)'!B186</f>
        <v>1.6256502601040416E-3</v>
      </c>
      <c r="AB12" s="156">
        <f>'Railway (Battery)'!B186</f>
        <v>1.6256502601040416E-3</v>
      </c>
      <c r="AC12" s="156">
        <f>'Railway (Hydrogen)'!B186</f>
        <v>1.6256502601040416E-3</v>
      </c>
      <c r="AD12" s="156">
        <f>'Railway (Diesel)'!B294</f>
        <v>1.6256502601040416E-3</v>
      </c>
      <c r="AE12" s="156">
        <f>'Railway (Catenary)'!B294</f>
        <v>1.6256502601040416E-3</v>
      </c>
      <c r="AF12" s="156">
        <f>'Railway (Battery)'!B294</f>
        <v>1.6256502601040416E-3</v>
      </c>
      <c r="AG12" s="156">
        <f>'Railway (Hydrogen)'!B294</f>
        <v>1.6256502601040416E-3</v>
      </c>
      <c r="AH12" s="156">
        <f>'Railway (Diesel)'!B403</f>
        <v>4.0016006402561026E-3</v>
      </c>
      <c r="AI12" s="156">
        <f>'Railway (Catenary)'!B403</f>
        <v>4.0016006402561026E-3</v>
      </c>
      <c r="AJ12" s="156">
        <f>'Railway (Battery)'!B403</f>
        <v>4.0016006402561026E-3</v>
      </c>
      <c r="AK12" s="156">
        <f>'Railway (Hydrogen)'!B403</f>
        <v>4.0016006402561026E-3</v>
      </c>
      <c r="AL12" s="156">
        <f>'Railway (Diesel)'!B508</f>
        <v>1.4005602240896359E-3</v>
      </c>
      <c r="AM12" s="156">
        <f>'Railway (Catenary)'!B508</f>
        <v>1.4005602240896359E-3</v>
      </c>
      <c r="AN12" s="156">
        <f>'Railway (Battery)'!B508</f>
        <v>1.4005602240896359E-3</v>
      </c>
      <c r="AO12" s="156">
        <f>'Railway (Hydrogen)'!B508</f>
        <v>1.4005602240896359E-3</v>
      </c>
      <c r="AP12" s="156">
        <f>'Semi-trailer truck (Diesel)'!B80</f>
        <v>4.4000000000000003E-3</v>
      </c>
      <c r="AQ12" s="156">
        <f>'Semi-trailer truck (Battery)'!B80</f>
        <v>4.4000000000000003E-3</v>
      </c>
      <c r="AR12" s="156">
        <f>'Semi-trailer truck (Hydrogen)'!B80</f>
        <v>4.4000000000000003E-3</v>
      </c>
      <c r="AS12" s="156">
        <f>'Semi-trailer truck (Diesel)'!B186</f>
        <v>4.4000000000000003E-3</v>
      </c>
      <c r="AT12" s="156">
        <f>'Semi-trailer truck (Battery)'!B186</f>
        <v>4.4000000000000003E-3</v>
      </c>
      <c r="AU12" s="156">
        <f>'Semi-trailer truck (Hydrogen)'!B186</f>
        <v>4.4000000000000003E-3</v>
      </c>
      <c r="AV12" s="156">
        <f>'Semi-trailer truck (Diesel)'!B294</f>
        <v>4.4000000000000003E-3</v>
      </c>
      <c r="AW12" s="156">
        <f>'Semi-trailer truck (Battery)'!B294</f>
        <v>4.4000000000000003E-3</v>
      </c>
      <c r="AX12" s="156">
        <f>'Semi-trailer truck (Hydrogen)'!B294</f>
        <v>4.4000000000000003E-3</v>
      </c>
      <c r="AY12" s="156">
        <f>'Semi-trailer truck (Diesel)'!B403</f>
        <v>4.4000000000000003E-3</v>
      </c>
      <c r="AZ12" s="156">
        <f>'Semi-trailer truck (Battery)'!B403</f>
        <v>4.4000000000000003E-3</v>
      </c>
      <c r="BA12" s="156">
        <f>'Semi-trailer truck (Hydrogen)'!B403</f>
        <v>4.4000000000000003E-3</v>
      </c>
      <c r="BB12" s="156">
        <f>'Semi-trailer truck (Diesel)'!B508</f>
        <v>4.4000000000000003E-3</v>
      </c>
      <c r="BC12" s="156">
        <f>'Semi-trailer truck (Battery)'!B508</f>
        <v>4.4000000000000003E-3</v>
      </c>
      <c r="BD12" s="156">
        <f>'Semi-trailer truck (Hydrogen)'!B508</f>
        <v>4.4000000000000003E-3</v>
      </c>
      <c r="BE12" s="157">
        <f>'Short-sea (HFO)'!M80</f>
        <v>8.9502842587904882E-5</v>
      </c>
      <c r="BF12" s="156">
        <f>'Short-sea (MGO)'!M80</f>
        <v>8.9502842587904882E-5</v>
      </c>
      <c r="BG12" s="156">
        <f>'Short-sea (Hydrogen)'!M80</f>
        <v>8.9502842587904882E-5</v>
      </c>
      <c r="BH12" s="156">
        <f>'Short-sea (Ammonia)'!M80</f>
        <v>8.9502842587904882E-5</v>
      </c>
      <c r="BI12" s="156">
        <f>'Short-sea (Methanol)'!M80</f>
        <v>8.9502842587904882E-5</v>
      </c>
      <c r="BJ12" s="154">
        <f>'Short-sea (HFO)'!M186</f>
        <v>1.7869725535414797E-4</v>
      </c>
      <c r="BK12" s="156">
        <f>'Short-sea (MGO)'!M186</f>
        <v>1.7869725535414797E-4</v>
      </c>
      <c r="BL12" s="156">
        <f>'Short-sea (Hydrogen)'!M186</f>
        <v>1.7869725535414797E-4</v>
      </c>
      <c r="BM12" s="156">
        <f>'Short-sea (Ammonia)'!M186</f>
        <v>1.7869725535414797E-4</v>
      </c>
      <c r="BN12" s="156">
        <f>'Short-sea (Methanol)'!M186</f>
        <v>1.7869725535414797E-4</v>
      </c>
      <c r="BO12" s="156">
        <f>'Short-sea (HFO)'!M294</f>
        <v>8.6011184229469056E-5</v>
      </c>
      <c r="BP12" s="156">
        <f>'Short-sea (MGO)'!M294</f>
        <v>8.6011184229469056E-5</v>
      </c>
      <c r="BQ12" s="156">
        <f>'Short-sea (Hydrogen)'!M294</f>
        <v>8.6011184229469056E-5</v>
      </c>
      <c r="BR12" s="156">
        <f>'Short-sea (Ammonia)'!M294</f>
        <v>8.6011184229469056E-5</v>
      </c>
      <c r="BS12" s="156">
        <f>'Short-sea (Methanol)'!M294</f>
        <v>8.6011184229469056E-5</v>
      </c>
      <c r="BT12" s="156">
        <f>'Short-sea (HFO)'!M403</f>
        <v>8.6011184229469056E-5</v>
      </c>
      <c r="BU12" s="156">
        <f>'Short-sea (MGO)'!M403</f>
        <v>8.6011184229469056E-5</v>
      </c>
      <c r="BV12" s="156">
        <f>'Short-sea (Hydrogen)'!M403</f>
        <v>8.6011184229469056E-5</v>
      </c>
      <c r="BW12" s="156">
        <f>'Short-sea (Ammonia)'!M403</f>
        <v>8.6011184229469056E-5</v>
      </c>
      <c r="BX12" s="156">
        <f>'Short-sea (Methanol)'!M403</f>
        <v>8.6011184229469056E-5</v>
      </c>
      <c r="BY12" s="156">
        <f>'Railway (Diesel)'!M80</f>
        <v>1.7507002801120447E-3</v>
      </c>
      <c r="BZ12" s="156">
        <f>'Railway (Catenary)'!M80</f>
        <v>1.7507002801120447E-3</v>
      </c>
      <c r="CA12" s="156">
        <f>'Railway (Battery)'!M80</f>
        <v>1.7507002801120447E-3</v>
      </c>
      <c r="CB12" s="156">
        <f>'Railway (Hydrogen)'!M80</f>
        <v>1.7507002801120447E-3</v>
      </c>
      <c r="CC12" s="156">
        <f>'Railway (Diesel)'!M186</f>
        <v>1.6256502601040416E-3</v>
      </c>
      <c r="CD12" s="156">
        <f>'Railway (Catenary)'!M186</f>
        <v>1.6256502601040416E-3</v>
      </c>
      <c r="CE12" s="156">
        <f>'Railway (Battery)'!M186</f>
        <v>1.6256502601040416E-3</v>
      </c>
      <c r="CF12" s="156">
        <f>'Railway (Hydrogen)'!M186</f>
        <v>1.6256502601040416E-3</v>
      </c>
      <c r="CG12" s="156">
        <f>'Railway (Diesel)'!M294</f>
        <v>1.6256502601040416E-3</v>
      </c>
      <c r="CH12" s="156">
        <f>'Railway (Catenary)'!M294</f>
        <v>1.6256502601040416E-3</v>
      </c>
      <c r="CI12" s="156">
        <f>'Railway (Battery)'!M294</f>
        <v>1.6256502601040416E-3</v>
      </c>
      <c r="CJ12" s="156">
        <f>'Railway (Hydrogen)'!M294</f>
        <v>1.6256502601040416E-3</v>
      </c>
      <c r="CK12" s="156">
        <f>'Railway (Diesel)'!M403</f>
        <v>4.0016006402561026E-3</v>
      </c>
      <c r="CL12" s="156">
        <f>'Railway (Catenary)'!M403</f>
        <v>4.0016006402561026E-3</v>
      </c>
      <c r="CM12" s="156">
        <f>'Railway (Battery)'!M403</f>
        <v>4.0016006402561026E-3</v>
      </c>
      <c r="CN12" s="156">
        <f>'Railway (Hydrogen)'!M403</f>
        <v>4.0016006402561026E-3</v>
      </c>
      <c r="CO12" s="156">
        <f>'Railway (Diesel)'!M508</f>
        <v>1.4005602240896359E-3</v>
      </c>
      <c r="CP12" s="156">
        <f>'Railway (Catenary)'!M508</f>
        <v>1.4005602240896359E-3</v>
      </c>
      <c r="CQ12" s="156">
        <f>'Railway (Battery)'!M508</f>
        <v>1.4005602240896359E-3</v>
      </c>
      <c r="CR12" s="156">
        <f>'Railway (Hydrogen)'!M508</f>
        <v>1.4005602240896359E-3</v>
      </c>
      <c r="CS12" s="156">
        <f>'Semi-trailer truck (Diesel)'!M80</f>
        <v>4.4000000000000003E-3</v>
      </c>
      <c r="CT12" s="156">
        <f>'Semi-trailer truck (Battery)'!M80</f>
        <v>4.4000000000000003E-3</v>
      </c>
      <c r="CU12" s="156">
        <f>'Semi-trailer truck (Hydrogen)'!M80</f>
        <v>4.4000000000000003E-3</v>
      </c>
      <c r="CV12" s="156">
        <f>'Semi-trailer truck (Diesel)'!M186</f>
        <v>4.4000000000000003E-3</v>
      </c>
      <c r="CW12" s="156">
        <f>'Semi-trailer truck (Battery)'!M186</f>
        <v>4.4000000000000003E-3</v>
      </c>
      <c r="CX12" s="156">
        <f>'Semi-trailer truck (Hydrogen)'!M186</f>
        <v>4.4000000000000003E-3</v>
      </c>
      <c r="CY12" s="156">
        <f>'Semi-trailer truck (Diesel)'!M294</f>
        <v>4.4000000000000003E-3</v>
      </c>
      <c r="CZ12" s="156">
        <f>'Semi-trailer truck (Battery)'!M294</f>
        <v>4.4000000000000003E-3</v>
      </c>
      <c r="DA12" s="156">
        <f>'Semi-trailer truck (Hydrogen)'!M294</f>
        <v>4.4000000000000003E-3</v>
      </c>
      <c r="DB12" s="156">
        <f>'Semi-trailer truck (Diesel)'!M403</f>
        <v>4.4000000000000003E-3</v>
      </c>
      <c r="DC12" s="156">
        <f>'Semi-trailer truck (Battery)'!M403</f>
        <v>4.4000000000000003E-3</v>
      </c>
      <c r="DD12" s="156">
        <f>'Semi-trailer truck (Hydrogen)'!M403</f>
        <v>4.4000000000000003E-3</v>
      </c>
      <c r="DE12" s="156">
        <f>'Semi-trailer truck (Diesel)'!M508</f>
        <v>4.4000000000000003E-3</v>
      </c>
      <c r="DF12" s="156">
        <f>'Semi-trailer truck (Battery)'!M508</f>
        <v>4.4000000000000003E-3</v>
      </c>
      <c r="DG12" s="156">
        <f>'Semi-trailer truck (Hydrogen)'!M508</f>
        <v>4.4000000000000003E-3</v>
      </c>
      <c r="DH12" s="157">
        <f>'Short-sea (HFO)'!AC80</f>
        <v>8.9502842587904882E-5</v>
      </c>
      <c r="DI12" s="156">
        <f>'Short-sea (MGO)'!AC80</f>
        <v>8.9502842587904882E-5</v>
      </c>
      <c r="DJ12" s="156">
        <f>'Short-sea (Hydrogen)'!AC80</f>
        <v>8.9502842587904882E-5</v>
      </c>
      <c r="DK12" s="156">
        <f>'Short-sea (Ammonia)'!AC80</f>
        <v>8.9502842587904882E-5</v>
      </c>
      <c r="DL12" s="156">
        <f>'Short-sea (Methanol)'!AC80</f>
        <v>8.9502842587904882E-5</v>
      </c>
      <c r="DM12" s="154">
        <f>'Short-sea (HFO)'!AC186</f>
        <v>1.7869725535414797E-4</v>
      </c>
      <c r="DN12" s="156">
        <f>'Short-sea (MGO)'!AC186</f>
        <v>1.7869725535414797E-4</v>
      </c>
      <c r="DO12" s="156">
        <f>'Short-sea (Hydrogen)'!AC186</f>
        <v>1.7869725535414797E-4</v>
      </c>
      <c r="DP12" s="156">
        <f>'Short-sea (Ammonia)'!AC186</f>
        <v>1.7869725535414797E-4</v>
      </c>
      <c r="DQ12" s="156">
        <f>'Short-sea (Methanol)'!AC186</f>
        <v>1.7869725535414797E-4</v>
      </c>
      <c r="DR12" s="156">
        <f>'Short-sea (HFO)'!AC294</f>
        <v>8.6011184229469056E-5</v>
      </c>
      <c r="DS12" s="156">
        <f>'Short-sea (MGO)'!AC294</f>
        <v>8.6011184229469056E-5</v>
      </c>
      <c r="DT12" s="156">
        <f>'Short-sea (Hydrogen)'!AC294</f>
        <v>8.6011184229469056E-5</v>
      </c>
      <c r="DU12" s="156">
        <f>'Short-sea (Ammonia)'!AC294</f>
        <v>8.6011184229469056E-5</v>
      </c>
      <c r="DV12" s="156">
        <f>'Short-sea (Methanol)'!AC294</f>
        <v>8.6011184229469056E-5</v>
      </c>
      <c r="DW12" s="156">
        <f>'Short-sea (HFO)'!AC403</f>
        <v>8.6011184229469056E-5</v>
      </c>
      <c r="DX12" s="156">
        <f>'Short-sea (MGO)'!AC403</f>
        <v>8.6011184229469056E-5</v>
      </c>
      <c r="DY12" s="156">
        <f>'Short-sea (Hydrogen)'!AC403</f>
        <v>8.6011184229469056E-5</v>
      </c>
      <c r="DZ12" s="156">
        <f>'Short-sea (Ammonia)'!AC403</f>
        <v>8.6011184229469056E-5</v>
      </c>
      <c r="EA12" s="156">
        <f>'Short-sea (Methanol)'!AC403</f>
        <v>8.6011184229469056E-5</v>
      </c>
      <c r="EB12" s="156">
        <f>'Railway (Diesel)'!AC80</f>
        <v>1.7507002801120447E-3</v>
      </c>
      <c r="EC12" s="156">
        <f>'Railway (Catenary)'!AC80</f>
        <v>1.7507002801120447E-3</v>
      </c>
      <c r="ED12" s="156">
        <f>'Railway (Battery)'!AC80</f>
        <v>1.7507002801120447E-3</v>
      </c>
      <c r="EE12" s="156">
        <f>'Railway (Hydrogen)'!AC80</f>
        <v>1.7507002801120447E-3</v>
      </c>
      <c r="EF12" s="156">
        <f>'Railway (Diesel)'!AC186</f>
        <v>1.6256502601040416E-3</v>
      </c>
      <c r="EG12" s="156">
        <f>'Railway (Catenary)'!AC186</f>
        <v>1.6256502601040416E-3</v>
      </c>
      <c r="EH12" s="156">
        <f>'Railway (Battery)'!AC186</f>
        <v>1.6256502601040416E-3</v>
      </c>
      <c r="EI12" s="156">
        <f>'Railway (Hydrogen)'!AC186</f>
        <v>1.6256502601040416E-3</v>
      </c>
      <c r="EJ12" s="156">
        <f>'Railway (Diesel)'!AC294</f>
        <v>1.6256502601040416E-3</v>
      </c>
      <c r="EK12" s="156">
        <f>'Railway (Catenary)'!AC294</f>
        <v>1.6256502601040416E-3</v>
      </c>
      <c r="EL12" s="156">
        <f>'Railway (Battery)'!AC294</f>
        <v>1.6256502601040416E-3</v>
      </c>
      <c r="EM12" s="156">
        <f>'Railway (Hydrogen)'!AC294</f>
        <v>1.6256502601040416E-3</v>
      </c>
      <c r="EN12" s="156">
        <f>'Railway (Diesel)'!AC403</f>
        <v>4.0016006402561026E-3</v>
      </c>
      <c r="EO12" s="156">
        <f>'Railway (Catenary)'!AC403</f>
        <v>4.0016006402561026E-3</v>
      </c>
      <c r="EP12" s="156">
        <f>'Railway (Battery)'!AC403</f>
        <v>4.0016006402561026E-3</v>
      </c>
      <c r="EQ12" s="156">
        <f>'Railway (Hydrogen)'!AC403</f>
        <v>4.0016006402561026E-3</v>
      </c>
      <c r="ER12" s="156">
        <f>'Railway (Diesel)'!AC508</f>
        <v>1.4005602240896359E-3</v>
      </c>
      <c r="ES12" s="156">
        <f>'Railway (Catenary)'!AC508</f>
        <v>1.4005602240896359E-3</v>
      </c>
      <c r="ET12" s="156">
        <f>'Railway (Battery)'!AC508</f>
        <v>1.4005602240896359E-3</v>
      </c>
      <c r="EU12" s="156">
        <f>'Railway (Hydrogen)'!AC508</f>
        <v>1.4005602240896359E-3</v>
      </c>
      <c r="EV12" s="156">
        <f>'Semi-trailer truck (Diesel)'!AC80</f>
        <v>4.4000000000000003E-3</v>
      </c>
      <c r="EW12" s="156">
        <f>'Semi-trailer truck (Battery)'!AC80</f>
        <v>4.4000000000000003E-3</v>
      </c>
      <c r="EX12" s="156">
        <f>'Semi-trailer truck (Hydrogen)'!AC80</f>
        <v>4.4000000000000003E-3</v>
      </c>
      <c r="EY12" s="156">
        <f>'Semi-trailer truck (Diesel)'!AC186</f>
        <v>4.4000000000000003E-3</v>
      </c>
      <c r="EZ12" s="156">
        <f>'Semi-trailer truck (Battery)'!AC186</f>
        <v>4.4000000000000003E-3</v>
      </c>
      <c r="FA12" s="156">
        <f>'Semi-trailer truck (Hydrogen)'!AC186</f>
        <v>4.4000000000000003E-3</v>
      </c>
      <c r="FB12" s="156">
        <f>'Semi-trailer truck (Diesel)'!AC294</f>
        <v>4.4000000000000003E-3</v>
      </c>
      <c r="FC12" s="156">
        <f>'Semi-trailer truck (Battery)'!AC294</f>
        <v>4.4000000000000003E-3</v>
      </c>
      <c r="FD12" s="156">
        <f>'Semi-trailer truck (Hydrogen)'!AC294</f>
        <v>4.4000000000000003E-3</v>
      </c>
      <c r="FE12" s="156">
        <f>'Semi-trailer truck (Diesel)'!AC403</f>
        <v>4.4000000000000003E-3</v>
      </c>
      <c r="FF12" s="156">
        <f>'Semi-trailer truck (Battery)'!AC403</f>
        <v>4.4000000000000003E-3</v>
      </c>
      <c r="FG12" s="156">
        <f>'Semi-trailer truck (Hydrogen)'!AC403</f>
        <v>4.4000000000000003E-3</v>
      </c>
      <c r="FH12" s="156">
        <f>'Semi-trailer truck (Diesel)'!AC508</f>
        <v>4.4000000000000003E-3</v>
      </c>
      <c r="FI12" s="156">
        <f>'Semi-trailer truck (Battery)'!AC508</f>
        <v>4.4000000000000003E-3</v>
      </c>
      <c r="FJ12" s="156">
        <f>'Semi-trailer truck (Hydrogen)'!AC508</f>
        <v>4.4000000000000003E-3</v>
      </c>
      <c r="FK12" s="156"/>
      <c r="FL12" s="156"/>
      <c r="FM12" s="156"/>
      <c r="FN12" s="156"/>
      <c r="FP12" s="156"/>
      <c r="FQ12" s="156"/>
      <c r="FR12" s="156"/>
    </row>
    <row r="13" spans="1:174" x14ac:dyDescent="0.25">
      <c r="A13" s="154" t="s">
        <v>67</v>
      </c>
      <c r="B13" s="157">
        <f>'Short-sea (HFO)'!B81</f>
        <v>1.7783083301043669E-3</v>
      </c>
      <c r="C13" s="156">
        <f>'Short-sea (MGO)'!B81</f>
        <v>3.9670353002494918E-3</v>
      </c>
      <c r="D13" s="156">
        <f>'Short-sea (Hydrogen)'!B81</f>
        <v>1.2272875676237464E-2</v>
      </c>
      <c r="E13" s="156">
        <f>'Short-sea (Ammonia)'!B81</f>
        <v>1.1281068013309969E-2</v>
      </c>
      <c r="F13" s="156">
        <f>'Short-sea (Methanol)'!B81</f>
        <v>2.4929435480202329E-2</v>
      </c>
      <c r="G13" s="154">
        <f>'Short-sea (HFO)'!B187</f>
        <v>1.7783083301043669E-3</v>
      </c>
      <c r="H13" s="156">
        <f>'Short-sea (MGO)'!B187</f>
        <v>3.9670353002494918E-3</v>
      </c>
      <c r="I13" s="156">
        <f>'Short-sea (Hydrogen)'!B187</f>
        <v>1.2272875676237464E-2</v>
      </c>
      <c r="J13" s="156">
        <f>'Short-sea (Ammonia)'!B187</f>
        <v>1.1281068013309969E-2</v>
      </c>
      <c r="K13" s="156">
        <f>'Short-sea (Methanol)'!B187</f>
        <v>2.4929435480202329E-2</v>
      </c>
      <c r="L13" s="156">
        <f>'Short-sea (HFO)'!B295</f>
        <v>1.7783083301043669E-3</v>
      </c>
      <c r="M13" s="156">
        <f>'Short-sea (MGO)'!B295</f>
        <v>3.9670353002494918E-3</v>
      </c>
      <c r="N13" s="156">
        <f>'Short-sea (Hydrogen)'!B295</f>
        <v>1.2272875676237464E-2</v>
      </c>
      <c r="O13" s="156">
        <f>'Short-sea (Ammonia)'!B295</f>
        <v>1.1281068013309969E-2</v>
      </c>
      <c r="P13" s="156">
        <f>'Short-sea (Methanol)'!B295</f>
        <v>2.4929435480202329E-2</v>
      </c>
      <c r="Q13" s="156">
        <f>'Short-sea (HFO)'!B404</f>
        <v>1.7783083301043669E-3</v>
      </c>
      <c r="R13" s="156">
        <f>'Short-sea (MGO)'!B404</f>
        <v>3.9670353002494918E-3</v>
      </c>
      <c r="S13" s="156">
        <f>'Short-sea (Hydrogen)'!B404</f>
        <v>1.2272875676237464E-2</v>
      </c>
      <c r="T13" s="156">
        <f>'Short-sea (Ammonia)'!B404</f>
        <v>1.1281068013309969E-2</v>
      </c>
      <c r="U13" s="156">
        <f>'Short-sea (Methanol)'!B404</f>
        <v>2.4929435480202329E-2</v>
      </c>
      <c r="V13" s="156">
        <f>'Railway (Diesel)'!B81</f>
        <v>1.9863208475390157E-3</v>
      </c>
      <c r="W13" s="156">
        <f>'Railway (Catenary)'!B81</f>
        <v>1.3290239431595586E-3</v>
      </c>
      <c r="X13" s="156">
        <f>'Railway (Battery)'!B81</f>
        <v>1.4120879396070311E-3</v>
      </c>
      <c r="Y13" s="156">
        <f>'Railway (Hydrogen)'!B81</f>
        <v>4.2873120819145651E-3</v>
      </c>
      <c r="Z13" s="156">
        <f>'Railway (Diesel)'!B187</f>
        <v>1.9863208475390157E-3</v>
      </c>
      <c r="AA13" s="156">
        <f>'Railway (Catenary)'!B187</f>
        <v>1.3290239431595586E-3</v>
      </c>
      <c r="AB13" s="156">
        <f>'Railway (Battery)'!B187</f>
        <v>1.4120879396070311E-3</v>
      </c>
      <c r="AC13" s="156">
        <f>'Railway (Hydrogen)'!B187</f>
        <v>4.2873120819145651E-3</v>
      </c>
      <c r="AD13" s="156">
        <f>'Railway (Diesel)'!B295</f>
        <v>1.9863208475390157E-3</v>
      </c>
      <c r="AE13" s="156">
        <f>'Railway (Catenary)'!B295</f>
        <v>1.3290239431595586E-3</v>
      </c>
      <c r="AF13" s="156">
        <f>'Railway (Battery)'!B295</f>
        <v>1.4120879396070311E-3</v>
      </c>
      <c r="AG13" s="156">
        <f>'Railway (Hydrogen)'!B295</f>
        <v>4.2873120819145651E-3</v>
      </c>
      <c r="AH13" s="156">
        <f>'Railway (Diesel)'!B404</f>
        <v>1.9863208475390157E-3</v>
      </c>
      <c r="AI13" s="156">
        <f>'Railway (Catenary)'!B404</f>
        <v>1.3290239431595586E-3</v>
      </c>
      <c r="AJ13" s="156">
        <f>'Railway (Battery)'!B404</f>
        <v>1.4120879396070311E-3</v>
      </c>
      <c r="AK13" s="156">
        <f>'Railway (Hydrogen)'!B404</f>
        <v>4.2873120819145651E-3</v>
      </c>
      <c r="AL13" s="156">
        <f>'Railway (Diesel)'!B509</f>
        <v>1.5890566780312125E-3</v>
      </c>
      <c r="AM13" s="156">
        <f>'Railway (Catenary)'!B509</f>
        <v>1.063219154527647E-3</v>
      </c>
      <c r="AN13" s="156">
        <f>'Railway (Battery)'!B509</f>
        <v>1.1296703516856248E-3</v>
      </c>
      <c r="AO13" s="156">
        <f>'Railway (Hydrogen)'!B509</f>
        <v>3.4298496655316519E-3</v>
      </c>
      <c r="AP13" s="156">
        <f>'Semi-trailer truck (Diesel)'!B81</f>
        <v>6.7070446072256132E-3</v>
      </c>
      <c r="AQ13" s="156">
        <f>'Semi-trailer truck (Battery)'!B81</f>
        <v>5.6498629919985045E-3</v>
      </c>
      <c r="AR13" s="156">
        <f>'Semi-trailer truck (Hydrogen)'!B81</f>
        <v>1.9709416352132133E-2</v>
      </c>
      <c r="AS13" s="156">
        <f>'Semi-trailer truck (Diesel)'!B187</f>
        <v>6.7070446072256132E-3</v>
      </c>
      <c r="AT13" s="156">
        <f>'Semi-trailer truck (Battery)'!B187</f>
        <v>5.6498629919985045E-3</v>
      </c>
      <c r="AU13" s="156">
        <f>'Semi-trailer truck (Hydrogen)'!B187</f>
        <v>1.9709416352132133E-2</v>
      </c>
      <c r="AV13" s="156">
        <f>'Semi-trailer truck (Diesel)'!B295</f>
        <v>6.7070446072256132E-3</v>
      </c>
      <c r="AW13" s="156">
        <f>'Semi-trailer truck (Battery)'!B295</f>
        <v>5.6498629919985045E-3</v>
      </c>
      <c r="AX13" s="156">
        <f>'Semi-trailer truck (Hydrogen)'!B295</f>
        <v>1.9709416352132133E-2</v>
      </c>
      <c r="AY13" s="156">
        <f>'Semi-trailer truck (Diesel)'!B404</f>
        <v>6.7070446072256132E-3</v>
      </c>
      <c r="AZ13" s="156">
        <f>'Semi-trailer truck (Battery)'!B404</f>
        <v>5.6498629919985045E-3</v>
      </c>
      <c r="BA13" s="156">
        <f>'Semi-trailer truck (Hydrogen)'!B404</f>
        <v>1.9709416352132133E-2</v>
      </c>
      <c r="BB13" s="156">
        <f>'Semi-trailer truck (Diesel)'!B509</f>
        <v>6.7070446072256132E-3</v>
      </c>
      <c r="BC13" s="156">
        <f>'Semi-trailer truck (Battery)'!B509</f>
        <v>5.6498629919985045E-3</v>
      </c>
      <c r="BD13" s="156">
        <f>'Semi-trailer truck (Hydrogen)'!B509</f>
        <v>1.9709416352132133E-2</v>
      </c>
      <c r="BE13" s="157">
        <f>'Short-sea (HFO)'!M81</f>
        <v>8.3893771583125115E-4</v>
      </c>
      <c r="BF13" s="156">
        <f>'Short-sea (MGO)'!M81</f>
        <v>1.8714952165904367E-3</v>
      </c>
      <c r="BG13" s="156">
        <f>'Short-sea (Hydrogen)'!M81</f>
        <v>1.0358284649412651E-2</v>
      </c>
      <c r="BH13" s="156">
        <f>'Short-sea (Ammonia)'!M81</f>
        <v>1.0257993776547255E-2</v>
      </c>
      <c r="BI13" s="156">
        <f>'Short-sea (Methanol)'!M81</f>
        <v>1.6567975451505536E-2</v>
      </c>
      <c r="BJ13" s="154">
        <f>'Short-sea (HFO)'!M187</f>
        <v>8.3893771583125115E-4</v>
      </c>
      <c r="BK13" s="156">
        <f>'Short-sea (MGO)'!M187</f>
        <v>1.8714952165904367E-3</v>
      </c>
      <c r="BL13" s="156">
        <f>'Short-sea (Hydrogen)'!M187</f>
        <v>1.0358284649412651E-2</v>
      </c>
      <c r="BM13" s="156">
        <f>'Short-sea (Ammonia)'!M187</f>
        <v>1.0257993776547255E-2</v>
      </c>
      <c r="BN13" s="156">
        <f>'Short-sea (Methanol)'!M187</f>
        <v>1.6567975451505536E-2</v>
      </c>
      <c r="BO13" s="156">
        <f>'Short-sea (HFO)'!M295</f>
        <v>8.3893771583125115E-4</v>
      </c>
      <c r="BP13" s="156">
        <f>'Short-sea (MGO)'!M295</f>
        <v>1.8714952165904367E-3</v>
      </c>
      <c r="BQ13" s="156">
        <f>'Short-sea (Hydrogen)'!M295</f>
        <v>1.0358284649412651E-2</v>
      </c>
      <c r="BR13" s="156">
        <f>'Short-sea (Ammonia)'!M295</f>
        <v>1.0257993776547255E-2</v>
      </c>
      <c r="BS13" s="156">
        <f>'Short-sea (Methanol)'!M295</f>
        <v>1.6567975451505536E-2</v>
      </c>
      <c r="BT13" s="156">
        <f>'Short-sea (HFO)'!M404</f>
        <v>8.3893771583125115E-4</v>
      </c>
      <c r="BU13" s="156">
        <f>'Short-sea (MGO)'!M404</f>
        <v>1.8714952165904367E-3</v>
      </c>
      <c r="BV13" s="156">
        <f>'Short-sea (Hydrogen)'!M404</f>
        <v>1.0358284649412651E-2</v>
      </c>
      <c r="BW13" s="156">
        <f>'Short-sea (Ammonia)'!M404</f>
        <v>1.0257993776547255E-2</v>
      </c>
      <c r="BX13" s="156">
        <f>'Short-sea (Methanol)'!M404</f>
        <v>1.6567975451505536E-2</v>
      </c>
      <c r="BY13" s="156">
        <f>'Railway (Diesel)'!M81</f>
        <v>9.4423626496312793E-4</v>
      </c>
      <c r="BZ13" s="156">
        <f>'Railway (Catenary)'!M81</f>
        <v>1.4325231484959115E-3</v>
      </c>
      <c r="CA13" s="156">
        <f>'Railway (Battery)'!M81</f>
        <v>1.522055845276906E-3</v>
      </c>
      <c r="CB13" s="156">
        <f>'Railway (Hydrogen)'!M81</f>
        <v>3.4230929504727972E-3</v>
      </c>
      <c r="CC13" s="156">
        <f>'Railway (Diesel)'!M187</f>
        <v>9.4423626496312793E-4</v>
      </c>
      <c r="CD13" s="156">
        <f>'Railway (Catenary)'!M187</f>
        <v>1.4325231484959115E-3</v>
      </c>
      <c r="CE13" s="156">
        <f>'Railway (Battery)'!M187</f>
        <v>1.522055845276906E-3</v>
      </c>
      <c r="CF13" s="156">
        <f>'Railway (Hydrogen)'!M187</f>
        <v>3.4230929504727972E-3</v>
      </c>
      <c r="CG13" s="156">
        <f>'Railway (Diesel)'!M295</f>
        <v>9.4423626496312793E-4</v>
      </c>
      <c r="CH13" s="156">
        <f>'Railway (Catenary)'!M295</f>
        <v>1.4325231484959115E-3</v>
      </c>
      <c r="CI13" s="156">
        <f>'Railway (Battery)'!M295</f>
        <v>1.522055845276906E-3</v>
      </c>
      <c r="CJ13" s="156">
        <f>'Railway (Hydrogen)'!M295</f>
        <v>3.4230929504727972E-3</v>
      </c>
      <c r="CK13" s="156">
        <f>'Railway (Diesel)'!M404</f>
        <v>9.4423626496312793E-4</v>
      </c>
      <c r="CL13" s="156">
        <f>'Railway (Catenary)'!M404</f>
        <v>1.4325231484959115E-3</v>
      </c>
      <c r="CM13" s="156">
        <f>'Railway (Battery)'!M404</f>
        <v>1.522055845276906E-3</v>
      </c>
      <c r="CN13" s="156">
        <f>'Railway (Hydrogen)'!M404</f>
        <v>3.4230929504727972E-3</v>
      </c>
      <c r="CO13" s="156">
        <f>'Railway (Diesel)'!M509</f>
        <v>7.5538901197050236E-4</v>
      </c>
      <c r="CP13" s="156">
        <f>'Railway (Catenary)'!M509</f>
        <v>1.1460185187967293E-3</v>
      </c>
      <c r="CQ13" s="156">
        <f>'Railway (Battery)'!M509</f>
        <v>1.2176446762215247E-3</v>
      </c>
      <c r="CR13" s="156">
        <f>'Railway (Hydrogen)'!M509</f>
        <v>2.7384743603782375E-3</v>
      </c>
      <c r="CS13" s="156">
        <f>'Semi-trailer truck (Diesel)'!M81</f>
        <v>2.9533510719556709E-3</v>
      </c>
      <c r="CT13" s="156">
        <f>'Semi-trailer truck (Battery)'!M81</f>
        <v>5.5719568088488311E-3</v>
      </c>
      <c r="CU13" s="156">
        <f>'Semi-trailer truck (Hydrogen)'!M81</f>
        <v>1.3466646239242928E-2</v>
      </c>
      <c r="CV13" s="156">
        <f>'Semi-trailer truck (Diesel)'!M187</f>
        <v>2.9533510719556709E-3</v>
      </c>
      <c r="CW13" s="156">
        <f>'Semi-trailer truck (Battery)'!M187</f>
        <v>4.985922725015586E-3</v>
      </c>
      <c r="CX13" s="156">
        <f>'Semi-trailer truck (Hydrogen)'!M187</f>
        <v>1.3466646239242928E-2</v>
      </c>
      <c r="CY13" s="156">
        <f>'Semi-trailer truck (Diesel)'!M295</f>
        <v>2.9533510719556709E-3</v>
      </c>
      <c r="CZ13" s="156">
        <f>'Semi-trailer truck (Battery)'!M295</f>
        <v>4.985922725015586E-3</v>
      </c>
      <c r="DA13" s="156">
        <f>'Semi-trailer truck (Hydrogen)'!M295</f>
        <v>1.3466646239242928E-2</v>
      </c>
      <c r="DB13" s="156">
        <f>'Semi-trailer truck (Diesel)'!M404</f>
        <v>2.9533510719556709E-3</v>
      </c>
      <c r="DC13" s="156">
        <f>'Semi-trailer truck (Battery)'!M404</f>
        <v>4.9859227250155852E-3</v>
      </c>
      <c r="DD13" s="156">
        <f>'Semi-trailer truck (Hydrogen)'!M404</f>
        <v>1.3466646239242928E-2</v>
      </c>
      <c r="DE13" s="156">
        <f>'Semi-trailer truck (Diesel)'!M509</f>
        <v>2.9533510719556709E-3</v>
      </c>
      <c r="DF13" s="156">
        <f>'Semi-trailer truck (Battery)'!M509</f>
        <v>4.985922725015586E-3</v>
      </c>
      <c r="DG13" s="156">
        <f>'Semi-trailer truck (Hydrogen)'!M509</f>
        <v>1.3466646239242928E-2</v>
      </c>
      <c r="DH13" s="157">
        <f>'Short-sea (HFO)'!AC81</f>
        <v>5.0846159148288761E-4</v>
      </c>
      <c r="DI13" s="156">
        <f>'Short-sea (MGO)'!AC81</f>
        <v>1.1342718515609E-3</v>
      </c>
      <c r="DJ13" s="156">
        <f>'Short-sea (Hydrogen)'!AC81</f>
        <v>6.5156977611726787E-3</v>
      </c>
      <c r="DK13" s="156">
        <f>'Short-sea (Ammonia)'!AC81</f>
        <v>6.8423242323661987E-3</v>
      </c>
      <c r="DL13" s="156">
        <f>'Short-sea (Methanol)'!AC81</f>
        <v>9.7494494830798577E-3</v>
      </c>
      <c r="DM13" s="154">
        <f>'Short-sea (HFO)'!AC187</f>
        <v>5.0846159148288761E-4</v>
      </c>
      <c r="DN13" s="156">
        <f>'Short-sea (MGO)'!AC187</f>
        <v>1.1342718515609E-3</v>
      </c>
      <c r="DO13" s="156">
        <f>'Short-sea (Hydrogen)'!AC187</f>
        <v>6.5156977611726787E-3</v>
      </c>
      <c r="DP13" s="156">
        <f>'Short-sea (Ammonia)'!AC187</f>
        <v>6.8423242323661987E-3</v>
      </c>
      <c r="DQ13" s="156">
        <f>'Short-sea (Methanol)'!AC187</f>
        <v>9.7494494830798577E-3</v>
      </c>
      <c r="DR13" s="156">
        <f>'Short-sea (HFO)'!AC295</f>
        <v>5.0846159148288761E-4</v>
      </c>
      <c r="DS13" s="156">
        <f>'Short-sea (MGO)'!AC295</f>
        <v>1.1342718515609E-3</v>
      </c>
      <c r="DT13" s="156">
        <f>'Short-sea (Hydrogen)'!AC295</f>
        <v>6.5156977611726787E-3</v>
      </c>
      <c r="DU13" s="156">
        <f>'Short-sea (Ammonia)'!AC295</f>
        <v>6.8423242323661987E-3</v>
      </c>
      <c r="DV13" s="156">
        <f>'Short-sea (Methanol)'!AC295</f>
        <v>9.7494494830798577E-3</v>
      </c>
      <c r="DW13" s="156">
        <f>'Short-sea (HFO)'!AC404</f>
        <v>5.0846159148288761E-4</v>
      </c>
      <c r="DX13" s="156">
        <f>'Short-sea (MGO)'!AC404</f>
        <v>1.1342718515609E-3</v>
      </c>
      <c r="DY13" s="156">
        <f>'Short-sea (Hydrogen)'!AC404</f>
        <v>6.5156977611726787E-3</v>
      </c>
      <c r="DZ13" s="156">
        <f>'Short-sea (Ammonia)'!AC404</f>
        <v>6.8423242323661987E-3</v>
      </c>
      <c r="EA13" s="156">
        <f>'Short-sea (Methanol)'!AC404</f>
        <v>9.7494494830798577E-3</v>
      </c>
      <c r="EB13" s="156">
        <f>'Railway (Diesel)'!AC81</f>
        <v>6.1155198507974618E-4</v>
      </c>
      <c r="EC13" s="156">
        <f>'Railway (Catenary)'!AC81</f>
        <v>1.2466950298238237E-3</v>
      </c>
      <c r="ED13" s="156">
        <f>'Railway (Battery)'!AC81</f>
        <v>1.3246134691878124E-3</v>
      </c>
      <c r="EE13" s="156">
        <f>'Railway (Hydrogen)'!AC81</f>
        <v>2.1857187249993688E-3</v>
      </c>
      <c r="EF13" s="156">
        <f>'Railway (Diesel)'!AC187</f>
        <v>6.1155198507974618E-4</v>
      </c>
      <c r="EG13" s="156">
        <f>'Railway (Catenary)'!AC187</f>
        <v>1.2466950298238237E-3</v>
      </c>
      <c r="EH13" s="156">
        <f>'Railway (Battery)'!AC187</f>
        <v>1.3246134691878124E-3</v>
      </c>
      <c r="EI13" s="156">
        <f>'Railway (Hydrogen)'!AC187</f>
        <v>2.1857187249993688E-3</v>
      </c>
      <c r="EJ13" s="156">
        <f>'Railway (Diesel)'!AC295</f>
        <v>6.1155198507974618E-4</v>
      </c>
      <c r="EK13" s="156">
        <f>'Railway (Catenary)'!AC295</f>
        <v>1.2466950298238237E-3</v>
      </c>
      <c r="EL13" s="156">
        <f>'Railway (Battery)'!AC295</f>
        <v>1.3246134691878124E-3</v>
      </c>
      <c r="EM13" s="156">
        <f>'Railway (Hydrogen)'!AC295</f>
        <v>2.1857187249993688E-3</v>
      </c>
      <c r="EN13" s="156">
        <f>'Railway (Diesel)'!AC404</f>
        <v>6.1155198507974618E-4</v>
      </c>
      <c r="EO13" s="156">
        <f>'Railway (Catenary)'!AC404</f>
        <v>1.2466950298238237E-3</v>
      </c>
      <c r="EP13" s="156">
        <f>'Railway (Battery)'!AC404</f>
        <v>1.3246134691878124E-3</v>
      </c>
      <c r="EQ13" s="156">
        <f>'Railway (Hydrogen)'!AC404</f>
        <v>2.1857187249993688E-3</v>
      </c>
      <c r="ER13" s="156">
        <f>'Railway (Diesel)'!AC509</f>
        <v>4.8924158806379694E-4</v>
      </c>
      <c r="ES13" s="156">
        <f>'Railway (Catenary)'!AC509</f>
        <v>9.9735602385905885E-4</v>
      </c>
      <c r="ET13" s="156">
        <f>'Railway (Battery)'!AC509</f>
        <v>1.05969077535025E-3</v>
      </c>
      <c r="EU13" s="156">
        <f>'Railway (Hydrogen)'!AC509</f>
        <v>1.7485749799994951E-3</v>
      </c>
      <c r="EV13" s="156">
        <f>'Semi-trailer truck (Diesel)'!AC81</f>
        <v>1.7136393401738417E-3</v>
      </c>
      <c r="EW13" s="156">
        <f>'Semi-trailer truck (Battery)'!AC81</f>
        <v>4.0342174151229478E-3</v>
      </c>
      <c r="EX13" s="156">
        <f>'Semi-trailer truck (Hydrogen)'!AC81</f>
        <v>8.478341840292853E-3</v>
      </c>
      <c r="EY13" s="156">
        <f>'Semi-trailer truck (Diesel)'!AC187</f>
        <v>1.7136393401738417E-3</v>
      </c>
      <c r="EZ13" s="156">
        <f>'Semi-trailer truck (Battery)'!AC187</f>
        <v>4.06392166231242E-3</v>
      </c>
      <c r="FA13" s="156">
        <f>'Semi-trailer truck (Hydrogen)'!AC187</f>
        <v>8.478341840292853E-3</v>
      </c>
      <c r="FB13" s="156">
        <f>'Semi-trailer truck (Diesel)'!AC295</f>
        <v>1.7136393401738417E-3</v>
      </c>
      <c r="FC13" s="156">
        <f>'Semi-trailer truck (Battery)'!AC295</f>
        <v>4.06392166231242E-3</v>
      </c>
      <c r="FD13" s="156">
        <f>'Semi-trailer truck (Hydrogen)'!AC295</f>
        <v>8.478341840292853E-3</v>
      </c>
      <c r="FE13" s="156">
        <f>'Semi-trailer truck (Diesel)'!AC404</f>
        <v>1.7136393401738417E-3</v>
      </c>
      <c r="FF13" s="156">
        <f>'Semi-trailer truck (Battery)'!AC404</f>
        <v>4.06392166231242E-3</v>
      </c>
      <c r="FG13" s="156">
        <f>'Semi-trailer truck (Hydrogen)'!AC404</f>
        <v>8.478341840292853E-3</v>
      </c>
      <c r="FH13" s="156">
        <f>'Semi-trailer truck (Diesel)'!AC509</f>
        <v>1.7136393401738417E-3</v>
      </c>
      <c r="FI13" s="156">
        <f>'Semi-trailer truck (Battery)'!AC509</f>
        <v>4.0639216623124209E-3</v>
      </c>
      <c r="FJ13" s="156">
        <f>'Semi-trailer truck (Hydrogen)'!AC509</f>
        <v>8.4783418402928547E-3</v>
      </c>
      <c r="FK13" s="156"/>
      <c r="FL13" s="156"/>
      <c r="FM13" s="156"/>
      <c r="FN13" s="156"/>
      <c r="FP13" s="156"/>
      <c r="FQ13" s="156"/>
      <c r="FR13" s="156"/>
    </row>
    <row r="14" spans="1:174" x14ac:dyDescent="0.25">
      <c r="A14" s="154" t="s">
        <v>56</v>
      </c>
      <c r="B14" s="157">
        <f>'Short-sea (HFO)'!B82</f>
        <v>2.0569799349757336E-3</v>
      </c>
      <c r="C14" s="156">
        <f>'Short-sea (MGO)'!B82</f>
        <v>3.0869690973969691E-3</v>
      </c>
      <c r="D14" s="156">
        <f>'Short-sea (Hydrogen)'!B82</f>
        <v>7.4197014833875218E-3</v>
      </c>
      <c r="E14" s="156">
        <f>'Short-sea (Ammonia)'!B82</f>
        <v>6.9528722157986764E-3</v>
      </c>
      <c r="F14" s="156">
        <f>'Short-sea (Methanol)'!B82</f>
        <v>1.3114340768592438E-2</v>
      </c>
      <c r="G14" s="154">
        <f>'Short-sea (HFO)'!B188</f>
        <v>3.5451549468971432E-3</v>
      </c>
      <c r="H14" s="156">
        <f>'Short-sea (MGO)'!B188</f>
        <v>5.1739750177028166E-3</v>
      </c>
      <c r="I14" s="156">
        <f>'Short-sea (Hydrogen)'!B188</f>
        <v>1.2025737860664625E-2</v>
      </c>
      <c r="J14" s="156">
        <f>'Short-sea (Ammonia)'!B188</f>
        <v>1.1287496228198541E-2</v>
      </c>
      <c r="K14" s="156">
        <f>'Short-sea (Methanol)'!B188</f>
        <v>2.1031213939593334E-2</v>
      </c>
      <c r="L14" s="156">
        <f>'Short-sea (HFO)'!B296</f>
        <v>4.0316221878138464E-3</v>
      </c>
      <c r="M14" s="156">
        <f>'Short-sea (MGO)'!B296</f>
        <v>6.0519855448708856E-3</v>
      </c>
      <c r="N14" s="156">
        <f>'Short-sea (Hydrogen)'!B296</f>
        <v>1.4550806763544664E-2</v>
      </c>
      <c r="O14" s="156">
        <f>'Short-sea (Ammonia)'!B296</f>
        <v>1.3635103200197313E-2</v>
      </c>
      <c r="P14" s="156">
        <f>'Short-sea (Methanol)'!B296</f>
        <v>2.5721060746062008E-2</v>
      </c>
      <c r="Q14" s="156">
        <f>'Short-sea (HFO)'!B405</f>
        <v>2.0553368016305871E-3</v>
      </c>
      <c r="R14" s="156">
        <f>'Short-sea (MGO)'!B405</f>
        <v>3.0853259640518226E-3</v>
      </c>
      <c r="S14" s="156">
        <f>'Short-sea (Hydrogen)'!B405</f>
        <v>7.4180583500423752E-3</v>
      </c>
      <c r="T14" s="156">
        <f>'Short-sea (Ammonia)'!B405</f>
        <v>6.9512290824535299E-3</v>
      </c>
      <c r="U14" s="156">
        <f>'Short-sea (Methanol)'!B405</f>
        <v>1.3112697635247292E-2</v>
      </c>
      <c r="V14" s="156">
        <f>'Railway (Diesel)'!B82</f>
        <v>5.3098305385236681E-3</v>
      </c>
      <c r="W14" s="156">
        <f>'Railway (Catenary)'!B82</f>
        <v>4.5331909329826905E-3</v>
      </c>
      <c r="X14" s="156">
        <f>'Railway (Battery)'!B82</f>
        <v>6.1224324961737259E-3</v>
      </c>
      <c r="Y14" s="156">
        <f>'Railway (Hydrogen)'!B82</f>
        <v>7.8707835286277034E-3</v>
      </c>
      <c r="Z14" s="156">
        <f>'Railway (Diesel)'!B188</f>
        <v>1.2774641951516773E-2</v>
      </c>
      <c r="AA14" s="156">
        <f>'Railway (Catenary)'!B188</f>
        <v>1.0919336227168881E-2</v>
      </c>
      <c r="AB14" s="156">
        <f>'Railway (Battery)'!B188</f>
        <v>1.4715857739236346E-2</v>
      </c>
      <c r="AC14" s="156">
        <f>'Railway (Hydrogen)'!B188</f>
        <v>1.8892474094543074E-2</v>
      </c>
      <c r="AD14" s="156">
        <f>'Railway (Diesel)'!B296</f>
        <v>1.2023226120295865E-2</v>
      </c>
      <c r="AE14" s="156">
        <f>'Railway (Catenary)'!B296</f>
        <v>1.0167920395947974E-2</v>
      </c>
      <c r="AF14" s="156">
        <f>'Railway (Battery)'!B296</f>
        <v>1.3964441908015442E-2</v>
      </c>
      <c r="AG14" s="156">
        <f>'Railway (Hydrogen)'!B296</f>
        <v>1.8141058263322171E-2</v>
      </c>
      <c r="AH14" s="156">
        <f>'Railway (Diesel)'!B405</f>
        <v>5.3244331059987254E-3</v>
      </c>
      <c r="AI14" s="156">
        <f>'Railway (Catenary)'!B405</f>
        <v>4.7874970824148422E-3</v>
      </c>
      <c r="AJ14" s="156">
        <f>'Railway (Battery)'!B405</f>
        <v>5.8862319902999987E-3</v>
      </c>
      <c r="AK14" s="156">
        <f>'Railway (Hydrogen)'!B405</f>
        <v>7.094968506564478E-3</v>
      </c>
      <c r="AL14" s="156">
        <f>'Railway (Diesel)'!B510</f>
        <v>1.436637360417075E-2</v>
      </c>
      <c r="AM14" s="156">
        <f>'Railway (Catenary)'!B510</f>
        <v>1.2234929353408296E-2</v>
      </c>
      <c r="AN14" s="156">
        <f>'Railway (Battery)'!B510</f>
        <v>1.6596514532388126E-2</v>
      </c>
      <c r="AO14" s="156">
        <f>'Railway (Hydrogen)'!B510</f>
        <v>2.1394766810345162E-2</v>
      </c>
      <c r="AP14" s="156">
        <f>'Semi-trailer truck (Diesel)'!B82</f>
        <v>7.1307176621036375E-2</v>
      </c>
      <c r="AQ14" s="156">
        <f>'Semi-trailer truck (Battery)'!B82</f>
        <v>9.0484330568541216E-2</v>
      </c>
      <c r="AR14" s="156">
        <f>'Semi-trailer truck (Hydrogen)'!B82</f>
        <v>0.1072551205491602</v>
      </c>
      <c r="AS14" s="156">
        <f>'Semi-trailer truck (Diesel)'!B188</f>
        <v>2.9343363622621049E-2</v>
      </c>
      <c r="AT14" s="156">
        <f>'Semi-trailer truck (Battery)'!B188</f>
        <v>3.591058071772936E-2</v>
      </c>
      <c r="AU14" s="156">
        <f>'Semi-trailer truck (Hydrogen)'!B188</f>
        <v>4.586801060469306E-2</v>
      </c>
      <c r="AV14" s="156">
        <f>'Semi-trailer truck (Diesel)'!B296</f>
        <v>3.2896210730224702E-2</v>
      </c>
      <c r="AW14" s="156">
        <f>'Semi-trailer truck (Battery)'!B296</f>
        <v>4.063880062077449E-2</v>
      </c>
      <c r="AX14" s="156">
        <f>'Semi-trailer truck (Hydrogen)'!B296</f>
        <v>5.1908170399832532E-2</v>
      </c>
      <c r="AY14" s="156">
        <f>'Semi-trailer truck (Diesel)'!B405</f>
        <v>4.2408575053991981E-2</v>
      </c>
      <c r="AZ14" s="156">
        <f>'Semi-trailer truck (Battery)'!B405</f>
        <v>5.3061998235730642E-2</v>
      </c>
      <c r="BA14" s="156">
        <f>'Semi-trailer truck (Hydrogen)'!B405</f>
        <v>6.5164123584634109E-2</v>
      </c>
      <c r="BB14" s="156">
        <f>'Semi-trailer truck (Diesel)'!B510</f>
        <v>3.3414262094814663E-2</v>
      </c>
      <c r="BC14" s="156">
        <f>'Semi-trailer truck (Battery)'!B510</f>
        <v>4.1573008468517095E-2</v>
      </c>
      <c r="BD14" s="156">
        <f>'Semi-trailer truck (Hydrogen)'!B510</f>
        <v>5.1985756382567139E-2</v>
      </c>
      <c r="BE14" s="157">
        <f>'Short-sea (HFO)'!M82</f>
        <v>1.6174664349952817E-3</v>
      </c>
      <c r="BF14" s="156">
        <f>'Short-sea (MGO)'!M82</f>
        <v>2.1033758471172516E-3</v>
      </c>
      <c r="BG14" s="156">
        <f>'Short-sea (Hydrogen)'!M82</f>
        <v>6.4815858794727982E-3</v>
      </c>
      <c r="BH14" s="156">
        <f>'Short-sea (Ammonia)'!M82</f>
        <v>6.4297160574348783E-3</v>
      </c>
      <c r="BI14" s="156">
        <f>'Short-sea (Methanol)'!M82</f>
        <v>9.1624962093665649E-3</v>
      </c>
      <c r="BJ14" s="154">
        <f>'Short-sea (HFO)'!M188</f>
        <v>2.8501103422768938E-3</v>
      </c>
      <c r="BK14" s="156">
        <f>'Short-sea (MGO)'!M188</f>
        <v>3.6185252265627981E-3</v>
      </c>
      <c r="BL14" s="156">
        <f>'Short-sea (Hydrogen)'!M188</f>
        <v>1.0542206207962267E-2</v>
      </c>
      <c r="BM14" s="156">
        <f>'Short-sea (Ammonia)'!M188</f>
        <v>1.0460179512646488E-2</v>
      </c>
      <c r="BN14" s="156">
        <f>'Short-sea (Methanol)'!M188</f>
        <v>1.4781785334305905E-2</v>
      </c>
      <c r="BO14" s="156">
        <f>'Short-sea (HFO)'!M296</f>
        <v>3.1694995532368067E-3</v>
      </c>
      <c r="BP14" s="156">
        <f>'Short-sea (MGO)'!M296</f>
        <v>4.1226295539375929E-3</v>
      </c>
      <c r="BQ14" s="156">
        <f>'Short-sea (Hydrogen)'!M296</f>
        <v>1.2710656925096552E-2</v>
      </c>
      <c r="BR14" s="156">
        <f>'Short-sea (Ammonia)'!M296</f>
        <v>1.2608912274176015E-2</v>
      </c>
      <c r="BS14" s="156">
        <f>'Short-sea (Methanol)'!M296</f>
        <v>1.796936564911894E-2</v>
      </c>
      <c r="BT14" s="156">
        <f>'Short-sea (HFO)'!M405</f>
        <v>1.6158233016501356E-3</v>
      </c>
      <c r="BU14" s="156">
        <f>'Short-sea (MGO)'!M405</f>
        <v>2.101732713772105E-3</v>
      </c>
      <c r="BV14" s="156">
        <f>'Short-sea (Hydrogen)'!M405</f>
        <v>6.4799427461276517E-3</v>
      </c>
      <c r="BW14" s="156">
        <f>'Short-sea (Ammonia)'!M405</f>
        <v>6.4280729240897318E-3</v>
      </c>
      <c r="BX14" s="156">
        <f>'Short-sea (Methanol)'!M405</f>
        <v>9.1608530760214184E-3</v>
      </c>
      <c r="BY14" s="156">
        <f>'Railway (Diesel)'!M82</f>
        <v>4.7419658327266575E-3</v>
      </c>
      <c r="BZ14" s="156">
        <f>'Railway (Catenary)'!M82</f>
        <v>4.5914092359843912E-3</v>
      </c>
      <c r="CA14" s="156">
        <f>'Railway (Battery)'!M82</f>
        <v>5.6727629725938505E-3</v>
      </c>
      <c r="CB14" s="156">
        <f>'Railway (Hydrogen)'!M82</f>
        <v>6.5616045778966701E-3</v>
      </c>
      <c r="CC14" s="156">
        <f>'Railway (Diesel)'!M188</f>
        <v>1.1418076265446135E-2</v>
      </c>
      <c r="CD14" s="156">
        <f>'Railway (Catenary)'!M188</f>
        <v>1.1058413284339607E-2</v>
      </c>
      <c r="CE14" s="156">
        <f>'Railway (Battery)'!M188</f>
        <v>1.364164721068443E-2</v>
      </c>
      <c r="CF14" s="156">
        <f>'Railway (Hydrogen)'!M188</f>
        <v>1.5764991045574495E-2</v>
      </c>
      <c r="CG14" s="156">
        <f>'Railway (Diesel)'!M296</f>
        <v>1.0666660434225223E-2</v>
      </c>
      <c r="CH14" s="156">
        <f>'Railway (Catenary)'!M296</f>
        <v>1.0306997453118697E-2</v>
      </c>
      <c r="CI14" s="156">
        <f>'Railway (Battery)'!M296</f>
        <v>1.2890231379463523E-2</v>
      </c>
      <c r="CJ14" s="156">
        <f>'Railway (Hydrogen)'!M296</f>
        <v>1.501357521435359E-2</v>
      </c>
      <c r="CK14" s="156">
        <f>'Railway (Diesel)'!M405</f>
        <v>4.9318352847069653E-3</v>
      </c>
      <c r="CL14" s="156">
        <f>'Railway (Catenary)'!M405</f>
        <v>4.8277467733789797E-3</v>
      </c>
      <c r="CM14" s="156">
        <f>'Railway (Battery)'!M405</f>
        <v>5.5753493567139139E-3</v>
      </c>
      <c r="CN14" s="156">
        <f>'Railway (Hydrogen)'!M405</f>
        <v>6.1898571332195639E-3</v>
      </c>
      <c r="CO14" s="156">
        <f>'Railway (Diesel)'!M510</f>
        <v>1.2807900467150062E-2</v>
      </c>
      <c r="CP14" s="156">
        <f>'Railway (Catenary)'!M510</f>
        <v>1.2394706251646289E-2</v>
      </c>
      <c r="CQ14" s="156">
        <f>'Railway (Battery)'!M510</f>
        <v>1.5362421506563365E-2</v>
      </c>
      <c r="CR14" s="156">
        <f>'Railway (Hydrogen)'!M510</f>
        <v>1.7801797912227767E-2</v>
      </c>
      <c r="CS14" s="156">
        <f>'Semi-trailer truck (Diesel)'!M82</f>
        <v>6.9103491380650001E-2</v>
      </c>
      <c r="CT14" s="156">
        <f>'Semi-trailer truck (Battery)'!M82</f>
        <v>7.4785156649354201E-2</v>
      </c>
      <c r="CU14" s="156">
        <f>'Semi-trailer truck (Hydrogen)'!M82</f>
        <v>8.5825240766145991E-2</v>
      </c>
      <c r="CV14" s="156">
        <f>'Semi-trailer truck (Diesel)'!M188</f>
        <v>2.7498818167278977E-2</v>
      </c>
      <c r="CW14" s="156">
        <f>'Semi-trailer truck (Battery)'!M188</f>
        <v>2.9939434767307871E-2</v>
      </c>
      <c r="CX14" s="156">
        <f>'Semi-trailer truck (Hydrogen)'!M188</f>
        <v>3.6441308633568564E-2</v>
      </c>
      <c r="CY14" s="156">
        <f>'Semi-trailer truck (Diesel)'!M296</f>
        <v>3.0843138957113776E-2</v>
      </c>
      <c r="CZ14" s="156">
        <f>'Semi-trailer truck (Battery)'!M296</f>
        <v>3.3647752834689841E-2</v>
      </c>
      <c r="DA14" s="156">
        <f>'Semi-trailer truck (Hydrogen)'!M296</f>
        <v>4.102728579875424E-2</v>
      </c>
      <c r="DB14" s="156">
        <f>'Semi-trailer truck (Diesel)'!M405</f>
        <v>4.0463983463688361E-2</v>
      </c>
      <c r="DC14" s="156">
        <f>'Semi-trailer truck (Battery)'!M405</f>
        <v>4.3795862344498407E-2</v>
      </c>
      <c r="DD14" s="156">
        <f>'Semi-trailer truck (Hydrogen)'!M405</f>
        <v>5.1879122574373285E-2</v>
      </c>
      <c r="DE14" s="156">
        <f>'Semi-trailer truck (Diesel)'!M510</f>
        <v>3.162902934130532E-2</v>
      </c>
      <c r="DF14" s="156">
        <f>'Semi-trailer truck (Battery)'!M510</f>
        <v>3.4357933729152593E-2</v>
      </c>
      <c r="DG14" s="156">
        <f>'Semi-trailer truck (Hydrogen)'!M510</f>
        <v>4.1244578015303915E-2</v>
      </c>
      <c r="DH14" s="157">
        <f>'Short-sea (HFO)'!AC82</f>
        <v>1.4833039920215956E-3</v>
      </c>
      <c r="DI14" s="156">
        <f>'Short-sea (MGO)'!AC82</f>
        <v>1.7778029379406598E-3</v>
      </c>
      <c r="DJ14" s="156">
        <f>'Short-sea (Hydrogen)'!AC82</f>
        <v>4.3615159921940021E-3</v>
      </c>
      <c r="DK14" s="156">
        <f>'Short-sea (Ammonia)'!AC82</f>
        <v>4.4721081299707692E-3</v>
      </c>
      <c r="DL14" s="156">
        <f>'Short-sea (Methanol)'!AC82</f>
        <v>5.8106946942033423E-3</v>
      </c>
      <c r="DM14" s="154">
        <f>'Short-sea (HFO)'!AC188</f>
        <v>2.6379464789696673E-3</v>
      </c>
      <c r="DN14" s="156">
        <f>'Short-sea (MGO)'!AC188</f>
        <v>3.1036657422835378E-3</v>
      </c>
      <c r="DO14" s="156">
        <f>'Short-sea (Hydrogen)'!AC188</f>
        <v>7.1895375490097519E-3</v>
      </c>
      <c r="DP14" s="156">
        <f>'Short-sea (Ammonia)'!AC188</f>
        <v>7.364427441307898E-3</v>
      </c>
      <c r="DQ14" s="156">
        <f>'Short-sea (Methanol)'!AC188</f>
        <v>9.4812620080012688E-3</v>
      </c>
      <c r="DR14" s="156">
        <f>'Short-sea (HFO)'!AC296</f>
        <v>2.9063347612499593E-3</v>
      </c>
      <c r="DS14" s="156">
        <f>'Short-sea (MGO)'!AC296</f>
        <v>3.4840057705527402E-3</v>
      </c>
      <c r="DT14" s="156">
        <f>'Short-sea (Hydrogen)'!AC296</f>
        <v>8.5520583000496773E-3</v>
      </c>
      <c r="DU14" s="156">
        <f>'Short-sea (Ammonia)'!AC296</f>
        <v>8.7689890318425716E-3</v>
      </c>
      <c r="DV14" s="156">
        <f>'Short-sea (Methanol)'!AC296</f>
        <v>1.1394678061683388E-2</v>
      </c>
      <c r="DW14" s="156">
        <f>'Short-sea (HFO)'!AC405</f>
        <v>1.4816608586764491E-3</v>
      </c>
      <c r="DX14" s="156">
        <f>'Short-sea (MGO)'!AC405</f>
        <v>1.7761598045955142E-3</v>
      </c>
      <c r="DY14" s="156">
        <f>'Short-sea (Hydrogen)'!AC405</f>
        <v>4.3598728588488539E-3</v>
      </c>
      <c r="DZ14" s="156">
        <f>'Short-sea (Ammonia)'!AC405</f>
        <v>4.4704649966256227E-3</v>
      </c>
      <c r="EA14" s="156">
        <f>'Short-sea (Methanol)'!AC405</f>
        <v>5.8090515608581975E-3</v>
      </c>
      <c r="EB14" s="156">
        <f>'Railway (Diesel)'!AC82</f>
        <v>4.5787890854017566E-3</v>
      </c>
      <c r="EC14" s="156">
        <f>'Railway (Catenary)'!AC82</f>
        <v>4.4868809192313425E-3</v>
      </c>
      <c r="ED14" s="156">
        <f>'Railway (Battery)'!AC82</f>
        <v>4.8923047150582002E-3</v>
      </c>
      <c r="EE14" s="156">
        <f>'Railway (Hydrogen)'!AC82</f>
        <v>4.7885093697076827E-3</v>
      </c>
      <c r="EF14" s="156">
        <f>'Railway (Diesel)'!AC188</f>
        <v>1.1028265146836648E-2</v>
      </c>
      <c r="EG14" s="156">
        <f>'Railway (Catenary)'!AC188</f>
        <v>1.0808706749873987E-2</v>
      </c>
      <c r="EH14" s="156">
        <f>'Railway (Battery)'!AC188</f>
        <v>1.1777219151015933E-2</v>
      </c>
      <c r="EI14" s="156">
        <f>'Railway (Hydrogen)'!AC188</f>
        <v>1.1529263603789693E-2</v>
      </c>
      <c r="EJ14" s="156">
        <f>'Railway (Diesel)'!AC296</f>
        <v>1.0276849315615739E-2</v>
      </c>
      <c r="EK14" s="156">
        <f>'Railway (Catenary)'!AC296</f>
        <v>1.0057290918653081E-2</v>
      </c>
      <c r="EL14" s="156">
        <f>'Railway (Battery)'!AC296</f>
        <v>1.1025803319795021E-2</v>
      </c>
      <c r="EM14" s="156">
        <f>'Railway (Hydrogen)'!AC296</f>
        <v>1.0777847772568783E-2</v>
      </c>
      <c r="EN14" s="156">
        <f>'Railway (Diesel)'!AC405</f>
        <v>4.8190217310008585E-3</v>
      </c>
      <c r="EO14" s="156">
        <f>'Railway (Catenary)'!AC405</f>
        <v>4.7554802827842781E-3</v>
      </c>
      <c r="EP14" s="156">
        <f>'Railway (Battery)'!AC405</f>
        <v>5.0357732774300081E-3</v>
      </c>
      <c r="EQ14" s="156">
        <f>'Railway (Hydrogen)'!AC405</f>
        <v>4.9640135324963142E-3</v>
      </c>
      <c r="ER14" s="156">
        <f>'Railway (Diesel)'!AC510</f>
        <v>1.2360070949491726E-2</v>
      </c>
      <c r="ES14" s="156">
        <f>'Railway (Catenary)'!AC510</f>
        <v>1.2107834093446252E-2</v>
      </c>
      <c r="ET14" s="156">
        <f>'Railway (Battery)'!AC510</f>
        <v>1.3220497177548854E-2</v>
      </c>
      <c r="EU14" s="156">
        <f>'Railway (Hydrogen)'!AC510</f>
        <v>1.2935636618642431E-2</v>
      </c>
      <c r="EV14" s="156">
        <f>'Semi-trailer truck (Diesel)'!AC82</f>
        <v>6.9105203232298421E-2</v>
      </c>
      <c r="EW14" s="156">
        <f>'Semi-trailer truck (Battery)'!AC82</f>
        <v>6.9097068904093562E-2</v>
      </c>
      <c r="EX14" s="156">
        <f>'Semi-trailer truck (Hydrogen)'!AC82</f>
        <v>7.5000109931099665E-2</v>
      </c>
      <c r="EY14" s="156">
        <f>'Semi-trailer truck (Diesel)'!AC188</f>
        <v>2.7150762007794038E-2</v>
      </c>
      <c r="EZ14" s="156">
        <f>'Semi-trailer truck (Battery)'!AC188</f>
        <v>2.7817221510662411E-2</v>
      </c>
      <c r="FA14" s="156">
        <f>'Semi-trailer truck (Hydrogen)'!AC188</f>
        <v>3.1163443233818866E-2</v>
      </c>
      <c r="FB14" s="156">
        <f>'Semi-trailer truck (Diesel)'!AC296</f>
        <v>3.0471688242364847E-2</v>
      </c>
      <c r="FC14" s="156">
        <f>'Semi-trailer truck (Battery)'!AC296</f>
        <v>3.1183649930793887E-2</v>
      </c>
      <c r="FD14" s="156">
        <f>'Semi-trailer truck (Hydrogen)'!AC296</f>
        <v>3.4980069034029261E-2</v>
      </c>
      <c r="FE14" s="156">
        <f>'Semi-trailer truck (Diesel)'!AC405</f>
        <v>4.0234492754030571E-2</v>
      </c>
      <c r="FF14" s="156">
        <f>'Semi-trailer truck (Battery)'!AC405</f>
        <v>4.0680006660629722E-2</v>
      </c>
      <c r="FG14" s="156">
        <f>'Semi-trailer truck (Hydrogen)'!AC405</f>
        <v>4.4827223290860529E-2</v>
      </c>
      <c r="FH14" s="156">
        <f>'Semi-trailer truck (Diesel)'!AC510</f>
        <v>3.1358591335074237E-2</v>
      </c>
      <c r="FI14" s="156">
        <f>'Semi-trailer truck (Battery)'!AC510</f>
        <v>3.1879367659423806E-2</v>
      </c>
      <c r="FJ14" s="156">
        <f>'Semi-trailer truck (Hydrogen)'!AC510</f>
        <v>3.5417391687700819E-2</v>
      </c>
      <c r="FK14" s="156"/>
      <c r="FL14" s="156"/>
      <c r="FM14" s="156"/>
      <c r="FN14" s="156"/>
      <c r="FP14" s="156"/>
      <c r="FQ14" s="156"/>
      <c r="FR14" s="156"/>
    </row>
    <row r="15" spans="1:174" x14ac:dyDescent="0.25">
      <c r="A15" s="154" t="s">
        <v>73</v>
      </c>
      <c r="B15" s="157">
        <f>'Short-sea (HFO)'!B83</f>
        <v>0</v>
      </c>
      <c r="C15" s="156">
        <f>'Short-sea (MGO)'!B83</f>
        <v>0</v>
      </c>
      <c r="D15" s="156">
        <f>'Short-sea (Hydrogen)'!B83</f>
        <v>1.7510189894861146E-3</v>
      </c>
      <c r="E15" s="156">
        <f>'Short-sea (Ammonia)'!B83</f>
        <v>1.2843864944512701E-3</v>
      </c>
      <c r="F15" s="156">
        <f>'Short-sea (Methanol)'!B83</f>
        <v>1.1611655888857896E-3</v>
      </c>
      <c r="G15" s="154">
        <f>'Short-sea (HFO)'!B189</f>
        <v>0</v>
      </c>
      <c r="H15" s="156">
        <f>'Short-sea (MGO)'!B189</f>
        <v>0</v>
      </c>
      <c r="I15" s="156">
        <f>'Short-sea (Hydrogen)'!B189</f>
        <v>1.7946332048243002E-3</v>
      </c>
      <c r="J15" s="156">
        <f>'Short-sea (Ammonia)'!B189</f>
        <v>1.3185258345998034E-3</v>
      </c>
      <c r="K15" s="156">
        <f>'Short-sea (Methanol)'!B189</f>
        <v>1.1775289054720209E-3</v>
      </c>
      <c r="L15" s="156">
        <f>'Short-sea (HFO)'!B297</f>
        <v>0</v>
      </c>
      <c r="M15" s="156">
        <f>'Short-sea (MGO)'!B297</f>
        <v>0</v>
      </c>
      <c r="N15" s="156">
        <f>'Short-sea (Hydrogen)'!B297</f>
        <v>1.7506312167844713E-3</v>
      </c>
      <c r="O15" s="156">
        <f>'Short-sea (Ammonia)'!B297</f>
        <v>1.284082962585361E-3</v>
      </c>
      <c r="P15" s="156">
        <f>'Short-sea (Methanol)'!B297</f>
        <v>1.1610201031208543E-3</v>
      </c>
      <c r="Q15" s="156">
        <f>'Short-sea (HFO)'!B406</f>
        <v>0</v>
      </c>
      <c r="R15" s="156">
        <f>'Short-sea (MGO)'!B406</f>
        <v>0</v>
      </c>
      <c r="S15" s="156">
        <f>'Short-sea (Hydrogen)'!B406</f>
        <v>1.7506312167844713E-3</v>
      </c>
      <c r="T15" s="156">
        <f>'Short-sea (Ammonia)'!B406</f>
        <v>1.284082962585361E-3</v>
      </c>
      <c r="U15" s="156">
        <f>'Short-sea (Methanol)'!B406</f>
        <v>1.1610201031208543E-3</v>
      </c>
      <c r="V15" s="156">
        <f>'Railway (Diesel)'!B83</f>
        <v>0</v>
      </c>
      <c r="W15" s="156">
        <f>'Railway (Catenary)'!B83</f>
        <v>0</v>
      </c>
      <c r="X15" s="156">
        <f>'Railway (Battery)'!B83</f>
        <v>4.0036420099615229E-4</v>
      </c>
      <c r="Y15" s="156">
        <f>'Railway (Hydrogen)'!B83</f>
        <v>2.5440916456170339E-4</v>
      </c>
      <c r="Z15" s="156">
        <f>'Railway (Diesel)'!B189</f>
        <v>0</v>
      </c>
      <c r="AA15" s="156">
        <f>'Railway (Catenary)'!B189</f>
        <v>0</v>
      </c>
      <c r="AB15" s="156">
        <f>'Railway (Battery)'!B189</f>
        <v>4.0282912452609815E-4</v>
      </c>
      <c r="AC15" s="156">
        <f>'Railway (Hydrogen)'!B189</f>
        <v>2.5562755645893408E-4</v>
      </c>
      <c r="AD15" s="156">
        <f>'Railway (Diesel)'!B297</f>
        <v>0</v>
      </c>
      <c r="AE15" s="156">
        <f>'Railway (Catenary)'!B297</f>
        <v>0</v>
      </c>
      <c r="AF15" s="156">
        <f>'Railway (Battery)'!B297</f>
        <v>3.8226000875932198E-4</v>
      </c>
      <c r="AG15" s="156">
        <f>'Railway (Hydrogen)'!B297</f>
        <v>2.4546040779125158E-4</v>
      </c>
      <c r="AH15" s="156">
        <f>'Railway (Diesel)'!B406</f>
        <v>0</v>
      </c>
      <c r="AI15" s="156">
        <f>'Railway (Catenary)'!B406</f>
        <v>0</v>
      </c>
      <c r="AJ15" s="156">
        <f>'Railway (Battery)'!B406</f>
        <v>5.5675688806499334E-4</v>
      </c>
      <c r="AK15" s="156">
        <f>'Railway (Hydrogen)'!B406</f>
        <v>3.3171281329392316E-4</v>
      </c>
      <c r="AL15" s="156">
        <f>'Railway (Diesel)'!B511</f>
        <v>0</v>
      </c>
      <c r="AM15" s="156">
        <f>'Railway (Catenary)'!B511</f>
        <v>0</v>
      </c>
      <c r="AN15" s="156">
        <f>'Railway (Battery)'!B511</f>
        <v>2.5124091616929127E-4</v>
      </c>
      <c r="AO15" s="156">
        <f>'Railway (Hydrogen)'!B511</f>
        <v>1.6068357400247577E-4</v>
      </c>
      <c r="AP15" s="156">
        <f>'Semi-trailer truck (Diesel)'!B83</f>
        <v>0</v>
      </c>
      <c r="AQ15" s="156">
        <f>'Semi-trailer truck (Battery)'!B83</f>
        <v>1.2701981899788134E-2</v>
      </c>
      <c r="AR15" s="156">
        <f>'Semi-trailer truck (Hydrogen)'!B83</f>
        <v>7.1246723029506909E-3</v>
      </c>
      <c r="AS15" s="156">
        <f>'Semi-trailer truck (Diesel)'!B189</f>
        <v>0</v>
      </c>
      <c r="AT15" s="156">
        <f>'Semi-trailer truck (Battery)'!B189</f>
        <v>7.0414591282912525E-3</v>
      </c>
      <c r="AU15" s="156">
        <f>'Semi-trailer truck (Hydrogen)'!B189</f>
        <v>4.2559732095678038E-3</v>
      </c>
      <c r="AV15" s="156">
        <f>'Semi-trailer truck (Diesel)'!B297</f>
        <v>0</v>
      </c>
      <c r="AW15" s="156">
        <f>'Semi-trailer truck (Battery)'!B297</f>
        <v>7.1098997496071709E-3</v>
      </c>
      <c r="AX15" s="156">
        <f>'Semi-trailer truck (Hydrogen)'!B297</f>
        <v>4.2974127049972416E-3</v>
      </c>
      <c r="AY15" s="156">
        <f>'Semi-trailer truck (Diesel)'!B406</f>
        <v>0</v>
      </c>
      <c r="AZ15" s="156">
        <f>'Semi-trailer truck (Battery)'!B406</f>
        <v>9.2833814533645614E-3</v>
      </c>
      <c r="BA15" s="156">
        <f>'Semi-trailer truck (Hydrogen)'!B406</f>
        <v>5.3948565408023091E-3</v>
      </c>
      <c r="BB15" s="156">
        <f>'Semi-trailer truck (Diesel)'!B511</f>
        <v>0</v>
      </c>
      <c r="BC15" s="156">
        <f>'Semi-trailer truck (Battery)'!B511</f>
        <v>8.1517656946896305E-3</v>
      </c>
      <c r="BD15" s="156">
        <f>'Semi-trailer truck (Hydrogen)'!B511</f>
        <v>4.8236229024654215E-3</v>
      </c>
      <c r="BE15" s="157">
        <f>'Short-sea (HFO)'!M83</f>
        <v>0</v>
      </c>
      <c r="BF15" s="156">
        <f>'Short-sea (MGO)'!M83</f>
        <v>0</v>
      </c>
      <c r="BG15" s="156">
        <f>'Short-sea (Hydrogen)'!M83</f>
        <v>1.494188510107259E-3</v>
      </c>
      <c r="BH15" s="156">
        <f>'Short-sea (Ammonia)'!M83</f>
        <v>1.1709026309665339E-3</v>
      </c>
      <c r="BI15" s="156">
        <f>'Short-sea (Methanol)'!M83</f>
        <v>8.1126268520433087E-4</v>
      </c>
      <c r="BJ15" s="154">
        <f>'Short-sea (HFO)'!M189</f>
        <v>0</v>
      </c>
      <c r="BK15" s="156">
        <f>'Short-sea (MGO)'!M189</f>
        <v>0</v>
      </c>
      <c r="BL15" s="156">
        <f>'Short-sea (Hydrogen)'!M189</f>
        <v>1.5367922527926223E-3</v>
      </c>
      <c r="BM15" s="156">
        <f>'Short-sea (Ammonia)'!M189</f>
        <v>1.2045578659817049E-3</v>
      </c>
      <c r="BN15" s="156">
        <f>'Short-sea (Methanol)'!M189</f>
        <v>8.276260017905622E-4</v>
      </c>
      <c r="BO15" s="156">
        <f>'Short-sea (HFO)'!M297</f>
        <v>0</v>
      </c>
      <c r="BP15" s="156">
        <f>'Short-sea (MGO)'!M297</f>
        <v>0</v>
      </c>
      <c r="BQ15" s="156">
        <f>'Short-sea (Hydrogen)'!M297</f>
        <v>1.4938097214881544E-3</v>
      </c>
      <c r="BR15" s="156">
        <f>'Short-sea (Ammonia)'!M297</f>
        <v>1.1706034032650803E-3</v>
      </c>
      <c r="BS15" s="156">
        <f>'Short-sea (Methanol)'!M297</f>
        <v>8.1111719943939564E-4</v>
      </c>
      <c r="BT15" s="156">
        <f>'Short-sea (HFO)'!M406</f>
        <v>0</v>
      </c>
      <c r="BU15" s="156">
        <f>'Short-sea (MGO)'!M406</f>
        <v>0</v>
      </c>
      <c r="BV15" s="156">
        <f>'Short-sea (Hydrogen)'!M406</f>
        <v>1.4938097214881544E-3</v>
      </c>
      <c r="BW15" s="156">
        <f>'Short-sea (Ammonia)'!M406</f>
        <v>1.1706034032650803E-3</v>
      </c>
      <c r="BX15" s="156">
        <f>'Short-sea (Methanol)'!M406</f>
        <v>8.1111719943939564E-4</v>
      </c>
      <c r="BY15" s="156">
        <f>'Railway (Diesel)'!M83</f>
        <v>0</v>
      </c>
      <c r="BZ15" s="156">
        <f>'Railway (Catenary)'!M83</f>
        <v>0</v>
      </c>
      <c r="CA15" s="156">
        <f>'Railway (Battery)'!M83</f>
        <v>2.8904864119112458E-4</v>
      </c>
      <c r="CB15" s="156">
        <f>'Railway (Hydrogen)'!M83</f>
        <v>2.1209226918453804E-4</v>
      </c>
      <c r="CC15" s="156">
        <f>'Railway (Diesel)'!M189</f>
        <v>0</v>
      </c>
      <c r="CD15" s="156">
        <f>'Railway (Catenary)'!M189</f>
        <v>0</v>
      </c>
      <c r="CE15" s="156">
        <f>'Railway (Battery)'!M189</f>
        <v>2.9096929243943234E-4</v>
      </c>
      <c r="CF15" s="156">
        <f>'Railway (Hydrogen)'!M189</f>
        <v>2.1331066108176873E-4</v>
      </c>
      <c r="CG15" s="156">
        <f>'Railway (Diesel)'!M297</f>
        <v>0</v>
      </c>
      <c r="CH15" s="156">
        <f>'Railway (Catenary)'!M297</f>
        <v>0</v>
      </c>
      <c r="CI15" s="156">
        <f>'Railway (Battery)'!M297</f>
        <v>2.7494198068144481E-4</v>
      </c>
      <c r="CJ15" s="156">
        <f>'Railway (Hydrogen)'!M297</f>
        <v>2.0314351241408624E-4</v>
      </c>
      <c r="CK15" s="156">
        <f>'Railway (Diesel)'!M406</f>
        <v>0</v>
      </c>
      <c r="CL15" s="156">
        <f>'Railway (Catenary)'!M406</f>
        <v>0</v>
      </c>
      <c r="CM15" s="156">
        <f>'Railway (Battery)'!M406</f>
        <v>4.1090873380485518E-4</v>
      </c>
      <c r="CN15" s="156">
        <f>'Railway (Hydrogen)'!M406</f>
        <v>2.8939591791675781E-4</v>
      </c>
      <c r="CO15" s="156">
        <f>'Railway (Diesel)'!M511</f>
        <v>0</v>
      </c>
      <c r="CP15" s="156">
        <f>'Railway (Catenary)'!M511</f>
        <v>0</v>
      </c>
      <c r="CQ15" s="156">
        <f>'Railway (Battery)'!M511</f>
        <v>1.8150103418036918E-4</v>
      </c>
      <c r="CR15" s="156">
        <f>'Railway (Hydrogen)'!M511</f>
        <v>1.3369888709529806E-4</v>
      </c>
      <c r="CS15" s="156">
        <f>'Semi-trailer truck (Diesel)'!M83</f>
        <v>0</v>
      </c>
      <c r="CT15" s="156">
        <f>'Semi-trailer truck (Battery)'!M83</f>
        <v>8.054003272115931E-3</v>
      </c>
      <c r="CU15" s="156">
        <f>'Semi-trailer truck (Hydrogen)'!M83</f>
        <v>4.1744594293029319E-3</v>
      </c>
      <c r="CV15" s="156">
        <f>'Semi-trailer truck (Diesel)'!M189</f>
        <v>0</v>
      </c>
      <c r="CW15" s="156">
        <f>'Semi-trailer truck (Battery)'!M189</f>
        <v>4.5038312884752088E-3</v>
      </c>
      <c r="CX15" s="156">
        <f>'Semi-trailer truck (Hydrogen)'!M189</f>
        <v>2.4758327376699363E-3</v>
      </c>
      <c r="CY15" s="156">
        <f>'Semi-trailer truck (Diesel)'!M297</f>
        <v>0</v>
      </c>
      <c r="CZ15" s="156">
        <f>'Semi-trailer truck (Battery)'!M297</f>
        <v>4.5162392669286788E-3</v>
      </c>
      <c r="DA15" s="156">
        <f>'Semi-trailer truck (Hydrogen)'!M297</f>
        <v>2.4870383616679564E-3</v>
      </c>
      <c r="DB15" s="156">
        <f>'Semi-trailer truck (Diesel)'!M406</f>
        <v>0</v>
      </c>
      <c r="DC15" s="156">
        <f>'Semi-trailer truck (Battery)'!M406</f>
        <v>5.8783299503231135E-3</v>
      </c>
      <c r="DD15" s="156">
        <f>'Semi-trailer truck (Hydrogen)'!M406</f>
        <v>3.1448672633386382E-3</v>
      </c>
      <c r="DE15" s="156">
        <f>'Semi-trailer truck (Diesel)'!M511</f>
        <v>0</v>
      </c>
      <c r="DF15" s="156">
        <f>'Semi-trailer truck (Battery)'!M511</f>
        <v>5.1685123029004132E-3</v>
      </c>
      <c r="DG15" s="156">
        <f>'Semi-trailer truck (Hydrogen)'!M511</f>
        <v>2.8021682077467025E-3</v>
      </c>
      <c r="DH15" s="157">
        <f>'Short-sea (HFO)'!AC83</f>
        <v>0</v>
      </c>
      <c r="DI15" s="156">
        <f>'Short-sea (MGO)'!AC83</f>
        <v>0</v>
      </c>
      <c r="DJ15" s="156">
        <f>'Short-sea (Hydrogen)'!AC83</f>
        <v>8.094818986598834E-4</v>
      </c>
      <c r="DK15" s="156">
        <f>'Short-sea (Ammonia)'!AC83</f>
        <v>7.1707742300858301E-4</v>
      </c>
      <c r="DL15" s="156">
        <f>'Short-sea (Methanol)'!AC83</f>
        <v>5.1448859271592019E-4</v>
      </c>
      <c r="DM15" s="154">
        <f>'Short-sea (HFO)'!AC189</f>
        <v>0</v>
      </c>
      <c r="DN15" s="156">
        <f>'Short-sea (MGO)'!AC189</f>
        <v>0</v>
      </c>
      <c r="DO15" s="156">
        <f>'Short-sea (Hydrogen)'!AC189</f>
        <v>8.4378183489417294E-4</v>
      </c>
      <c r="DP15" s="156">
        <f>'Short-sea (Ammonia)'!AC189</f>
        <v>7.4671054395598381E-4</v>
      </c>
      <c r="DQ15" s="156">
        <f>'Short-sea (Methanol)'!AC189</f>
        <v>5.3085190930215326E-4</v>
      </c>
      <c r="DR15" s="156">
        <f>'Short-sea (HFO)'!AC297</f>
        <v>0</v>
      </c>
      <c r="DS15" s="156">
        <f>'Short-sea (MGO)'!AC297</f>
        <v>0</v>
      </c>
      <c r="DT15" s="156">
        <f>'Short-sea (Hydrogen)'!AC297</f>
        <v>8.0917693893891272E-4</v>
      </c>
      <c r="DU15" s="156">
        <f>'Short-sea (Ammonia)'!AC297</f>
        <v>7.1681395580462486E-4</v>
      </c>
      <c r="DV15" s="156">
        <f>'Short-sea (Methanol)'!AC297</f>
        <v>5.143431069509867E-4</v>
      </c>
      <c r="DW15" s="156">
        <f>'Short-sea (HFO)'!AC406</f>
        <v>0</v>
      </c>
      <c r="DX15" s="156">
        <f>'Short-sea (MGO)'!AC406</f>
        <v>0</v>
      </c>
      <c r="DY15" s="156">
        <f>'Short-sea (Hydrogen)'!AC406</f>
        <v>8.0917693893891272E-4</v>
      </c>
      <c r="DZ15" s="156">
        <f>'Short-sea (Ammonia)'!AC406</f>
        <v>7.1681395580462486E-4</v>
      </c>
      <c r="EA15" s="156">
        <f>'Short-sea (Methanol)'!AC406</f>
        <v>5.143431069509867E-4</v>
      </c>
      <c r="EB15" s="156">
        <f>'Railway (Diesel)'!AC83</f>
        <v>0</v>
      </c>
      <c r="EC15" s="156">
        <f>'Railway (Catenary)'!AC83</f>
        <v>0</v>
      </c>
      <c r="ED15" s="156">
        <f>'Railway (Battery)'!AC83</f>
        <v>1.58493466725005E-4</v>
      </c>
      <c r="EE15" s="156">
        <f>'Railway (Hydrogen)'!AC83</f>
        <v>1.5478010083903697E-4</v>
      </c>
      <c r="EF15" s="156">
        <f>'Railway (Diesel)'!AC189</f>
        <v>0</v>
      </c>
      <c r="EG15" s="156">
        <f>'Railway (Catenary)'!AC189</f>
        <v>0</v>
      </c>
      <c r="EH15" s="156">
        <f>'Railway (Battery)'!AC189</f>
        <v>1.5971461973468201E-4</v>
      </c>
      <c r="EI15" s="156">
        <f>'Railway (Hydrogen)'!AC189</f>
        <v>1.5599849273626766E-4</v>
      </c>
      <c r="EJ15" s="156">
        <f>'Railway (Diesel)'!AC297</f>
        <v>0</v>
      </c>
      <c r="EK15" s="156">
        <f>'Railway (Catenary)'!AC297</f>
        <v>0</v>
      </c>
      <c r="EL15" s="156">
        <f>'Railway (Battery)'!AC297</f>
        <v>1.4952443033536787E-4</v>
      </c>
      <c r="EM15" s="156">
        <f>'Railway (Hydrogen)'!AC297</f>
        <v>1.4583134406858343E-4</v>
      </c>
      <c r="EN15" s="156">
        <f>'Railway (Diesel)'!AC406</f>
        <v>0</v>
      </c>
      <c r="EO15" s="156">
        <f>'Railway (Catenary)'!AC406</f>
        <v>0</v>
      </c>
      <c r="EP15" s="156">
        <f>'Railway (Battery)'!AC406</f>
        <v>2.359723005246131E-4</v>
      </c>
      <c r="EQ15" s="156">
        <f>'Railway (Hydrogen)'!AC406</f>
        <v>2.3208374957125674E-4</v>
      </c>
      <c r="ER15" s="156">
        <f>'Railway (Diesel)'!AC511</f>
        <v>0</v>
      </c>
      <c r="ES15" s="156">
        <f>'Railway (Catenary)'!AC511</f>
        <v>0</v>
      </c>
      <c r="ET15" s="156">
        <f>'Railway (Battery)'!AC511</f>
        <v>9.9515614614340865E-5</v>
      </c>
      <c r="EU15" s="156">
        <f>'Railway (Hydrogen)'!AC511</f>
        <v>9.7151997135846296E-5</v>
      </c>
      <c r="EV15" s="156">
        <f>'Semi-trailer truck (Diesel)'!AC83</f>
        <v>0</v>
      </c>
      <c r="EW15" s="156">
        <f>'Semi-trailer truck (Battery)'!AC83</f>
        <v>4.6393566245115647E-3</v>
      </c>
      <c r="EX15" s="156">
        <f>'Semi-trailer truck (Hydrogen)'!AC83</f>
        <v>1.9546914718768515E-3</v>
      </c>
      <c r="EY15" s="156">
        <f>'Semi-trailer truck (Diesel)'!AC189</f>
        <v>0</v>
      </c>
      <c r="EZ15" s="156">
        <f>'Semi-trailer truck (Battery)'!AC189</f>
        <v>2.6088794044930377E-3</v>
      </c>
      <c r="FA15" s="156">
        <f>'Semi-trailer truck (Hydrogen)'!AC189</f>
        <v>1.1344983734424621E-3</v>
      </c>
      <c r="FB15" s="156">
        <f>'Semi-trailer truck (Diesel)'!AC297</f>
        <v>0</v>
      </c>
      <c r="FC15" s="156">
        <f>'Semi-trailer truck (Battery)'!AC297</f>
        <v>2.6094535011540812E-3</v>
      </c>
      <c r="FD15" s="156">
        <f>'Semi-trailer truck (Hydrogen)'!AC297</f>
        <v>1.1362174731464891E-3</v>
      </c>
      <c r="FE15" s="156">
        <f>'Semi-trailer truck (Diesel)'!AC406</f>
        <v>0</v>
      </c>
      <c r="FF15" s="156">
        <f>'Semi-trailer truck (Battery)'!AC406</f>
        <v>3.4041103604977863E-3</v>
      </c>
      <c r="FG15" s="156">
        <f>'Semi-trailer truck (Hydrogen)'!AC406</f>
        <v>1.4560712938035125E-3</v>
      </c>
      <c r="FH15" s="156">
        <f>'Semi-trailer truck (Diesel)'!AC511</f>
        <v>0</v>
      </c>
      <c r="FI15" s="156">
        <f>'Semi-trailer truck (Battery)'!AC511</f>
        <v>2.9898538099160307E-3</v>
      </c>
      <c r="FJ15" s="156">
        <f>'Semi-trailer truck (Hydrogen)'!AC511</f>
        <v>1.2893624417492644E-3</v>
      </c>
      <c r="FK15" s="156"/>
      <c r="FL15" s="156"/>
      <c r="FM15" s="156"/>
      <c r="FN15" s="156"/>
      <c r="FP15" s="156"/>
      <c r="FQ15" s="156"/>
      <c r="FR15" s="156"/>
    </row>
    <row r="16" spans="1:174" x14ac:dyDescent="0.25">
      <c r="A16" s="154" t="s">
        <v>206</v>
      </c>
      <c r="B16" s="157">
        <f>'Short-sea (HFO)'!B84</f>
        <v>0</v>
      </c>
      <c r="C16" s="156">
        <f>'Short-sea (MGO)'!B84</f>
        <v>0</v>
      </c>
      <c r="D16" s="156">
        <f>'Short-sea (Hydrogen)'!B84</f>
        <v>0</v>
      </c>
      <c r="E16" s="156">
        <f>'Short-sea (Ammonia)'!B84</f>
        <v>0</v>
      </c>
      <c r="F16" s="156">
        <f>'Short-sea (Methanol)'!B84</f>
        <v>0</v>
      </c>
      <c r="G16" s="154">
        <f>'Short-sea (HFO)'!B190</f>
        <v>0</v>
      </c>
      <c r="H16" s="156">
        <f>'Short-sea (MGO)'!B190</f>
        <v>0</v>
      </c>
      <c r="I16" s="156">
        <f>'Short-sea (Hydrogen)'!B190</f>
        <v>0</v>
      </c>
      <c r="J16" s="156">
        <f>'Short-sea (Ammonia)'!B190</f>
        <v>0</v>
      </c>
      <c r="K16" s="156">
        <f>'Short-sea (Methanol)'!B190</f>
        <v>0</v>
      </c>
      <c r="L16" s="156">
        <f>'Short-sea (HFO)'!B298</f>
        <v>0</v>
      </c>
      <c r="M16" s="156">
        <f>'Short-sea (MGO)'!B298</f>
        <v>0</v>
      </c>
      <c r="N16" s="156">
        <f>'Short-sea (Hydrogen)'!B298</f>
        <v>0</v>
      </c>
      <c r="O16" s="156">
        <f>'Short-sea (Ammonia)'!B298</f>
        <v>0</v>
      </c>
      <c r="P16" s="156">
        <f>'Short-sea (Methanol)'!B298</f>
        <v>0</v>
      </c>
      <c r="Q16" s="156">
        <f>'Short-sea (HFO)'!B407</f>
        <v>0</v>
      </c>
      <c r="R16" s="156">
        <f>'Short-sea (MGO)'!B407</f>
        <v>0</v>
      </c>
      <c r="S16" s="156">
        <f>'Short-sea (Hydrogen)'!B407</f>
        <v>0</v>
      </c>
      <c r="T16" s="156">
        <f>'Short-sea (Ammonia)'!B407</f>
        <v>0</v>
      </c>
      <c r="U16" s="156">
        <f>'Short-sea (Methanol)'!B407</f>
        <v>0</v>
      </c>
      <c r="V16" s="156">
        <f>'Railway (Diesel)'!B84</f>
        <v>0</v>
      </c>
      <c r="W16" s="156">
        <f>'Railway (Catenary)'!B84</f>
        <v>0</v>
      </c>
      <c r="X16" s="156">
        <f>'Railway (Battery)'!B84</f>
        <v>0</v>
      </c>
      <c r="Y16" s="156">
        <f>'Railway (Hydrogen)'!B84</f>
        <v>0</v>
      </c>
      <c r="Z16" s="156">
        <f>'Railway (Diesel)'!B190</f>
        <v>0</v>
      </c>
      <c r="AA16" s="156">
        <f>'Railway (Catenary)'!B190</f>
        <v>0</v>
      </c>
      <c r="AB16" s="156">
        <f>'Railway (Battery)'!B190</f>
        <v>0</v>
      </c>
      <c r="AC16" s="156">
        <f>'Railway (Hydrogen)'!B190</f>
        <v>0</v>
      </c>
      <c r="AD16" s="156">
        <f>'Railway (Diesel)'!B298</f>
        <v>0</v>
      </c>
      <c r="AE16" s="156">
        <f>'Railway (Catenary)'!B298</f>
        <v>0</v>
      </c>
      <c r="AF16" s="156">
        <f>'Railway (Battery)'!B298</f>
        <v>0</v>
      </c>
      <c r="AG16" s="156">
        <f>'Railway (Hydrogen)'!B298</f>
        <v>0</v>
      </c>
      <c r="AH16" s="156">
        <f>'Railway (Diesel)'!B407</f>
        <v>0</v>
      </c>
      <c r="AI16" s="156">
        <f>'Railway (Catenary)'!B407</f>
        <v>0</v>
      </c>
      <c r="AJ16" s="156">
        <f>'Railway (Battery)'!B407</f>
        <v>0</v>
      </c>
      <c r="AK16" s="156">
        <f>'Railway (Hydrogen)'!B407</f>
        <v>0</v>
      </c>
      <c r="AL16" s="156">
        <f>'Railway (Diesel)'!B512</f>
        <v>0</v>
      </c>
      <c r="AM16" s="156">
        <f>'Railway (Catenary)'!B512</f>
        <v>0</v>
      </c>
      <c r="AN16" s="156">
        <f>'Railway (Battery)'!B512</f>
        <v>0</v>
      </c>
      <c r="AO16" s="156">
        <f>'Railway (Hydrogen)'!B512</f>
        <v>0</v>
      </c>
      <c r="AP16" s="156">
        <f>'Semi-trailer truck (Diesel)'!B84</f>
        <v>0</v>
      </c>
      <c r="AQ16" s="156">
        <f>'Semi-trailer truck (Battery)'!B84</f>
        <v>0</v>
      </c>
      <c r="AR16" s="156">
        <f>'Semi-trailer truck (Hydrogen)'!B84</f>
        <v>0</v>
      </c>
      <c r="AS16" s="156">
        <f>'Semi-trailer truck (Diesel)'!B190</f>
        <v>0</v>
      </c>
      <c r="AT16" s="156">
        <f>'Semi-trailer truck (Battery)'!B190</f>
        <v>0</v>
      </c>
      <c r="AU16" s="156">
        <f>'Semi-trailer truck (Hydrogen)'!B190</f>
        <v>0</v>
      </c>
      <c r="AV16" s="156">
        <f>'Semi-trailer truck (Diesel)'!B298</f>
        <v>0</v>
      </c>
      <c r="AW16" s="156">
        <f>'Semi-trailer truck (Battery)'!B298</f>
        <v>0</v>
      </c>
      <c r="AX16" s="156">
        <f>'Semi-trailer truck (Hydrogen)'!B298</f>
        <v>0</v>
      </c>
      <c r="AY16" s="156">
        <f>'Semi-trailer truck (Diesel)'!B407</f>
        <v>0</v>
      </c>
      <c r="AZ16" s="156">
        <f>'Semi-trailer truck (Battery)'!B407</f>
        <v>0</v>
      </c>
      <c r="BA16" s="156">
        <f>'Semi-trailer truck (Hydrogen)'!B407</f>
        <v>0</v>
      </c>
      <c r="BB16" s="156">
        <f>'Semi-trailer truck (Diesel)'!B512</f>
        <v>0</v>
      </c>
      <c r="BC16" s="156">
        <f>'Semi-trailer truck (Battery)'!B512</f>
        <v>0</v>
      </c>
      <c r="BD16" s="156">
        <f>'Semi-trailer truck (Hydrogen)'!B512</f>
        <v>0</v>
      </c>
      <c r="BE16" s="157">
        <f>'Short-sea (HFO)'!M84</f>
        <v>0</v>
      </c>
      <c r="BF16" s="156">
        <f>'Short-sea (MGO)'!M84</f>
        <v>0</v>
      </c>
      <c r="BG16" s="156">
        <f>'Short-sea (Hydrogen)'!M84</f>
        <v>0</v>
      </c>
      <c r="BH16" s="156">
        <f>'Short-sea (Ammonia)'!M84</f>
        <v>0</v>
      </c>
      <c r="BI16" s="156">
        <f>'Short-sea (Methanol)'!M84</f>
        <v>0</v>
      </c>
      <c r="BJ16" s="154">
        <f>'Short-sea (HFO)'!M190</f>
        <v>0</v>
      </c>
      <c r="BK16" s="156">
        <f>'Short-sea (MGO)'!M190</f>
        <v>0</v>
      </c>
      <c r="BL16" s="156">
        <f>'Short-sea (Hydrogen)'!M190</f>
        <v>0</v>
      </c>
      <c r="BM16" s="156">
        <f>'Short-sea (Ammonia)'!M190</f>
        <v>0</v>
      </c>
      <c r="BN16" s="156">
        <f>'Short-sea (Methanol)'!M190</f>
        <v>0</v>
      </c>
      <c r="BO16" s="156">
        <f>'Short-sea (HFO)'!M298</f>
        <v>0</v>
      </c>
      <c r="BP16" s="156">
        <f>'Short-sea (MGO)'!M298</f>
        <v>0</v>
      </c>
      <c r="BQ16" s="156">
        <f>'Short-sea (Hydrogen)'!M298</f>
        <v>0</v>
      </c>
      <c r="BR16" s="156">
        <f>'Short-sea (Ammonia)'!M298</f>
        <v>0</v>
      </c>
      <c r="BS16" s="156">
        <f>'Short-sea (Methanol)'!M298</f>
        <v>0</v>
      </c>
      <c r="BT16" s="156">
        <f>'Short-sea (HFO)'!M407</f>
        <v>0</v>
      </c>
      <c r="BU16" s="156">
        <f>'Short-sea (MGO)'!M407</f>
        <v>0</v>
      </c>
      <c r="BV16" s="156">
        <f>'Short-sea (Hydrogen)'!M407</f>
        <v>0</v>
      </c>
      <c r="BW16" s="156">
        <f>'Short-sea (Ammonia)'!M407</f>
        <v>0</v>
      </c>
      <c r="BX16" s="156">
        <f>'Short-sea (Methanol)'!M407</f>
        <v>0</v>
      </c>
      <c r="BY16" s="156">
        <f>'Railway (Diesel)'!M84</f>
        <v>0</v>
      </c>
      <c r="BZ16" s="156">
        <f>'Railway (Catenary)'!M84</f>
        <v>0</v>
      </c>
      <c r="CA16" s="156">
        <f>'Railway (Battery)'!M84</f>
        <v>0</v>
      </c>
      <c r="CB16" s="156">
        <f>'Railway (Hydrogen)'!M84</f>
        <v>0</v>
      </c>
      <c r="CC16" s="156">
        <f>'Railway (Diesel)'!M190</f>
        <v>0</v>
      </c>
      <c r="CD16" s="156">
        <f>'Railway (Catenary)'!M190</f>
        <v>0</v>
      </c>
      <c r="CE16" s="156">
        <f>'Railway (Battery)'!M190</f>
        <v>0</v>
      </c>
      <c r="CF16" s="156">
        <f>'Railway (Hydrogen)'!M190</f>
        <v>0</v>
      </c>
      <c r="CG16" s="156">
        <f>'Railway (Diesel)'!M298</f>
        <v>0</v>
      </c>
      <c r="CH16" s="156">
        <f>'Railway (Catenary)'!M298</f>
        <v>0</v>
      </c>
      <c r="CI16" s="156">
        <f>'Railway (Battery)'!M298</f>
        <v>0</v>
      </c>
      <c r="CJ16" s="156">
        <f>'Railway (Hydrogen)'!M298</f>
        <v>0</v>
      </c>
      <c r="CK16" s="156">
        <f>'Railway (Diesel)'!M407</f>
        <v>0</v>
      </c>
      <c r="CL16" s="156">
        <f>'Railway (Catenary)'!M407</f>
        <v>0</v>
      </c>
      <c r="CM16" s="156">
        <f>'Railway (Battery)'!M407</f>
        <v>0</v>
      </c>
      <c r="CN16" s="156">
        <f>'Railway (Hydrogen)'!M407</f>
        <v>0</v>
      </c>
      <c r="CO16" s="156">
        <f>'Railway (Diesel)'!M512</f>
        <v>0</v>
      </c>
      <c r="CP16" s="156">
        <f>'Railway (Catenary)'!M512</f>
        <v>0</v>
      </c>
      <c r="CQ16" s="156">
        <f>'Railway (Battery)'!M512</f>
        <v>0</v>
      </c>
      <c r="CR16" s="156">
        <f>'Railway (Hydrogen)'!M512</f>
        <v>0</v>
      </c>
      <c r="CS16" s="156">
        <f>'Semi-trailer truck (Diesel)'!M84</f>
        <v>0</v>
      </c>
      <c r="CT16" s="156">
        <f>'Semi-trailer truck (Battery)'!M84</f>
        <v>0</v>
      </c>
      <c r="CU16" s="156">
        <f>'Semi-trailer truck (Hydrogen)'!M84</f>
        <v>0</v>
      </c>
      <c r="CV16" s="156">
        <f>'Semi-trailer truck (Diesel)'!M190</f>
        <v>0</v>
      </c>
      <c r="CW16" s="156">
        <f>'Semi-trailer truck (Battery)'!M190</f>
        <v>0</v>
      </c>
      <c r="CX16" s="156">
        <f>'Semi-trailer truck (Hydrogen)'!M190</f>
        <v>0</v>
      </c>
      <c r="CY16" s="156">
        <f>'Semi-trailer truck (Diesel)'!M298</f>
        <v>0</v>
      </c>
      <c r="CZ16" s="156">
        <f>'Semi-trailer truck (Battery)'!M298</f>
        <v>0</v>
      </c>
      <c r="DA16" s="156">
        <f>'Semi-trailer truck (Hydrogen)'!M298</f>
        <v>0</v>
      </c>
      <c r="DB16" s="156">
        <f>'Semi-trailer truck (Diesel)'!M407</f>
        <v>0</v>
      </c>
      <c r="DC16" s="156">
        <f>'Semi-trailer truck (Battery)'!M407</f>
        <v>0</v>
      </c>
      <c r="DD16" s="156">
        <f>'Semi-trailer truck (Hydrogen)'!M407</f>
        <v>0</v>
      </c>
      <c r="DE16" s="156">
        <f>'Semi-trailer truck (Diesel)'!M512</f>
        <v>0</v>
      </c>
      <c r="DF16" s="156">
        <f>'Semi-trailer truck (Battery)'!M512</f>
        <v>0</v>
      </c>
      <c r="DG16" s="156">
        <f>'Semi-trailer truck (Hydrogen)'!M512</f>
        <v>0</v>
      </c>
      <c r="DH16" s="157">
        <f>'Short-sea (HFO)'!AC84</f>
        <v>0</v>
      </c>
      <c r="DI16" s="156">
        <f>'Short-sea (MGO)'!AC84</f>
        <v>0</v>
      </c>
      <c r="DJ16" s="156">
        <f>'Short-sea (Hydrogen)'!AC84</f>
        <v>0</v>
      </c>
      <c r="DK16" s="156">
        <f>'Short-sea (Ammonia)'!AC84</f>
        <v>0</v>
      </c>
      <c r="DL16" s="156">
        <f>'Short-sea (Methanol)'!AC84</f>
        <v>0</v>
      </c>
      <c r="DM16" s="154">
        <f>'Short-sea (HFO)'!AC190</f>
        <v>0</v>
      </c>
      <c r="DN16" s="156">
        <f>'Short-sea (MGO)'!AC190</f>
        <v>0</v>
      </c>
      <c r="DO16" s="156">
        <f>'Short-sea (Hydrogen)'!AC190</f>
        <v>0</v>
      </c>
      <c r="DP16" s="156">
        <f>'Short-sea (Ammonia)'!AC190</f>
        <v>0</v>
      </c>
      <c r="DQ16" s="156">
        <f>'Short-sea (Methanol)'!AC190</f>
        <v>0</v>
      </c>
      <c r="DR16" s="156">
        <f>'Short-sea (HFO)'!AC298</f>
        <v>0</v>
      </c>
      <c r="DS16" s="156">
        <f>'Short-sea (MGO)'!AC298</f>
        <v>0</v>
      </c>
      <c r="DT16" s="156">
        <f>'Short-sea (Hydrogen)'!AC298</f>
        <v>0</v>
      </c>
      <c r="DU16" s="156">
        <f>'Short-sea (Ammonia)'!AC298</f>
        <v>0</v>
      </c>
      <c r="DV16" s="156">
        <f>'Short-sea (Methanol)'!AC298</f>
        <v>0</v>
      </c>
      <c r="DW16" s="156">
        <f>'Short-sea (HFO)'!AC407</f>
        <v>0</v>
      </c>
      <c r="DX16" s="156">
        <f>'Short-sea (MGO)'!AC407</f>
        <v>0</v>
      </c>
      <c r="DY16" s="156">
        <f>'Short-sea (Hydrogen)'!AC407</f>
        <v>0</v>
      </c>
      <c r="DZ16" s="156">
        <f>'Short-sea (Ammonia)'!AC407</f>
        <v>0</v>
      </c>
      <c r="EA16" s="156">
        <f>'Short-sea (Methanol)'!AC407</f>
        <v>0</v>
      </c>
      <c r="EB16" s="156">
        <f>'Railway (Diesel)'!AC84</f>
        <v>0</v>
      </c>
      <c r="EC16" s="156">
        <f>'Railway (Catenary)'!AC84</f>
        <v>0</v>
      </c>
      <c r="ED16" s="156">
        <f>'Railway (Battery)'!AC84</f>
        <v>0</v>
      </c>
      <c r="EE16" s="156">
        <f>'Railway (Hydrogen)'!AC84</f>
        <v>0</v>
      </c>
      <c r="EF16" s="156">
        <f>'Railway (Diesel)'!AC190</f>
        <v>0</v>
      </c>
      <c r="EG16" s="156">
        <f>'Railway (Catenary)'!AC190</f>
        <v>0</v>
      </c>
      <c r="EH16" s="156">
        <f>'Railway (Battery)'!AC190</f>
        <v>0</v>
      </c>
      <c r="EI16" s="156">
        <f>'Railway (Hydrogen)'!AC190</f>
        <v>0</v>
      </c>
      <c r="EJ16" s="156">
        <f>'Railway (Diesel)'!AC298</f>
        <v>0</v>
      </c>
      <c r="EK16" s="156">
        <f>'Railway (Catenary)'!AC298</f>
        <v>0</v>
      </c>
      <c r="EL16" s="156">
        <f>'Railway (Battery)'!AC298</f>
        <v>0</v>
      </c>
      <c r="EM16" s="156">
        <f>'Railway (Hydrogen)'!AC298</f>
        <v>0</v>
      </c>
      <c r="EN16" s="156">
        <f>'Railway (Diesel)'!AC407</f>
        <v>0</v>
      </c>
      <c r="EO16" s="156">
        <f>'Railway (Catenary)'!AC407</f>
        <v>0</v>
      </c>
      <c r="EP16" s="156">
        <f>'Railway (Battery)'!AC407</f>
        <v>0</v>
      </c>
      <c r="EQ16" s="156">
        <f>'Railway (Hydrogen)'!AC407</f>
        <v>0</v>
      </c>
      <c r="ER16" s="156">
        <f>'Railway (Diesel)'!AC512</f>
        <v>0</v>
      </c>
      <c r="ES16" s="156">
        <f>'Railway (Catenary)'!AC512</f>
        <v>0</v>
      </c>
      <c r="ET16" s="156">
        <f>'Railway (Battery)'!AC512</f>
        <v>0</v>
      </c>
      <c r="EU16" s="156">
        <f>'Railway (Hydrogen)'!AC512</f>
        <v>0</v>
      </c>
      <c r="EV16" s="156">
        <f>'Semi-trailer truck (Diesel)'!AC84</f>
        <v>0</v>
      </c>
      <c r="EW16" s="156">
        <f>'Semi-trailer truck (Battery)'!AC84</f>
        <v>0</v>
      </c>
      <c r="EX16" s="156">
        <f>'Semi-trailer truck (Hydrogen)'!AC84</f>
        <v>0</v>
      </c>
      <c r="EY16" s="156">
        <f>'Semi-trailer truck (Diesel)'!AC190</f>
        <v>0</v>
      </c>
      <c r="EZ16" s="156">
        <f>'Semi-trailer truck (Battery)'!AC190</f>
        <v>0</v>
      </c>
      <c r="FA16" s="156">
        <f>'Semi-trailer truck (Hydrogen)'!AC190</f>
        <v>0</v>
      </c>
      <c r="FB16" s="156">
        <f>'Semi-trailer truck (Diesel)'!AC298</f>
        <v>0</v>
      </c>
      <c r="FC16" s="156">
        <f>'Semi-trailer truck (Battery)'!AC298</f>
        <v>0</v>
      </c>
      <c r="FD16" s="156">
        <f>'Semi-trailer truck (Hydrogen)'!AC298</f>
        <v>0</v>
      </c>
      <c r="FE16" s="156">
        <f>'Semi-trailer truck (Diesel)'!AC407</f>
        <v>0</v>
      </c>
      <c r="FF16" s="156">
        <f>'Semi-trailer truck (Battery)'!AC407</f>
        <v>0</v>
      </c>
      <c r="FG16" s="156">
        <f>'Semi-trailer truck (Hydrogen)'!AC407</f>
        <v>0</v>
      </c>
      <c r="FH16" s="156">
        <f>'Semi-trailer truck (Diesel)'!AC512</f>
        <v>0</v>
      </c>
      <c r="FI16" s="156">
        <f>'Semi-trailer truck (Battery)'!AC512</f>
        <v>0</v>
      </c>
      <c r="FJ16" s="156">
        <f>'Semi-trailer truck (Hydrogen)'!AC512</f>
        <v>0</v>
      </c>
      <c r="FK16" s="156"/>
      <c r="FL16" s="156"/>
      <c r="FM16" s="156"/>
      <c r="FN16" s="156"/>
      <c r="FP16" s="156"/>
      <c r="FQ16" s="156"/>
      <c r="FR16" s="156"/>
    </row>
    <row r="17" spans="1:166" x14ac:dyDescent="0.25">
      <c r="A17" s="158" t="s">
        <v>382</v>
      </c>
      <c r="B17" s="159">
        <f>SUM(B6:B16)</f>
        <v>6.4142656974671992E-3</v>
      </c>
      <c r="C17" s="159">
        <f t="shared" ref="C17:BN17" si="0">SUM(C6:C16)</f>
        <v>9.6329818300335598E-3</v>
      </c>
      <c r="D17" s="159">
        <f t="shared" si="0"/>
        <v>2.4923789525740158E-2</v>
      </c>
      <c r="E17" s="159">
        <f t="shared" si="0"/>
        <v>2.2998315569490169E-2</v>
      </c>
      <c r="F17" s="159">
        <f t="shared" si="0"/>
        <v>4.2129683891405201E-2</v>
      </c>
      <c r="G17" s="159">
        <f t="shared" si="0"/>
        <v>8.2399739101303247E-3</v>
      </c>
      <c r="H17" s="159">
        <f t="shared" si="0"/>
        <v>1.2057520951081122E-2</v>
      </c>
      <c r="I17" s="159">
        <f t="shared" si="0"/>
        <v>2.9910973319097162E-2</v>
      </c>
      <c r="J17" s="159">
        <f t="shared" si="0"/>
        <v>2.7704612122780282E-2</v>
      </c>
      <c r="K17" s="159">
        <f t="shared" si="0"/>
        <v>5.0400453579734043E-2</v>
      </c>
      <c r="L17" s="159">
        <f t="shared" si="0"/>
        <v>8.3854162919468761E-3</v>
      </c>
      <c r="M17" s="159">
        <f t="shared" si="0"/>
        <v>1.2594506619149039E-2</v>
      </c>
      <c r="N17" s="159">
        <f t="shared" si="0"/>
        <v>3.2051015374837219E-2</v>
      </c>
      <c r="O17" s="159">
        <f t="shared" si="0"/>
        <v>2.9676751363664457E-2</v>
      </c>
      <c r="P17" s="159">
        <f t="shared" si="0"/>
        <v>5.47327667247514E-2</v>
      </c>
      <c r="Q17" s="159">
        <f t="shared" si="0"/>
        <v>6.4091309057636167E-3</v>
      </c>
      <c r="R17" s="159">
        <f t="shared" si="0"/>
        <v>9.6278470383299765E-3</v>
      </c>
      <c r="S17" s="159">
        <f t="shared" si="0"/>
        <v>2.4918266961334933E-2</v>
      </c>
      <c r="T17" s="159">
        <f t="shared" si="0"/>
        <v>2.2992877245920678E-2</v>
      </c>
      <c r="U17" s="159">
        <f t="shared" si="0"/>
        <v>4.2124403613936684E-2</v>
      </c>
      <c r="V17" s="159">
        <f t="shared" si="0"/>
        <v>1.4673217391859582E-2</v>
      </c>
      <c r="W17" s="159">
        <f t="shared" si="0"/>
        <v>1.2515885154245758E-2</v>
      </c>
      <c r="X17" s="159">
        <f t="shared" si="0"/>
        <v>1.733080925299478E-2</v>
      </c>
      <c r="Y17" s="159">
        <f t="shared" si="0"/>
        <v>2.2041384862265825E-2</v>
      </c>
      <c r="Z17" s="159">
        <f t="shared" si="0"/>
        <v>2.2179603065261261E-2</v>
      </c>
      <c r="AA17" s="159">
        <f t="shared" si="0"/>
        <v>1.8943604708840517E-2</v>
      </c>
      <c r="AB17" s="159">
        <f t="shared" si="0"/>
        <v>2.5968273679995914E-2</v>
      </c>
      <c r="AC17" s="159">
        <f t="shared" si="0"/>
        <v>3.3105868080487003E-2</v>
      </c>
      <c r="AD17" s="159">
        <f t="shared" si="0"/>
        <v>2.0919868645195999E-2</v>
      </c>
      <c r="AE17" s="159">
        <f t="shared" si="0"/>
        <v>1.7683870288775261E-2</v>
      </c>
      <c r="AF17" s="159">
        <f t="shared" si="0"/>
        <v>2.4687970144163886E-2</v>
      </c>
      <c r="AG17" s="159">
        <f t="shared" si="0"/>
        <v>3.1835966511754063E-2</v>
      </c>
      <c r="AH17" s="159">
        <f t="shared" si="0"/>
        <v>1.8939520639606751E-2</v>
      </c>
      <c r="AI17" s="159">
        <f t="shared" si="0"/>
        <v>1.7021891983950016E-2</v>
      </c>
      <c r="AJ17" s="159">
        <f t="shared" si="0"/>
        <v>2.1502702114462001E-2</v>
      </c>
      <c r="AK17" s="159">
        <f t="shared" si="0"/>
        <v>2.5594574169206932E-2</v>
      </c>
      <c r="AL17" s="159">
        <f t="shared" si="0"/>
        <v>2.1760421369870931E-2</v>
      </c>
      <c r="AM17" s="159">
        <f t="shared" si="0"/>
        <v>1.8524423013450197E-2</v>
      </c>
      <c r="AN17" s="159">
        <f t="shared" si="0"/>
        <v>2.5397503776248789E-2</v>
      </c>
      <c r="AO17" s="159">
        <f t="shared" si="0"/>
        <v>3.259174240264022E-2</v>
      </c>
      <c r="AP17" s="159">
        <f t="shared" si="0"/>
        <v>0.16008550383733161</v>
      </c>
      <c r="AQ17" s="159">
        <f t="shared" si="0"/>
        <v>0.21637192652690349</v>
      </c>
      <c r="AR17" s="159">
        <f t="shared" si="0"/>
        <v>0.24891004870420008</v>
      </c>
      <c r="AS17" s="159">
        <f t="shared" si="0"/>
        <v>8.0027147488310843E-2</v>
      </c>
      <c r="AT17" s="159">
        <f t="shared" si="0"/>
        <v>0.10531087632523629</v>
      </c>
      <c r="AU17" s="159">
        <f t="shared" si="0"/>
        <v>0.1301849178703009</v>
      </c>
      <c r="AV17" s="159">
        <f t="shared" si="0"/>
        <v>8.4300018728238085E-2</v>
      </c>
      <c r="AW17" s="159">
        <f t="shared" si="0"/>
        <v>0.11143385784995678</v>
      </c>
      <c r="AX17" s="159">
        <f t="shared" si="0"/>
        <v>0.13776629264773832</v>
      </c>
      <c r="AY17" s="159">
        <f t="shared" si="0"/>
        <v>0.10828383175735644</v>
      </c>
      <c r="AZ17" s="159">
        <f t="shared" si="0"/>
        <v>0.14511916971521754</v>
      </c>
      <c r="BA17" s="159">
        <f t="shared" si="0"/>
        <v>0.17252924484292287</v>
      </c>
      <c r="BB17" s="159">
        <f t="shared" si="0"/>
        <v>9.1760643921659973E-2</v>
      </c>
      <c r="BC17" s="159">
        <f t="shared" si="0"/>
        <v>0.12257559398774524</v>
      </c>
      <c r="BD17" s="159">
        <f t="shared" si="0"/>
        <v>0.14817175095677115</v>
      </c>
      <c r="BE17" s="159">
        <f t="shared" si="0"/>
        <v>5.0407860100282875E-3</v>
      </c>
      <c r="BF17" s="159">
        <f t="shared" si="0"/>
        <v>6.5592529229094422E-3</v>
      </c>
      <c r="BG17" s="159">
        <f t="shared" si="0"/>
        <v>2.1735347784127789E-2</v>
      </c>
      <c r="BH17" s="159">
        <f t="shared" si="0"/>
        <v>2.1249968711118561E-2</v>
      </c>
      <c r="BI17" s="159">
        <f t="shared" si="0"/>
        <v>2.9430266740142881E-2</v>
      </c>
      <c r="BJ17" s="159">
        <f t="shared" si="0"/>
        <v>6.6109631180516146E-3</v>
      </c>
      <c r="BK17" s="159">
        <f t="shared" si="0"/>
        <v>8.4119355030967055E-3</v>
      </c>
      <c r="BL17" s="159">
        <f t="shared" si="0"/>
        <v>2.6176105056044334E-2</v>
      </c>
      <c r="BM17" s="159">
        <f t="shared" si="0"/>
        <v>2.5651620602087057E-2</v>
      </c>
      <c r="BN17" s="159">
        <f t="shared" si="0"/>
        <v>3.5403452382410175E-2</v>
      </c>
      <c r="BO17" s="159">
        <f t="shared" ref="BO17:DZ17" si="1">SUM(BO6:BO16)</f>
        <v>6.5893274699113762E-3</v>
      </c>
      <c r="BP17" s="159">
        <f t="shared" si="1"/>
        <v>8.5750149713713468E-3</v>
      </c>
      <c r="BQ17" s="159">
        <f t="shared" si="1"/>
        <v>2.7960548382774002E-2</v>
      </c>
      <c r="BR17" s="159">
        <f t="shared" si="1"/>
        <v>2.7425374041799809E-2</v>
      </c>
      <c r="BS17" s="159">
        <f t="shared" si="1"/>
        <v>3.823349903577189E-2</v>
      </c>
      <c r="BT17" s="159">
        <f t="shared" si="1"/>
        <v>5.035651218324705E-3</v>
      </c>
      <c r="BU17" s="159">
        <f t="shared" si="1"/>
        <v>6.5541181312058598E-3</v>
      </c>
      <c r="BV17" s="159">
        <f t="shared" si="1"/>
        <v>2.1729834203805101E-2</v>
      </c>
      <c r="BW17" s="159">
        <f t="shared" si="1"/>
        <v>2.1244534691713526E-2</v>
      </c>
      <c r="BX17" s="159">
        <f t="shared" si="1"/>
        <v>2.9424986462674364E-2</v>
      </c>
      <c r="BY17" s="159">
        <f t="shared" si="1"/>
        <v>1.3095815431312328E-2</v>
      </c>
      <c r="BZ17" s="159">
        <f t="shared" si="1"/>
        <v>1.2677602662583812E-2</v>
      </c>
      <c r="CA17" s="159">
        <f t="shared" si="1"/>
        <v>1.5970411683245658E-2</v>
      </c>
      <c r="CB17" s="159">
        <f t="shared" si="1"/>
        <v>1.8362459770413571E-2</v>
      </c>
      <c r="CC17" s="159">
        <f t="shared" si="1"/>
        <v>1.9813500124440376E-2</v>
      </c>
      <c r="CD17" s="159">
        <f t="shared" si="1"/>
        <v>1.9186180971347597E-2</v>
      </c>
      <c r="CE17" s="159">
        <f t="shared" si="1"/>
        <v>2.3982790832993116E-2</v>
      </c>
      <c r="CF17" s="159">
        <f t="shared" si="1"/>
        <v>2.7608638890397191E-2</v>
      </c>
      <c r="CG17" s="159">
        <f t="shared" si="1"/>
        <v>1.8553765704375114E-2</v>
      </c>
      <c r="CH17" s="159">
        <f t="shared" si="1"/>
        <v>1.7926446551282338E-2</v>
      </c>
      <c r="CI17" s="159">
        <f t="shared" si="1"/>
        <v>2.2707029101169868E-2</v>
      </c>
      <c r="CJ17" s="159">
        <f t="shared" si="1"/>
        <v>2.6338737321664259E-2</v>
      </c>
      <c r="CK17" s="159">
        <f t="shared" si="1"/>
        <v>1.7537385563564746E-2</v>
      </c>
      <c r="CL17" s="159">
        <f t="shared" si="1"/>
        <v>1.7165640880250507E-2</v>
      </c>
      <c r="CM17" s="159">
        <f t="shared" si="1"/>
        <v>2.0246558840251564E-2</v>
      </c>
      <c r="CN17" s="159">
        <f t="shared" si="1"/>
        <v>2.2319716654740793E-2</v>
      </c>
      <c r="CO17" s="159">
        <f t="shared" si="1"/>
        <v>1.939431842905005E-2</v>
      </c>
      <c r="CP17" s="159">
        <f t="shared" si="1"/>
        <v>1.8766999275957274E-2</v>
      </c>
      <c r="CQ17" s="159">
        <f t="shared" si="1"/>
        <v>2.3454140879343735E-2</v>
      </c>
      <c r="CR17" s="159">
        <f t="shared" si="1"/>
        <v>2.7109845421020403E-2</v>
      </c>
      <c r="CS17" s="159">
        <f t="shared" si="1"/>
        <v>0.15507712829099893</v>
      </c>
      <c r="CT17" s="159">
        <f t="shared" si="1"/>
        <v>0.17604400717380625</v>
      </c>
      <c r="CU17" s="159">
        <f t="shared" si="1"/>
        <v>0.19725556359642915</v>
      </c>
      <c r="CV17" s="159">
        <f t="shared" si="1"/>
        <v>7.4903410112360652E-2</v>
      </c>
      <c r="CW17" s="159">
        <f t="shared" si="1"/>
        <v>8.6186731956471668E-2</v>
      </c>
      <c r="CX17" s="159">
        <f t="shared" si="1"/>
        <v>0.10221949414527944</v>
      </c>
      <c r="CY17" s="159">
        <f t="shared" si="1"/>
        <v>7.8990350349502914E-2</v>
      </c>
      <c r="CZ17" s="159">
        <f t="shared" si="1"/>
        <v>9.075990136878348E-2</v>
      </c>
      <c r="DA17" s="159">
        <f t="shared" si="1"/>
        <v>0.10781569950851688</v>
      </c>
      <c r="DB17" s="159">
        <f t="shared" si="1"/>
        <v>0.10325471557553673</v>
      </c>
      <c r="DC17" s="159">
        <f t="shared" si="1"/>
        <v>0.11774997366588581</v>
      </c>
      <c r="DD17" s="159">
        <f t="shared" si="1"/>
        <v>0.13592149433202599</v>
      </c>
      <c r="DE17" s="159">
        <f t="shared" si="1"/>
        <v>8.680166405080067E-2</v>
      </c>
      <c r="DF17" s="159">
        <f t="shared" si="1"/>
        <v>9.9550466319943506E-2</v>
      </c>
      <c r="DG17" s="159">
        <f t="shared" si="1"/>
        <v>0.11631368968632125</v>
      </c>
      <c r="DH17" s="159">
        <f t="shared" si="1"/>
        <v>4.6215283757355171E-3</v>
      </c>
      <c r="DI17" s="159">
        <f t="shared" si="1"/>
        <v>5.5418375817325935E-3</v>
      </c>
      <c r="DJ17" s="159">
        <f t="shared" si="1"/>
        <v>1.4425422774934169E-2</v>
      </c>
      <c r="DK17" s="159">
        <f t="shared" si="1"/>
        <v>1.467861872983527E-2</v>
      </c>
      <c r="DL17" s="159">
        <f t="shared" si="1"/>
        <v>1.86591129127694E-2</v>
      </c>
      <c r="DM17" s="159">
        <f t="shared" si="1"/>
        <v>6.1137040634253043E-3</v>
      </c>
      <c r="DN17" s="159">
        <f t="shared" si="1"/>
        <v>7.205233586817187E-3</v>
      </c>
      <c r="DO17" s="159">
        <f t="shared" si="1"/>
        <v>1.7625277468725924E-2</v>
      </c>
      <c r="DP17" s="159">
        <f t="shared" si="1"/>
        <v>1.7938104362861515E-2</v>
      </c>
      <c r="DQ17" s="159">
        <f t="shared" si="1"/>
        <v>2.2683576743895276E-2</v>
      </c>
      <c r="DR17" s="159">
        <f t="shared" si="1"/>
        <v>6.0410674866054441E-3</v>
      </c>
      <c r="DS17" s="159">
        <f t="shared" si="1"/>
        <v>7.2445487559862371E-3</v>
      </c>
      <c r="DT17" s="159">
        <f t="shared" si="1"/>
        <v>1.8612168464710442E-2</v>
      </c>
      <c r="DU17" s="159">
        <f t="shared" si="1"/>
        <v>1.897174450614468E-2</v>
      </c>
      <c r="DV17" s="159">
        <f t="shared" si="1"/>
        <v>2.4239459136126077E-2</v>
      </c>
      <c r="DW17" s="159">
        <f t="shared" si="1"/>
        <v>4.6163935840319338E-3</v>
      </c>
      <c r="DX17" s="159">
        <f t="shared" si="1"/>
        <v>5.5367027900290119E-3</v>
      </c>
      <c r="DY17" s="159">
        <f t="shared" si="1"/>
        <v>1.4419983023509615E-2</v>
      </c>
      <c r="DZ17" s="159">
        <f t="shared" si="1"/>
        <v>1.4673220470927728E-2</v>
      </c>
      <c r="EA17" s="159">
        <f t="shared" ref="EA17:FJ17" si="2">SUM(EA6:EA16)</f>
        <v>1.8653832635300887E-2</v>
      </c>
      <c r="EB17" s="159">
        <f t="shared" si="2"/>
        <v>1.2642546688743159E-2</v>
      </c>
      <c r="EC17" s="159">
        <f t="shared" si="2"/>
        <v>1.2387246227158675E-2</v>
      </c>
      <c r="ED17" s="159">
        <f t="shared" si="2"/>
        <v>1.3671916904513842E-2</v>
      </c>
      <c r="EE17" s="159">
        <f t="shared" si="2"/>
        <v>1.3379883134876433E-2</v>
      </c>
      <c r="EF17" s="159">
        <f t="shared" si="2"/>
        <v>1.9133597010586624E-2</v>
      </c>
      <c r="EG17" s="159">
        <f t="shared" si="2"/>
        <v>1.8750646318209892E-2</v>
      </c>
      <c r="EH17" s="159">
        <f t="shared" si="2"/>
        <v>2.0599626753889825E-2</v>
      </c>
      <c r="EI17" s="159">
        <f t="shared" si="2"/>
        <v>2.0163430021264243E-2</v>
      </c>
      <c r="EJ17" s="159">
        <f t="shared" si="2"/>
        <v>1.7873862590521362E-2</v>
      </c>
      <c r="EK17" s="159">
        <f t="shared" si="2"/>
        <v>1.7490911898144633E-2</v>
      </c>
      <c r="EL17" s="159">
        <f t="shared" si="2"/>
        <v>1.9329702144425247E-2</v>
      </c>
      <c r="EM17" s="159">
        <f t="shared" si="2"/>
        <v>1.8893528452531304E-2</v>
      </c>
      <c r="EN17" s="159">
        <f t="shared" si="2"/>
        <v>1.7134480014614373E-2</v>
      </c>
      <c r="EO17" s="159">
        <f t="shared" si="2"/>
        <v>1.6907546270983717E-2</v>
      </c>
      <c r="EP17" s="159">
        <f t="shared" si="2"/>
        <v>1.8144564980957366E-2</v>
      </c>
      <c r="EQ17" s="159">
        <f t="shared" si="2"/>
        <v>1.7884391626669393E-2</v>
      </c>
      <c r="ER17" s="159">
        <f t="shared" si="2"/>
        <v>1.8714415315196298E-2</v>
      </c>
      <c r="ES17" s="159">
        <f t="shared" si="2"/>
        <v>1.8331464622819565E-2</v>
      </c>
      <c r="ET17" s="159">
        <f t="shared" si="2"/>
        <v>2.0120246053379153E-2</v>
      </c>
      <c r="EU17" s="159">
        <f t="shared" si="2"/>
        <v>1.9685401830273497E-2</v>
      </c>
      <c r="EV17" s="159">
        <f t="shared" si="2"/>
        <v>0.15508101886292719</v>
      </c>
      <c r="EW17" s="159">
        <f t="shared" si="2"/>
        <v>0.15970188837788224</v>
      </c>
      <c r="EX17" s="159">
        <f t="shared" si="2"/>
        <v>0.17043322555935234</v>
      </c>
      <c r="EY17" s="159">
        <f t="shared" si="2"/>
        <v>7.393658744712471E-2</v>
      </c>
      <c r="EZ17" s="159">
        <f t="shared" si="2"/>
        <v>7.8396743248474315E-2</v>
      </c>
      <c r="FA17" s="159">
        <f t="shared" si="2"/>
        <v>8.6217422559525025E-2</v>
      </c>
      <c r="FB17" s="159">
        <f t="shared" si="2"/>
        <v>7.8029701949290181E-2</v>
      </c>
      <c r="FC17" s="159">
        <f t="shared" si="2"/>
        <v>8.2480435679140041E-2</v>
      </c>
      <c r="FD17" s="159">
        <f t="shared" si="2"/>
        <v>9.0825524918120487E-2</v>
      </c>
      <c r="FE17" s="159">
        <f t="shared" si="2"/>
        <v>0.1026612051195252</v>
      </c>
      <c r="FF17" s="159">
        <f t="shared" si="2"/>
        <v>0.10721750661777942</v>
      </c>
      <c r="FG17" s="159">
        <f t="shared" si="2"/>
        <v>0.11599502780168205</v>
      </c>
      <c r="FH17" s="159">
        <f t="shared" si="2"/>
        <v>8.6050447366825461E-2</v>
      </c>
      <c r="FI17" s="159">
        <f t="shared" si="2"/>
        <v>9.0486902077712511E-2</v>
      </c>
      <c r="FJ17" s="159">
        <f t="shared" si="2"/>
        <v>9.8614255232537446E-2</v>
      </c>
    </row>
    <row r="18" spans="1:166" x14ac:dyDescent="0.25">
      <c r="A18" s="154" t="s">
        <v>325</v>
      </c>
    </row>
    <row r="19" spans="1:166" x14ac:dyDescent="0.25">
      <c r="A19" s="154" t="s">
        <v>326</v>
      </c>
      <c r="AF19" s="197"/>
      <c r="AG19" s="197"/>
      <c r="AH19" s="197"/>
      <c r="AI19" s="197"/>
      <c r="AJ19" s="197"/>
      <c r="AK19" s="197"/>
      <c r="AL19" s="197"/>
      <c r="AM19" s="197"/>
      <c r="AN19" s="197"/>
    </row>
    <row r="22" spans="1:166" x14ac:dyDescent="0.25">
      <c r="A22" s="161" t="s">
        <v>398</v>
      </c>
    </row>
    <row r="49" spans="2:13" x14ac:dyDescent="0.25">
      <c r="B49" s="197"/>
      <c r="C49" s="197"/>
      <c r="D49" s="197"/>
      <c r="E49" s="197"/>
      <c r="F49" s="197"/>
      <c r="G49" s="197"/>
      <c r="H49" s="197"/>
      <c r="I49" s="197"/>
      <c r="J49" s="197"/>
      <c r="K49" s="197"/>
      <c r="L49" s="197"/>
      <c r="M49" s="155"/>
    </row>
    <row r="200" spans="1:166" x14ac:dyDescent="0.25">
      <c r="A200" s="161" t="s">
        <v>399</v>
      </c>
    </row>
    <row r="202" spans="1:166" x14ac:dyDescent="0.25">
      <c r="B202" s="154">
        <v>2023</v>
      </c>
      <c r="BE202" s="154">
        <v>2034</v>
      </c>
      <c r="DH202" s="154">
        <v>2050</v>
      </c>
    </row>
    <row r="203" spans="1:166" x14ac:dyDescent="0.25">
      <c r="B203" s="154" t="s">
        <v>378</v>
      </c>
      <c r="C203" s="154" t="s">
        <v>374</v>
      </c>
      <c r="D203" s="154" t="s">
        <v>327</v>
      </c>
      <c r="E203" s="154" t="s">
        <v>328</v>
      </c>
      <c r="F203" s="154" t="s">
        <v>329</v>
      </c>
      <c r="G203" s="154" t="s">
        <v>379</v>
      </c>
      <c r="H203" s="154" t="s">
        <v>375</v>
      </c>
      <c r="I203" s="154" t="s">
        <v>330</v>
      </c>
      <c r="J203" s="154" t="s">
        <v>331</v>
      </c>
      <c r="K203" s="154" t="s">
        <v>332</v>
      </c>
      <c r="L203" s="154" t="s">
        <v>380</v>
      </c>
      <c r="M203" s="154" t="s">
        <v>376</v>
      </c>
      <c r="N203" s="154" t="s">
        <v>333</v>
      </c>
      <c r="O203" s="154" t="s">
        <v>334</v>
      </c>
      <c r="P203" s="154" t="s">
        <v>335</v>
      </c>
      <c r="Q203" s="154" t="s">
        <v>381</v>
      </c>
      <c r="R203" s="154" t="s">
        <v>377</v>
      </c>
      <c r="S203" s="154" t="s">
        <v>336</v>
      </c>
      <c r="T203" s="154" t="s">
        <v>337</v>
      </c>
      <c r="U203" s="154" t="s">
        <v>338</v>
      </c>
      <c r="V203" s="154" t="s">
        <v>339</v>
      </c>
      <c r="W203" s="154" t="s">
        <v>340</v>
      </c>
      <c r="X203" s="154" t="s">
        <v>341</v>
      </c>
      <c r="Y203" s="154" t="s">
        <v>342</v>
      </c>
      <c r="Z203" s="154" t="s">
        <v>343</v>
      </c>
      <c r="AA203" s="154" t="s">
        <v>344</v>
      </c>
      <c r="AB203" s="154" t="s">
        <v>345</v>
      </c>
      <c r="AC203" s="154" t="s">
        <v>346</v>
      </c>
      <c r="AD203" s="154" t="s">
        <v>347</v>
      </c>
      <c r="AE203" s="154" t="s">
        <v>348</v>
      </c>
      <c r="AF203" s="154" t="s">
        <v>349</v>
      </c>
      <c r="AG203" s="154" t="s">
        <v>350</v>
      </c>
      <c r="AH203" s="154" t="s">
        <v>351</v>
      </c>
      <c r="AI203" s="154" t="s">
        <v>352</v>
      </c>
      <c r="AJ203" s="154" t="s">
        <v>353</v>
      </c>
      <c r="AK203" s="154" t="s">
        <v>354</v>
      </c>
      <c r="AL203" s="154" t="s">
        <v>355</v>
      </c>
      <c r="AM203" s="154" t="s">
        <v>356</v>
      </c>
      <c r="AN203" s="154" t="s">
        <v>357</v>
      </c>
      <c r="AO203" s="154" t="s">
        <v>358</v>
      </c>
      <c r="AP203" s="154" t="s">
        <v>359</v>
      </c>
      <c r="AQ203" s="154" t="s">
        <v>360</v>
      </c>
      <c r="AR203" s="154" t="s">
        <v>361</v>
      </c>
      <c r="AS203" s="154" t="s">
        <v>362</v>
      </c>
      <c r="AT203" s="154" t="s">
        <v>363</v>
      </c>
      <c r="AU203" s="154" t="s">
        <v>364</v>
      </c>
      <c r="AV203" s="154" t="s">
        <v>365</v>
      </c>
      <c r="AW203" s="154" t="s">
        <v>366</v>
      </c>
      <c r="AX203" s="154" t="s">
        <v>367</v>
      </c>
      <c r="AY203" s="154" t="s">
        <v>368</v>
      </c>
      <c r="AZ203" s="154" t="s">
        <v>369</v>
      </c>
      <c r="BA203" s="154" t="s">
        <v>370</v>
      </c>
      <c r="BB203" s="154" t="s">
        <v>371</v>
      </c>
      <c r="BC203" s="154" t="s">
        <v>372</v>
      </c>
      <c r="BD203" s="154" t="s">
        <v>373</v>
      </c>
      <c r="BE203" s="154" t="s">
        <v>378</v>
      </c>
      <c r="BF203" s="154" t="s">
        <v>374</v>
      </c>
      <c r="BG203" s="154" t="s">
        <v>327</v>
      </c>
      <c r="BH203" s="154" t="s">
        <v>328</v>
      </c>
      <c r="BI203" s="154" t="s">
        <v>329</v>
      </c>
      <c r="BJ203" s="154" t="s">
        <v>379</v>
      </c>
      <c r="BK203" s="154" t="s">
        <v>375</v>
      </c>
      <c r="BL203" s="154" t="s">
        <v>330</v>
      </c>
      <c r="BM203" s="154" t="s">
        <v>331</v>
      </c>
      <c r="BN203" s="154" t="s">
        <v>332</v>
      </c>
      <c r="BO203" s="154" t="s">
        <v>380</v>
      </c>
      <c r="BP203" s="154" t="s">
        <v>376</v>
      </c>
      <c r="BQ203" s="154" t="s">
        <v>333</v>
      </c>
      <c r="BR203" s="154" t="s">
        <v>334</v>
      </c>
      <c r="BS203" s="154" t="s">
        <v>335</v>
      </c>
      <c r="BT203" s="154" t="s">
        <v>381</v>
      </c>
      <c r="BU203" s="154" t="s">
        <v>377</v>
      </c>
      <c r="BV203" s="154" t="s">
        <v>336</v>
      </c>
      <c r="BW203" s="154" t="s">
        <v>337</v>
      </c>
      <c r="BX203" s="154" t="s">
        <v>338</v>
      </c>
      <c r="BY203" s="154" t="s">
        <v>339</v>
      </c>
      <c r="BZ203" s="154" t="s">
        <v>340</v>
      </c>
      <c r="CA203" s="154" t="s">
        <v>341</v>
      </c>
      <c r="CB203" s="154" t="s">
        <v>342</v>
      </c>
      <c r="CC203" s="154" t="s">
        <v>343</v>
      </c>
      <c r="CD203" s="154" t="s">
        <v>344</v>
      </c>
      <c r="CE203" s="154" t="s">
        <v>345</v>
      </c>
      <c r="CF203" s="154" t="s">
        <v>346</v>
      </c>
      <c r="CG203" s="154" t="s">
        <v>347</v>
      </c>
      <c r="CH203" s="154" t="s">
        <v>348</v>
      </c>
      <c r="CI203" s="154" t="s">
        <v>349</v>
      </c>
      <c r="CJ203" s="154" t="s">
        <v>350</v>
      </c>
      <c r="CK203" s="154" t="s">
        <v>351</v>
      </c>
      <c r="CL203" s="154" t="s">
        <v>352</v>
      </c>
      <c r="CM203" s="154" t="s">
        <v>353</v>
      </c>
      <c r="CN203" s="154" t="s">
        <v>354</v>
      </c>
      <c r="CO203" s="154" t="s">
        <v>355</v>
      </c>
      <c r="CP203" s="154" t="s">
        <v>356</v>
      </c>
      <c r="CQ203" s="154" t="s">
        <v>357</v>
      </c>
      <c r="CR203" s="154" t="s">
        <v>358</v>
      </c>
      <c r="CS203" s="154" t="s">
        <v>359</v>
      </c>
      <c r="CT203" s="154" t="s">
        <v>360</v>
      </c>
      <c r="CU203" s="154" t="s">
        <v>361</v>
      </c>
      <c r="CV203" s="154" t="s">
        <v>362</v>
      </c>
      <c r="CW203" s="154" t="s">
        <v>363</v>
      </c>
      <c r="CX203" s="154" t="s">
        <v>364</v>
      </c>
      <c r="CY203" s="154" t="s">
        <v>365</v>
      </c>
      <c r="CZ203" s="154" t="s">
        <v>366</v>
      </c>
      <c r="DA203" s="154" t="s">
        <v>367</v>
      </c>
      <c r="DB203" s="154" t="s">
        <v>368</v>
      </c>
      <c r="DC203" s="154" t="s">
        <v>369</v>
      </c>
      <c r="DD203" s="154" t="s">
        <v>370</v>
      </c>
      <c r="DE203" s="154" t="s">
        <v>371</v>
      </c>
      <c r="DF203" s="154" t="s">
        <v>372</v>
      </c>
      <c r="DG203" s="154" t="s">
        <v>373</v>
      </c>
      <c r="DH203" s="154" t="s">
        <v>378</v>
      </c>
      <c r="DI203" s="154" t="s">
        <v>374</v>
      </c>
      <c r="DJ203" s="154" t="s">
        <v>327</v>
      </c>
      <c r="DK203" s="154" t="s">
        <v>328</v>
      </c>
      <c r="DL203" s="154" t="s">
        <v>329</v>
      </c>
      <c r="DM203" s="154" t="s">
        <v>379</v>
      </c>
      <c r="DN203" s="154" t="s">
        <v>375</v>
      </c>
      <c r="DO203" s="154" t="s">
        <v>330</v>
      </c>
      <c r="DP203" s="154" t="s">
        <v>331</v>
      </c>
      <c r="DQ203" s="154" t="s">
        <v>332</v>
      </c>
      <c r="DR203" s="154" t="s">
        <v>380</v>
      </c>
      <c r="DS203" s="154" t="s">
        <v>376</v>
      </c>
      <c r="DT203" s="154" t="s">
        <v>333</v>
      </c>
      <c r="DU203" s="154" t="s">
        <v>334</v>
      </c>
      <c r="DV203" s="154" t="s">
        <v>335</v>
      </c>
      <c r="DW203" s="154" t="s">
        <v>381</v>
      </c>
      <c r="DX203" s="154" t="s">
        <v>377</v>
      </c>
      <c r="DY203" s="154" t="s">
        <v>336</v>
      </c>
      <c r="DZ203" s="154" t="s">
        <v>337</v>
      </c>
      <c r="EA203" s="154" t="s">
        <v>338</v>
      </c>
      <c r="EB203" s="154" t="s">
        <v>339</v>
      </c>
      <c r="EC203" s="154" t="s">
        <v>340</v>
      </c>
      <c r="ED203" s="154" t="s">
        <v>341</v>
      </c>
      <c r="EE203" s="154" t="s">
        <v>342</v>
      </c>
      <c r="EF203" s="154" t="s">
        <v>343</v>
      </c>
      <c r="EG203" s="154" t="s">
        <v>344</v>
      </c>
      <c r="EH203" s="154" t="s">
        <v>345</v>
      </c>
      <c r="EI203" s="154" t="s">
        <v>346</v>
      </c>
      <c r="EJ203" s="154" t="s">
        <v>347</v>
      </c>
      <c r="EK203" s="154" t="s">
        <v>348</v>
      </c>
      <c r="EL203" s="154" t="s">
        <v>349</v>
      </c>
      <c r="EM203" s="154" t="s">
        <v>350</v>
      </c>
      <c r="EN203" s="154" t="s">
        <v>351</v>
      </c>
      <c r="EO203" s="154" t="s">
        <v>352</v>
      </c>
      <c r="EP203" s="154" t="s">
        <v>353</v>
      </c>
      <c r="EQ203" s="154" t="s">
        <v>354</v>
      </c>
      <c r="ER203" s="154" t="s">
        <v>355</v>
      </c>
      <c r="ES203" s="154" t="s">
        <v>356</v>
      </c>
      <c r="ET203" s="154" t="s">
        <v>357</v>
      </c>
      <c r="EU203" s="154" t="s">
        <v>358</v>
      </c>
      <c r="EV203" s="154" t="s">
        <v>359</v>
      </c>
      <c r="EW203" s="154" t="s">
        <v>360</v>
      </c>
      <c r="EX203" s="154" t="s">
        <v>361</v>
      </c>
      <c r="EY203" s="154" t="s">
        <v>362</v>
      </c>
      <c r="EZ203" s="154" t="s">
        <v>363</v>
      </c>
      <c r="FA203" s="154" t="s">
        <v>364</v>
      </c>
      <c r="FB203" s="154" t="s">
        <v>365</v>
      </c>
      <c r="FC203" s="154" t="s">
        <v>366</v>
      </c>
      <c r="FD203" s="154" t="s">
        <v>367</v>
      </c>
      <c r="FE203" s="154" t="s">
        <v>368</v>
      </c>
      <c r="FF203" s="154" t="s">
        <v>369</v>
      </c>
      <c r="FG203" s="154" t="s">
        <v>370</v>
      </c>
      <c r="FH203" s="154" t="s">
        <v>371</v>
      </c>
      <c r="FI203" s="154" t="s">
        <v>372</v>
      </c>
      <c r="FJ203" s="154" t="s">
        <v>373</v>
      </c>
    </row>
    <row r="204" spans="1:166" x14ac:dyDescent="0.25">
      <c r="A204" s="154" t="s">
        <v>18</v>
      </c>
      <c r="B204" s="154">
        <v>1.0347449498978036E-3</v>
      </c>
      <c r="C204" s="154">
        <v>1.0347449498978036E-3</v>
      </c>
      <c r="D204" s="154">
        <v>2.0678991054715748E-3</v>
      </c>
      <c r="E204" s="154">
        <v>2.0676718491395704E-3</v>
      </c>
      <c r="F204" s="154">
        <v>1.3444866658711308E-3</v>
      </c>
      <c r="G204" s="154">
        <v>1.0347449498978036E-3</v>
      </c>
      <c r="H204" s="154">
        <v>1.0347449498978036E-3</v>
      </c>
      <c r="I204" s="154">
        <v>2.0678991054715748E-3</v>
      </c>
      <c r="J204" s="154">
        <v>2.0676718491395704E-3</v>
      </c>
      <c r="K204" s="154">
        <v>1.3444866658711308E-3</v>
      </c>
      <c r="L204" s="154">
        <v>1.0347449498978036E-3</v>
      </c>
      <c r="M204" s="154">
        <v>1.0347449498978036E-3</v>
      </c>
      <c r="N204" s="154">
        <v>2.0678991054715748E-3</v>
      </c>
      <c r="O204" s="154">
        <v>2.0676718491395704E-3</v>
      </c>
      <c r="P204" s="154">
        <v>1.3444866658711308E-3</v>
      </c>
      <c r="Q204" s="154">
        <v>1.0347449498978036E-3</v>
      </c>
      <c r="R204" s="154">
        <v>1.0347449498978036E-3</v>
      </c>
      <c r="S204" s="154">
        <v>2.0678991054715748E-3</v>
      </c>
      <c r="T204" s="154">
        <v>2.0676718491395704E-3</v>
      </c>
      <c r="U204" s="154">
        <v>1.3444866658711308E-3</v>
      </c>
      <c r="V204" s="154">
        <v>7.6317014160409149E-4</v>
      </c>
      <c r="W204" s="154">
        <v>1.0902430594344164E-3</v>
      </c>
      <c r="X204" s="154">
        <v>2.1696909640280381E-3</v>
      </c>
      <c r="Y204" s="154">
        <v>2.1632138711235615E-3</v>
      </c>
      <c r="Z204" s="154">
        <v>7.6317014160409149E-4</v>
      </c>
      <c r="AA204" s="154">
        <v>1.0902430594344164E-3</v>
      </c>
      <c r="AB204" s="154">
        <v>2.1696909640280381E-3</v>
      </c>
      <c r="AC204" s="154">
        <v>2.1632138711235615E-3</v>
      </c>
      <c r="AD204" s="154">
        <v>7.6317014160409149E-4</v>
      </c>
      <c r="AE204" s="154">
        <v>1.0902430594344164E-3</v>
      </c>
      <c r="AF204" s="154">
        <v>2.1696909640280381E-3</v>
      </c>
      <c r="AG204" s="154">
        <v>2.1632138711235615E-3</v>
      </c>
      <c r="AH204" s="154">
        <v>7.6317014160409149E-4</v>
      </c>
      <c r="AI204" s="154">
        <v>1.0902430594344164E-3</v>
      </c>
      <c r="AJ204" s="154">
        <v>2.1696909640280381E-3</v>
      </c>
      <c r="AK204" s="154">
        <v>2.1632138711235615E-3</v>
      </c>
      <c r="AL204" s="154">
        <v>6.1053611328327313E-4</v>
      </c>
      <c r="AM204" s="154">
        <v>8.7219444754753307E-4</v>
      </c>
      <c r="AN204" s="154">
        <v>1.7357527712224307E-3</v>
      </c>
      <c r="AO204" s="154">
        <v>1.7305710968988492E-3</v>
      </c>
      <c r="AP204" s="154">
        <v>1.2312752120811793E-2</v>
      </c>
      <c r="AQ204" s="154">
        <v>4.5229574619176545E-2</v>
      </c>
      <c r="AR204" s="154">
        <v>4.4623597015022408E-2</v>
      </c>
      <c r="AS204" s="154">
        <v>6.1563760604058963E-3</v>
      </c>
      <c r="AT204" s="154">
        <v>2.2614787309588272E-2</v>
      </c>
      <c r="AU204" s="154">
        <v>2.2311798507511204E-2</v>
      </c>
      <c r="AV204" s="154">
        <v>6.4495368251871292E-3</v>
      </c>
      <c r="AW204" s="154">
        <v>2.3691681943378187E-2</v>
      </c>
      <c r="AX204" s="154">
        <v>2.3374265103106976E-2</v>
      </c>
      <c r="AY204" s="154">
        <v>8.6820688031365185E-3</v>
      </c>
      <c r="AZ204" s="154">
        <v>3.1892648769932176E-2</v>
      </c>
      <c r="BA204" s="154">
        <v>3.1465356869567078E-2</v>
      </c>
      <c r="BB204" s="154">
        <v>7.5244596293849832E-3</v>
      </c>
      <c r="BC204" s="154">
        <v>2.7640295600607889E-2</v>
      </c>
      <c r="BD204" s="154">
        <v>2.7269975953624806E-2</v>
      </c>
      <c r="BE204" s="154">
        <v>1.0347449498978036E-3</v>
      </c>
      <c r="BF204" s="154">
        <v>1.0347449498978036E-3</v>
      </c>
      <c r="BG204" s="154">
        <v>1.9922371300663917E-3</v>
      </c>
      <c r="BH204" s="154">
        <v>1.9812010201050753E-3</v>
      </c>
      <c r="BI204" s="154">
        <v>1.3120601049831952E-3</v>
      </c>
      <c r="BJ204" s="154">
        <v>1.0347449498978036E-3</v>
      </c>
      <c r="BK204" s="154">
        <v>1.0347449498978036E-3</v>
      </c>
      <c r="BL204" s="154">
        <v>1.9922371300663917E-3</v>
      </c>
      <c r="BM204" s="154">
        <v>1.9812010201050753E-3</v>
      </c>
      <c r="BN204" s="154">
        <v>1.3120601049831952E-3</v>
      </c>
      <c r="BO204" s="154">
        <v>1.0347449498978036E-3</v>
      </c>
      <c r="BP204" s="154">
        <v>1.0347449498978036E-3</v>
      </c>
      <c r="BQ204" s="154">
        <v>1.9922371300663917E-3</v>
      </c>
      <c r="BR204" s="154">
        <v>1.9812010201050753E-3</v>
      </c>
      <c r="BS204" s="154">
        <v>1.3120601049831952E-3</v>
      </c>
      <c r="BT204" s="154">
        <v>1.0347449498978036E-3</v>
      </c>
      <c r="BU204" s="154">
        <v>1.0347449498978036E-3</v>
      </c>
      <c r="BV204" s="154">
        <v>1.9922371300663917E-3</v>
      </c>
      <c r="BW204" s="154">
        <v>1.9812010201050753E-3</v>
      </c>
      <c r="BX204" s="154">
        <v>1.3120601049831952E-3</v>
      </c>
      <c r="BY204" s="154">
        <v>7.6317014160409149E-4</v>
      </c>
      <c r="BZ204" s="154">
        <v>1.0902430594344164E-3</v>
      </c>
      <c r="CA204" s="154">
        <v>1.8209695944675583E-3</v>
      </c>
      <c r="CB204" s="154">
        <v>1.6052596798267933E-3</v>
      </c>
      <c r="CC204" s="154">
        <v>7.6317014160409149E-4</v>
      </c>
      <c r="CD204" s="154">
        <v>1.0902430594344164E-3</v>
      </c>
      <c r="CE204" s="154">
        <v>1.8209695944675583E-3</v>
      </c>
      <c r="CF204" s="154">
        <v>1.6052596798267933E-3</v>
      </c>
      <c r="CG204" s="154">
        <v>7.6317014160409149E-4</v>
      </c>
      <c r="CH204" s="154">
        <v>1.0902430594344164E-3</v>
      </c>
      <c r="CI204" s="154">
        <v>1.8209695944675583E-3</v>
      </c>
      <c r="CJ204" s="154">
        <v>1.6052596798267933E-3</v>
      </c>
      <c r="CK204" s="154">
        <v>7.6317014160409149E-4</v>
      </c>
      <c r="CL204" s="154">
        <v>1.0902430594344164E-3</v>
      </c>
      <c r="CM204" s="154">
        <v>1.8209695944675583E-3</v>
      </c>
      <c r="CN204" s="154">
        <v>1.6052596798267933E-3</v>
      </c>
      <c r="CO204" s="154">
        <v>6.1053611328327313E-4</v>
      </c>
      <c r="CP204" s="154">
        <v>8.7219444754753307E-4</v>
      </c>
      <c r="CQ204" s="154">
        <v>1.4567756755740466E-3</v>
      </c>
      <c r="CR204" s="154">
        <v>1.2842077438614348E-3</v>
      </c>
      <c r="CS204" s="154">
        <v>1.2812227504666332E-2</v>
      </c>
      <c r="CT204" s="154">
        <v>2.3282636418581814E-2</v>
      </c>
      <c r="CU204" s="154">
        <v>2.5967869002591151E-2</v>
      </c>
      <c r="CV204" s="154">
        <v>6.406113752333166E-3</v>
      </c>
      <c r="CW204" s="154">
        <v>1.1641318209290907E-2</v>
      </c>
      <c r="CX204" s="154">
        <v>1.2983934501295575E-2</v>
      </c>
      <c r="CY204" s="154">
        <v>6.7111667881585542E-3</v>
      </c>
      <c r="CZ204" s="154">
        <v>1.2195666695447615E-2</v>
      </c>
      <c r="DA204" s="154">
        <v>1.3602217096595365E-2</v>
      </c>
      <c r="DB204" s="154">
        <v>9.034262984059592E-3</v>
      </c>
      <c r="DC204" s="154">
        <v>1.6417243628487177E-2</v>
      </c>
      <c r="DD204" s="154">
        <v>1.8310676860801452E-2</v>
      </c>
      <c r="DE204" s="154">
        <v>7.8296945861849807E-3</v>
      </c>
      <c r="DF204" s="154">
        <v>1.4228277811355551E-2</v>
      </c>
      <c r="DG204" s="154">
        <v>1.586925327936126E-2</v>
      </c>
      <c r="DH204" s="154">
        <v>1.0347449498978036E-3</v>
      </c>
      <c r="DI204" s="154">
        <v>1.0347449498978036E-3</v>
      </c>
      <c r="DJ204" s="154">
        <v>1.3569040676564852E-3</v>
      </c>
      <c r="DK204" s="154">
        <v>1.2551060916366106E-3</v>
      </c>
      <c r="DL204" s="154">
        <v>1.0397745068075209E-3</v>
      </c>
      <c r="DM204" s="154">
        <v>1.0347449498978036E-3</v>
      </c>
      <c r="DN204" s="154">
        <v>1.0347449498978036E-3</v>
      </c>
      <c r="DO204" s="154">
        <v>1.3569040676564852E-3</v>
      </c>
      <c r="DP204" s="154">
        <v>1.2551060916366106E-3</v>
      </c>
      <c r="DQ204" s="154">
        <v>1.0397745068075209E-3</v>
      </c>
      <c r="DR204" s="154">
        <v>1.0347449498978036E-3</v>
      </c>
      <c r="DS204" s="154">
        <v>1.0347449498978036E-3</v>
      </c>
      <c r="DT204" s="154">
        <v>1.3569040676564852E-3</v>
      </c>
      <c r="DU204" s="154">
        <v>1.2551060916366106E-3</v>
      </c>
      <c r="DV204" s="154">
        <v>1.0397745068075209E-3</v>
      </c>
      <c r="DW204" s="154">
        <v>1.0347449498978036E-3</v>
      </c>
      <c r="DX204" s="154">
        <v>1.0347449498978036E-3</v>
      </c>
      <c r="DY204" s="154">
        <v>1.3569040676564852E-3</v>
      </c>
      <c r="DZ204" s="154">
        <v>1.2551060916366106E-3</v>
      </c>
      <c r="EA204" s="154">
        <v>1.0397745068075209E-3</v>
      </c>
      <c r="EB204" s="154">
        <v>7.6317014160409149E-4</v>
      </c>
      <c r="EC204" s="154">
        <v>1.0902430594344164E-3</v>
      </c>
      <c r="ED204" s="154">
        <v>1.364623687619921E-3</v>
      </c>
      <c r="EE204" s="154">
        <v>8.7510622887057403E-4</v>
      </c>
      <c r="EF204" s="154">
        <v>7.6317014160409149E-4</v>
      </c>
      <c r="EG204" s="154">
        <v>1.0902430594344164E-3</v>
      </c>
      <c r="EH204" s="154">
        <v>1.364623687619921E-3</v>
      </c>
      <c r="EI204" s="154">
        <v>8.7510622887057403E-4</v>
      </c>
      <c r="EJ204" s="154">
        <v>7.6317014160409149E-4</v>
      </c>
      <c r="EK204" s="154">
        <v>1.0902430594344164E-3</v>
      </c>
      <c r="EL204" s="154">
        <v>1.364623687619921E-3</v>
      </c>
      <c r="EM204" s="154">
        <v>8.7510622887057403E-4</v>
      </c>
      <c r="EN204" s="154">
        <v>7.6317014160409149E-4</v>
      </c>
      <c r="EO204" s="154">
        <v>1.0902430594344164E-3</v>
      </c>
      <c r="EP204" s="154">
        <v>1.364623687619921E-3</v>
      </c>
      <c r="EQ204" s="154">
        <v>8.7510622887057403E-4</v>
      </c>
      <c r="ER204" s="154">
        <v>6.1053611328327313E-4</v>
      </c>
      <c r="ES204" s="154">
        <v>8.7219444754753307E-4</v>
      </c>
      <c r="ET204" s="154">
        <v>1.0916989500959369E-3</v>
      </c>
      <c r="EU204" s="154">
        <v>7.0008498309645929E-4</v>
      </c>
      <c r="EV204" s="154">
        <v>1.3465854058382996E-2</v>
      </c>
      <c r="EW204" s="154">
        <v>1.6995417056938824E-2</v>
      </c>
      <c r="EX204" s="154">
        <v>1.8171622640410206E-2</v>
      </c>
      <c r="EY204" s="154">
        <v>6.7329270291914978E-3</v>
      </c>
      <c r="EZ204" s="154">
        <v>8.497708528469412E-3</v>
      </c>
      <c r="FA204" s="154">
        <v>9.0858113202051029E-3</v>
      </c>
      <c r="FB204" s="154">
        <v>7.0535426020101408E-3</v>
      </c>
      <c r="FC204" s="154">
        <v>8.9023613155393838E-3</v>
      </c>
      <c r="FD204" s="154">
        <v>9.5184690021196325E-3</v>
      </c>
      <c r="FE204" s="154">
        <v>9.4951535027059594E-3</v>
      </c>
      <c r="FF204" s="154">
        <v>1.1983947924764555E-2</v>
      </c>
      <c r="FG204" s="154">
        <v>1.2813323656699505E-2</v>
      </c>
      <c r="FH204" s="154">
        <v>8.2291330356784979E-3</v>
      </c>
      <c r="FI204" s="154">
        <v>1.0386088201462616E-2</v>
      </c>
      <c r="FJ204" s="154">
        <v>1.1104880502472903E-2</v>
      </c>
    </row>
    <row r="205" spans="1:166" x14ac:dyDescent="0.25">
      <c r="A205" s="154" t="s">
        <v>28</v>
      </c>
      <c r="B205" s="154">
        <v>-1.0336086682377807E-4</v>
      </c>
      <c r="C205" s="154">
        <v>-1.0336086682377807E-4</v>
      </c>
      <c r="D205" s="154">
        <v>-1.0354267188938173E-4</v>
      </c>
      <c r="E205" s="154">
        <v>-1.0351994625618128E-4</v>
      </c>
      <c r="F205" s="154">
        <v>-6.7337961459558828E-5</v>
      </c>
      <c r="G205" s="154">
        <v>-1.0336086682377807E-4</v>
      </c>
      <c r="H205" s="154">
        <v>-1.0336086682377807E-4</v>
      </c>
      <c r="I205" s="154">
        <v>-1.0354267188938173E-4</v>
      </c>
      <c r="J205" s="154">
        <v>-1.0351994625618128E-4</v>
      </c>
      <c r="K205" s="154">
        <v>-6.7337961459558828E-5</v>
      </c>
      <c r="L205" s="154">
        <v>-1.0336086682377807E-4</v>
      </c>
      <c r="M205" s="154">
        <v>-1.0336086682377807E-4</v>
      </c>
      <c r="N205" s="154">
        <v>-1.0354267188938173E-4</v>
      </c>
      <c r="O205" s="154">
        <v>-1.0351994625618128E-4</v>
      </c>
      <c r="P205" s="154">
        <v>-6.7337961459558828E-5</v>
      </c>
      <c r="Q205" s="154">
        <v>-1.0336086682377807E-4</v>
      </c>
      <c r="R205" s="154">
        <v>-1.0336086682377807E-4</v>
      </c>
      <c r="S205" s="154">
        <v>-1.0354267188938173E-4</v>
      </c>
      <c r="T205" s="154">
        <v>-1.0351994625618128E-4</v>
      </c>
      <c r="U205" s="154">
        <v>-6.7337961459558828E-5</v>
      </c>
      <c r="V205" s="154">
        <v>-1.1346797345547289E-4</v>
      </c>
      <c r="W205" s="154">
        <v>-1.6353645891516245E-4</v>
      </c>
      <c r="X205" s="154">
        <v>-1.1028374067486764E-4</v>
      </c>
      <c r="Y205" s="154">
        <v>-1.0931217673919614E-4</v>
      </c>
      <c r="Z205" s="154">
        <v>-1.1346797345547289E-4</v>
      </c>
      <c r="AA205" s="154">
        <v>-1.6353645891516245E-4</v>
      </c>
      <c r="AB205" s="154">
        <v>-1.1028374067486764E-4</v>
      </c>
      <c r="AC205" s="154">
        <v>-1.0931217673919614E-4</v>
      </c>
      <c r="AD205" s="154">
        <v>-1.1346797345547289E-4</v>
      </c>
      <c r="AE205" s="154">
        <v>-1.6353645891516245E-4</v>
      </c>
      <c r="AF205" s="154">
        <v>-1.1028374067486764E-4</v>
      </c>
      <c r="AG205" s="154">
        <v>-1.0931217673919614E-4</v>
      </c>
      <c r="AH205" s="154">
        <v>-1.1346797345547289E-4</v>
      </c>
      <c r="AI205" s="154">
        <v>-1.6353645891516245E-4</v>
      </c>
      <c r="AJ205" s="154">
        <v>-1.1028374067486764E-4</v>
      </c>
      <c r="AK205" s="154">
        <v>-1.0931217673919614E-4</v>
      </c>
      <c r="AL205" s="154">
        <v>-9.0774378764378309E-5</v>
      </c>
      <c r="AM205" s="154">
        <v>-1.3082916713212997E-4</v>
      </c>
      <c r="AN205" s="154">
        <v>-8.822699253989411E-5</v>
      </c>
      <c r="AO205" s="154">
        <v>-8.7449741391356912E-5</v>
      </c>
      <c r="AP205" s="154">
        <v>-3.0604067820050769E-3</v>
      </c>
      <c r="AQ205" s="154">
        <v>-6.8763971865001975E-3</v>
      </c>
      <c r="AR205" s="154">
        <v>-6.7629302274573042E-3</v>
      </c>
      <c r="AS205" s="154">
        <v>-1.5302033910025385E-3</v>
      </c>
      <c r="AT205" s="154">
        <v>-3.4381985932500987E-3</v>
      </c>
      <c r="AU205" s="154">
        <v>-3.3814651137286521E-3</v>
      </c>
      <c r="AV205" s="154">
        <v>-1.6030702191455165E-3</v>
      </c>
      <c r="AW205" s="154">
        <v>-3.6019223357858176E-3</v>
      </c>
      <c r="AX205" s="154">
        <v>-3.5424872620014453E-3</v>
      </c>
      <c r="AY205" s="154">
        <v>-2.157979141157426E-3</v>
      </c>
      <c r="AZ205" s="154">
        <v>-4.8487416058655246E-3</v>
      </c>
      <c r="BA205" s="154">
        <v>-4.7687328526942532E-3</v>
      </c>
      <c r="BB205" s="154">
        <v>-1.8702485890031025E-3</v>
      </c>
      <c r="BC205" s="154">
        <v>-4.2022427250834543E-3</v>
      </c>
      <c r="BD205" s="154">
        <v>-4.1329018056683528E-3</v>
      </c>
      <c r="BE205" s="154">
        <v>-9.7956440009122124E-5</v>
      </c>
      <c r="BF205" s="154">
        <v>-9.7956440009122124E-5</v>
      </c>
      <c r="BG205" s="154">
        <v>-1.067853279781753E-4</v>
      </c>
      <c r="BH205" s="154">
        <v>-1.0568171698204363E-4</v>
      </c>
      <c r="BI205" s="154">
        <v>-7.1121060229817985E-5</v>
      </c>
      <c r="BJ205" s="154">
        <v>-9.7956440009122124E-5</v>
      </c>
      <c r="BK205" s="154">
        <v>-9.7956440009122124E-5</v>
      </c>
      <c r="BL205" s="154">
        <v>-1.067853279781753E-4</v>
      </c>
      <c r="BM205" s="154">
        <v>-1.0568171698204363E-4</v>
      </c>
      <c r="BN205" s="154">
        <v>-7.1121060229817985E-5</v>
      </c>
      <c r="BO205" s="154">
        <v>-9.7956440009122124E-5</v>
      </c>
      <c r="BP205" s="154">
        <v>-9.7956440009122124E-5</v>
      </c>
      <c r="BQ205" s="154">
        <v>-1.067853279781753E-4</v>
      </c>
      <c r="BR205" s="154">
        <v>-1.0568171698204363E-4</v>
      </c>
      <c r="BS205" s="154">
        <v>-7.1121060229817985E-5</v>
      </c>
      <c r="BT205" s="154">
        <v>-9.7956440009122124E-5</v>
      </c>
      <c r="BU205" s="154">
        <v>-9.7956440009122124E-5</v>
      </c>
      <c r="BV205" s="154">
        <v>-1.067853279781753E-4</v>
      </c>
      <c r="BW205" s="154">
        <v>-1.0568171698204363E-4</v>
      </c>
      <c r="BX205" s="154">
        <v>-7.1121060229817985E-5</v>
      </c>
      <c r="BY205" s="154">
        <v>-8.0920645629828101E-5</v>
      </c>
      <c r="BZ205" s="154">
        <v>-1.6353645891516245E-4</v>
      </c>
      <c r="CA205" s="154">
        <v>-1.5096790045692366E-4</v>
      </c>
      <c r="CB205" s="154">
        <v>-1.1861141326080898E-4</v>
      </c>
      <c r="CC205" s="154">
        <v>-8.0920645629828101E-5</v>
      </c>
      <c r="CD205" s="154">
        <v>-1.6353645891516245E-4</v>
      </c>
      <c r="CE205" s="154">
        <v>-1.5096790045692366E-4</v>
      </c>
      <c r="CF205" s="154">
        <v>-1.1861141326080898E-4</v>
      </c>
      <c r="CG205" s="154">
        <v>-8.0920645629828101E-5</v>
      </c>
      <c r="CH205" s="154">
        <v>-1.6353645891516245E-4</v>
      </c>
      <c r="CI205" s="154">
        <v>-1.5096790045692366E-4</v>
      </c>
      <c r="CJ205" s="154">
        <v>-1.1861141326080898E-4</v>
      </c>
      <c r="CK205" s="154">
        <v>-8.0920645629828101E-5</v>
      </c>
      <c r="CL205" s="154">
        <v>-1.6353645891516245E-4</v>
      </c>
      <c r="CM205" s="154">
        <v>-1.5096790045692366E-4</v>
      </c>
      <c r="CN205" s="154">
        <v>-1.1861141326080898E-4</v>
      </c>
      <c r="CO205" s="154">
        <v>-6.4736516503862478E-5</v>
      </c>
      <c r="CP205" s="154">
        <v>-1.3082916713212997E-4</v>
      </c>
      <c r="CQ205" s="154">
        <v>-1.2077432036553891E-4</v>
      </c>
      <c r="CR205" s="154">
        <v>-9.4889130608647181E-5</v>
      </c>
      <c r="CS205" s="154">
        <v>-2.6108789365359899E-3</v>
      </c>
      <c r="CT205" s="154">
        <v>-4.8323196089938266E-3</v>
      </c>
      <c r="CU205" s="154">
        <v>-5.1950552136465931E-3</v>
      </c>
      <c r="CV205" s="154">
        <v>-1.3054394682679949E-3</v>
      </c>
      <c r="CW205" s="154">
        <v>-2.4161598044969133E-3</v>
      </c>
      <c r="CX205" s="154">
        <v>-2.5975276068232966E-3</v>
      </c>
      <c r="CY205" s="154">
        <v>-1.3676032524712327E-3</v>
      </c>
      <c r="CZ205" s="154">
        <v>-2.5312150332824808E-3</v>
      </c>
      <c r="DA205" s="154">
        <v>-2.721219397624406E-3</v>
      </c>
      <c r="DB205" s="154">
        <v>-1.8410043783266593E-3</v>
      </c>
      <c r="DC205" s="154">
        <v>-3.4074048524956467E-3</v>
      </c>
      <c r="DD205" s="154">
        <v>-3.6631799583405462E-3</v>
      </c>
      <c r="DE205" s="154">
        <v>-1.5955371278831049E-3</v>
      </c>
      <c r="DF205" s="154">
        <v>-2.9530842054962272E-3</v>
      </c>
      <c r="DG205" s="154">
        <v>-3.1747559638951399E-3</v>
      </c>
      <c r="DH205" s="154">
        <v>-5.2575506979843073E-5</v>
      </c>
      <c r="DI205" s="154">
        <v>-5.2575506979843073E-5</v>
      </c>
      <c r="DJ205" s="154">
        <v>-1.3401388779574273E-4</v>
      </c>
      <c r="DK205" s="154">
        <v>-1.2383409019375524E-4</v>
      </c>
      <c r="DL205" s="154">
        <v>-1.0288771335031333E-4</v>
      </c>
      <c r="DM205" s="154">
        <v>-5.2575506979843073E-5</v>
      </c>
      <c r="DN205" s="154">
        <v>-5.2575506979843073E-5</v>
      </c>
      <c r="DO205" s="154">
        <v>-1.3401388779574273E-4</v>
      </c>
      <c r="DP205" s="154">
        <v>-1.2383409019375524E-4</v>
      </c>
      <c r="DQ205" s="154">
        <v>-1.0288771335031333E-4</v>
      </c>
      <c r="DR205" s="154">
        <v>-5.2575506979843073E-5</v>
      </c>
      <c r="DS205" s="154">
        <v>-5.2575506979843073E-5</v>
      </c>
      <c r="DT205" s="154">
        <v>-1.3401388779574273E-4</v>
      </c>
      <c r="DU205" s="154">
        <v>-1.2383409019375524E-4</v>
      </c>
      <c r="DV205" s="154">
        <v>-1.0288771335031333E-4</v>
      </c>
      <c r="DW205" s="154">
        <v>-5.2575506979843073E-5</v>
      </c>
      <c r="DX205" s="154">
        <v>-5.2575506979843073E-5</v>
      </c>
      <c r="DY205" s="154">
        <v>-1.3401388779574273E-4</v>
      </c>
      <c r="DZ205" s="154">
        <v>-1.2383409019375524E-4</v>
      </c>
      <c r="EA205" s="154">
        <v>-1.0288771335031333E-4</v>
      </c>
      <c r="EB205" s="154">
        <v>-3.832836099071531E-5</v>
      </c>
      <c r="EC205" s="154">
        <v>-1.6353645891516245E-4</v>
      </c>
      <c r="ED205" s="154">
        <v>-2.0420825625581466E-4</v>
      </c>
      <c r="EE205" s="154">
        <v>-1.3078063744341263E-4</v>
      </c>
      <c r="EF205" s="154">
        <v>-3.832836099071531E-5</v>
      </c>
      <c r="EG205" s="154">
        <v>-1.6353645891516245E-4</v>
      </c>
      <c r="EH205" s="154">
        <v>-2.0420825625581466E-4</v>
      </c>
      <c r="EI205" s="154">
        <v>-1.3078063744341263E-4</v>
      </c>
      <c r="EJ205" s="154">
        <v>-3.832836099071531E-5</v>
      </c>
      <c r="EK205" s="154">
        <v>-1.6353645891516245E-4</v>
      </c>
      <c r="EL205" s="154">
        <v>-2.0420825625581466E-4</v>
      </c>
      <c r="EM205" s="154">
        <v>-1.3078063744341263E-4</v>
      </c>
      <c r="EN205" s="154">
        <v>-3.832836099071531E-5</v>
      </c>
      <c r="EO205" s="154">
        <v>-1.6353645891516245E-4</v>
      </c>
      <c r="EP205" s="154">
        <v>-2.0420825625581466E-4</v>
      </c>
      <c r="EQ205" s="154">
        <v>-1.3078063744341263E-4</v>
      </c>
      <c r="ER205" s="154">
        <v>-3.0662688792572247E-5</v>
      </c>
      <c r="ES205" s="154">
        <v>-1.3082916713212997E-4</v>
      </c>
      <c r="ET205" s="154">
        <v>-1.6336660500465173E-4</v>
      </c>
      <c r="EU205" s="154">
        <v>-1.046245099547301E-4</v>
      </c>
      <c r="EV205" s="154">
        <v>-2.0226150381909905E-3</v>
      </c>
      <c r="EW205" s="154">
        <v>-4.2467452566839394E-3</v>
      </c>
      <c r="EX205" s="154">
        <v>-4.5398387640590461E-3</v>
      </c>
      <c r="EY205" s="154">
        <v>-1.0113075190954952E-3</v>
      </c>
      <c r="EZ205" s="154">
        <v>-2.1233726283419697E-3</v>
      </c>
      <c r="FA205" s="154">
        <v>-2.2699193820295231E-3</v>
      </c>
      <c r="FB205" s="154">
        <v>-1.0594650200048046E-3</v>
      </c>
      <c r="FC205" s="154">
        <v>-2.2244856106439686E-3</v>
      </c>
      <c r="FD205" s="154">
        <v>-2.3780107811737857E-3</v>
      </c>
      <c r="FE205" s="154">
        <v>-1.4262029115449293E-3</v>
      </c>
      <c r="FF205" s="154">
        <v>-2.9944998604822652E-3</v>
      </c>
      <c r="FG205" s="154">
        <v>-3.2011683592724038E-3</v>
      </c>
      <c r="FH205" s="154">
        <v>-1.2360425233389387E-3</v>
      </c>
      <c r="FI205" s="154">
        <v>-2.5952332124179632E-3</v>
      </c>
      <c r="FJ205" s="154">
        <v>-2.7743459113694167E-3</v>
      </c>
    </row>
    <row r="206" spans="1:166" x14ac:dyDescent="0.25">
      <c r="A206" s="154" t="s">
        <v>14</v>
      </c>
      <c r="B206" s="154">
        <v>6.8982996659853576E-5</v>
      </c>
      <c r="C206" s="154">
        <v>6.8982996659853576E-5</v>
      </c>
      <c r="D206" s="154">
        <v>6.8982996659853576E-5</v>
      </c>
      <c r="E206" s="154">
        <v>6.8982996659853576E-5</v>
      </c>
      <c r="F206" s="154">
        <v>6.8982996659853576E-5</v>
      </c>
      <c r="G206" s="154">
        <v>3.4491498329926784E-4</v>
      </c>
      <c r="H206" s="154">
        <v>3.4491498329926784E-4</v>
      </c>
      <c r="I206" s="154">
        <v>3.4491498329926784E-4</v>
      </c>
      <c r="J206" s="154">
        <v>3.4491498329926784E-4</v>
      </c>
      <c r="K206" s="154">
        <v>3.4491498329926784E-4</v>
      </c>
      <c r="L206" s="154">
        <v>6.8982996659853576E-5</v>
      </c>
      <c r="M206" s="154">
        <v>6.8982996659853576E-5</v>
      </c>
      <c r="N206" s="154">
        <v>6.8982996659853576E-5</v>
      </c>
      <c r="O206" s="154">
        <v>6.8982996659853576E-5</v>
      </c>
      <c r="P206" s="154">
        <v>6.8982996659853576E-5</v>
      </c>
      <c r="Q206" s="154">
        <v>6.8982996659853576E-5</v>
      </c>
      <c r="R206" s="154">
        <v>6.8982996659853576E-5</v>
      </c>
      <c r="S206" s="154">
        <v>6.8982996659853576E-5</v>
      </c>
      <c r="T206" s="154">
        <v>6.8982996659853576E-5</v>
      </c>
      <c r="U206" s="154">
        <v>6.8982996659853576E-5</v>
      </c>
      <c r="V206" s="154">
        <v>7.6311881817276459E-4</v>
      </c>
      <c r="W206" s="154">
        <v>7.6311881817276459E-4</v>
      </c>
      <c r="X206" s="154">
        <v>7.6311881817276459E-4</v>
      </c>
      <c r="Y206" s="154">
        <v>7.6311881817276459E-4</v>
      </c>
      <c r="Z206" s="154">
        <v>1.0174917575636864E-3</v>
      </c>
      <c r="AA206" s="154">
        <v>1.0174917575636864E-3</v>
      </c>
      <c r="AB206" s="154">
        <v>1.0174917575636864E-3</v>
      </c>
      <c r="AC206" s="154">
        <v>1.0174917575636864E-3</v>
      </c>
      <c r="AD206" s="154">
        <v>5.087458787818432E-4</v>
      </c>
      <c r="AE206" s="154">
        <v>5.087458787818432E-4</v>
      </c>
      <c r="AF206" s="154">
        <v>5.087458787818432E-4</v>
      </c>
      <c r="AG206" s="154">
        <v>5.087458787818432E-4</v>
      </c>
      <c r="AH206" s="154">
        <v>7.6311881817276459E-4</v>
      </c>
      <c r="AI206" s="154">
        <v>7.6311881817276459E-4</v>
      </c>
      <c r="AJ206" s="154">
        <v>7.6311881817276459E-4</v>
      </c>
      <c r="AK206" s="154">
        <v>7.6311881817276459E-4</v>
      </c>
      <c r="AL206" s="154">
        <v>5.0874587878184309E-4</v>
      </c>
      <c r="AM206" s="154">
        <v>5.0874587878184309E-4</v>
      </c>
      <c r="AN206" s="154">
        <v>5.0874587878184309E-4</v>
      </c>
      <c r="AO206" s="154">
        <v>5.0874587878184309E-4</v>
      </c>
      <c r="AP206" s="154">
        <v>3.9525224209566176E-3</v>
      </c>
      <c r="AQ206" s="154">
        <v>3.9525224209566176E-3</v>
      </c>
      <c r="AR206" s="154">
        <v>3.9525224209566176E-3</v>
      </c>
      <c r="AS206" s="154">
        <v>2.964391815717463E-3</v>
      </c>
      <c r="AT206" s="154">
        <v>2.964391815717463E-3</v>
      </c>
      <c r="AU206" s="154">
        <v>2.964391815717463E-3</v>
      </c>
      <c r="AV206" s="154">
        <v>1.552776665375814E-3</v>
      </c>
      <c r="AW206" s="154">
        <v>1.552776665375814E-3</v>
      </c>
      <c r="AX206" s="154">
        <v>1.552776665375814E-3</v>
      </c>
      <c r="AY206" s="154">
        <v>2.7870350404181278E-3</v>
      </c>
      <c r="AZ206" s="154">
        <v>2.7870350404181278E-3</v>
      </c>
      <c r="BA206" s="154">
        <v>2.7870350404181278E-3</v>
      </c>
      <c r="BB206" s="154">
        <v>2.1135015723170798E-3</v>
      </c>
      <c r="BC206" s="154">
        <v>2.1135015723170798E-3</v>
      </c>
      <c r="BD206" s="154">
        <v>2.1135015723170798E-3</v>
      </c>
      <c r="BE206" s="154">
        <v>6.8982996659853576E-5</v>
      </c>
      <c r="BF206" s="154">
        <v>6.8982996659853576E-5</v>
      </c>
      <c r="BG206" s="154">
        <v>6.8982996659853576E-5</v>
      </c>
      <c r="BH206" s="154">
        <v>6.8982996659853576E-5</v>
      </c>
      <c r="BI206" s="154">
        <v>6.8982996659853576E-5</v>
      </c>
      <c r="BJ206" s="154">
        <v>3.4491498329926784E-4</v>
      </c>
      <c r="BK206" s="154">
        <v>3.4491498329926784E-4</v>
      </c>
      <c r="BL206" s="154">
        <v>3.4491498329926784E-4</v>
      </c>
      <c r="BM206" s="154">
        <v>3.4491498329926784E-4</v>
      </c>
      <c r="BN206" s="154">
        <v>3.4491498329926784E-4</v>
      </c>
      <c r="BO206" s="154">
        <v>6.8982996659853576E-5</v>
      </c>
      <c r="BP206" s="154">
        <v>6.8982996659853576E-5</v>
      </c>
      <c r="BQ206" s="154">
        <v>6.8982996659853576E-5</v>
      </c>
      <c r="BR206" s="154">
        <v>6.8982996659853576E-5</v>
      </c>
      <c r="BS206" s="154">
        <v>6.8982996659853576E-5</v>
      </c>
      <c r="BT206" s="154">
        <v>6.8982996659853576E-5</v>
      </c>
      <c r="BU206" s="154">
        <v>6.8982996659853576E-5</v>
      </c>
      <c r="BV206" s="154">
        <v>6.8982996659853576E-5</v>
      </c>
      <c r="BW206" s="154">
        <v>6.8982996659853576E-5</v>
      </c>
      <c r="BX206" s="154">
        <v>6.8982996659853576E-5</v>
      </c>
      <c r="BY206" s="154">
        <v>7.6311881817276459E-4</v>
      </c>
      <c r="BZ206" s="154">
        <v>7.6311881817276459E-4</v>
      </c>
      <c r="CA206" s="154">
        <v>7.6311881817276459E-4</v>
      </c>
      <c r="CB206" s="154">
        <v>7.6311881817276459E-4</v>
      </c>
      <c r="CC206" s="154">
        <v>1.0174917575636864E-3</v>
      </c>
      <c r="CD206" s="154">
        <v>1.0174917575636864E-3</v>
      </c>
      <c r="CE206" s="154">
        <v>1.0174917575636864E-3</v>
      </c>
      <c r="CF206" s="154">
        <v>1.0174917575636864E-3</v>
      </c>
      <c r="CG206" s="154">
        <v>5.087458787818432E-4</v>
      </c>
      <c r="CH206" s="154">
        <v>5.087458787818432E-4</v>
      </c>
      <c r="CI206" s="154">
        <v>5.087458787818432E-4</v>
      </c>
      <c r="CJ206" s="154">
        <v>5.087458787818432E-4</v>
      </c>
      <c r="CK206" s="154">
        <v>7.6311881817276459E-4</v>
      </c>
      <c r="CL206" s="154">
        <v>7.6311881817276459E-4</v>
      </c>
      <c r="CM206" s="154">
        <v>7.6311881817276459E-4</v>
      </c>
      <c r="CN206" s="154">
        <v>7.6311881817276459E-4</v>
      </c>
      <c r="CO206" s="154">
        <v>5.0874587878184309E-4</v>
      </c>
      <c r="CP206" s="154">
        <v>5.0874587878184309E-4</v>
      </c>
      <c r="CQ206" s="154">
        <v>5.0874587878184309E-4</v>
      </c>
      <c r="CR206" s="154">
        <v>5.0874587878184309E-4</v>
      </c>
      <c r="CS206" s="154">
        <v>3.9525224209566176E-3</v>
      </c>
      <c r="CT206" s="154">
        <v>3.9525224209566176E-3</v>
      </c>
      <c r="CU206" s="154">
        <v>3.9525224209566176E-3</v>
      </c>
      <c r="CV206" s="154">
        <v>2.964391815717463E-3</v>
      </c>
      <c r="CW206" s="154">
        <v>2.964391815717463E-3</v>
      </c>
      <c r="CX206" s="154">
        <v>2.964391815717463E-3</v>
      </c>
      <c r="CY206" s="154">
        <v>1.552776665375814E-3</v>
      </c>
      <c r="CZ206" s="154">
        <v>1.552776665375814E-3</v>
      </c>
      <c r="DA206" s="154">
        <v>1.552776665375814E-3</v>
      </c>
      <c r="DB206" s="154">
        <v>2.7870350404181278E-3</v>
      </c>
      <c r="DC206" s="154">
        <v>2.7870350404181278E-3</v>
      </c>
      <c r="DD206" s="154">
        <v>2.7870350404181278E-3</v>
      </c>
      <c r="DE206" s="154">
        <v>2.1135015723170798E-3</v>
      </c>
      <c r="DF206" s="154">
        <v>2.1135015723170798E-3</v>
      </c>
      <c r="DG206" s="154">
        <v>2.1135015723170798E-3</v>
      </c>
      <c r="DH206" s="154">
        <v>6.8982996659853576E-5</v>
      </c>
      <c r="DI206" s="154">
        <v>6.8982996659853576E-5</v>
      </c>
      <c r="DJ206" s="154">
        <v>6.8982996659853576E-5</v>
      </c>
      <c r="DK206" s="154">
        <v>6.8982996659853576E-5</v>
      </c>
      <c r="DL206" s="154">
        <v>6.8982996659853576E-5</v>
      </c>
      <c r="DM206" s="154">
        <v>3.4491498329926784E-4</v>
      </c>
      <c r="DN206" s="154">
        <v>3.4491498329926784E-4</v>
      </c>
      <c r="DO206" s="154">
        <v>3.4491498329926784E-4</v>
      </c>
      <c r="DP206" s="154">
        <v>3.4491498329926784E-4</v>
      </c>
      <c r="DQ206" s="154">
        <v>3.4491498329926784E-4</v>
      </c>
      <c r="DR206" s="154">
        <v>6.8982996659853576E-5</v>
      </c>
      <c r="DS206" s="154">
        <v>6.8982996659853576E-5</v>
      </c>
      <c r="DT206" s="154">
        <v>6.8982996659853576E-5</v>
      </c>
      <c r="DU206" s="154">
        <v>6.8982996659853576E-5</v>
      </c>
      <c r="DV206" s="154">
        <v>6.8982996659853576E-5</v>
      </c>
      <c r="DW206" s="154">
        <v>6.8982996659853576E-5</v>
      </c>
      <c r="DX206" s="154">
        <v>6.8982996659853576E-5</v>
      </c>
      <c r="DY206" s="154">
        <v>6.8982996659853576E-5</v>
      </c>
      <c r="DZ206" s="154">
        <v>6.8982996659853576E-5</v>
      </c>
      <c r="EA206" s="154">
        <v>6.8982996659853576E-5</v>
      </c>
      <c r="EB206" s="154">
        <v>7.6311881817276459E-4</v>
      </c>
      <c r="EC206" s="154">
        <v>7.6311881817276459E-4</v>
      </c>
      <c r="ED206" s="154">
        <v>7.6311881817276459E-4</v>
      </c>
      <c r="EE206" s="154">
        <v>7.6311881817276459E-4</v>
      </c>
      <c r="EF206" s="154">
        <v>1.0174917575636864E-3</v>
      </c>
      <c r="EG206" s="154">
        <v>1.0174917575636864E-3</v>
      </c>
      <c r="EH206" s="154">
        <v>1.0174917575636864E-3</v>
      </c>
      <c r="EI206" s="154">
        <v>1.0174917575636864E-3</v>
      </c>
      <c r="EJ206" s="154">
        <v>5.087458787818432E-4</v>
      </c>
      <c r="EK206" s="154">
        <v>5.087458787818432E-4</v>
      </c>
      <c r="EL206" s="154">
        <v>5.087458787818432E-4</v>
      </c>
      <c r="EM206" s="154">
        <v>5.087458787818432E-4</v>
      </c>
      <c r="EN206" s="154">
        <v>7.6311881817276459E-4</v>
      </c>
      <c r="EO206" s="154">
        <v>7.6311881817276459E-4</v>
      </c>
      <c r="EP206" s="154">
        <v>7.6311881817276459E-4</v>
      </c>
      <c r="EQ206" s="154">
        <v>7.6311881817276459E-4</v>
      </c>
      <c r="ER206" s="154">
        <v>5.0874587878184309E-4</v>
      </c>
      <c r="ES206" s="154">
        <v>5.0874587878184309E-4</v>
      </c>
      <c r="ET206" s="154">
        <v>5.0874587878184309E-4</v>
      </c>
      <c r="EU206" s="154">
        <v>5.0874587878184309E-4</v>
      </c>
      <c r="EV206" s="154">
        <v>3.9525224209566176E-3</v>
      </c>
      <c r="EW206" s="154">
        <v>3.9525224209566176E-3</v>
      </c>
      <c r="EX206" s="154">
        <v>3.9525224209566176E-3</v>
      </c>
      <c r="EY206" s="154">
        <v>2.964391815717463E-3</v>
      </c>
      <c r="EZ206" s="154">
        <v>2.964391815717463E-3</v>
      </c>
      <c r="FA206" s="154">
        <v>2.964391815717463E-3</v>
      </c>
      <c r="FB206" s="154">
        <v>1.552776665375814E-3</v>
      </c>
      <c r="FC206" s="154">
        <v>1.552776665375814E-3</v>
      </c>
      <c r="FD206" s="154">
        <v>1.552776665375814E-3</v>
      </c>
      <c r="FE206" s="154">
        <v>2.7870350404181278E-3</v>
      </c>
      <c r="FF206" s="154">
        <v>2.7870350404181278E-3</v>
      </c>
      <c r="FG206" s="154">
        <v>2.7870350404181278E-3</v>
      </c>
      <c r="FH206" s="154">
        <v>2.1135015723170798E-3</v>
      </c>
      <c r="FI206" s="154">
        <v>2.1135015723170798E-3</v>
      </c>
      <c r="FJ206" s="154">
        <v>2.1135015723170798E-3</v>
      </c>
    </row>
    <row r="207" spans="1:166" x14ac:dyDescent="0.25">
      <c r="A207" s="154" t="s">
        <v>25</v>
      </c>
      <c r="B207" s="154">
        <v>-6.8982996659853564E-6</v>
      </c>
      <c r="C207" s="154">
        <v>-6.8982996659853564E-6</v>
      </c>
      <c r="D207" s="154">
        <v>-6.8982996659853564E-6</v>
      </c>
      <c r="E207" s="154">
        <v>-6.8982996659853564E-6</v>
      </c>
      <c r="F207" s="154">
        <v>-6.8982996659853564E-6</v>
      </c>
      <c r="G207" s="154">
        <v>-3.4491498329926788E-5</v>
      </c>
      <c r="H207" s="154">
        <v>-3.4491498329926788E-5</v>
      </c>
      <c r="I207" s="154">
        <v>-3.4491498329926788E-5</v>
      </c>
      <c r="J207" s="154">
        <v>-3.4491498329926788E-5</v>
      </c>
      <c r="K207" s="154">
        <v>-3.4491498329926788E-5</v>
      </c>
      <c r="L207" s="154">
        <v>-6.8982996659853564E-6</v>
      </c>
      <c r="M207" s="154">
        <v>-6.8982996659853564E-6</v>
      </c>
      <c r="N207" s="154">
        <v>-6.8982996659853564E-6</v>
      </c>
      <c r="O207" s="154">
        <v>-6.8982996659853564E-6</v>
      </c>
      <c r="P207" s="154">
        <v>-6.8982996659853564E-6</v>
      </c>
      <c r="Q207" s="154">
        <v>-6.8982996659853564E-6</v>
      </c>
      <c r="R207" s="154">
        <v>-6.8982996659853564E-6</v>
      </c>
      <c r="S207" s="154">
        <v>-6.8982996659853564E-6</v>
      </c>
      <c r="T207" s="154">
        <v>-6.8982996659853564E-6</v>
      </c>
      <c r="U207" s="154">
        <v>-6.8982996659853564E-6</v>
      </c>
      <c r="V207" s="154">
        <v>-3.8155940908638231E-5</v>
      </c>
      <c r="W207" s="154">
        <v>-3.8155940908638231E-5</v>
      </c>
      <c r="X207" s="154">
        <v>-3.8155940908638231E-5</v>
      </c>
      <c r="Y207" s="154">
        <v>-3.8155940908638231E-5</v>
      </c>
      <c r="Z207" s="154">
        <v>-5.0874587878184312E-5</v>
      </c>
      <c r="AA207" s="154">
        <v>-5.0874587878184312E-5</v>
      </c>
      <c r="AB207" s="154">
        <v>-5.0874587878184312E-5</v>
      </c>
      <c r="AC207" s="154">
        <v>-5.0874587878184312E-5</v>
      </c>
      <c r="AD207" s="154">
        <v>-2.5437293939092156E-5</v>
      </c>
      <c r="AE207" s="154">
        <v>-2.5437293939092156E-5</v>
      </c>
      <c r="AF207" s="154">
        <v>-2.5437293939092156E-5</v>
      </c>
      <c r="AG207" s="154">
        <v>-2.5437293939092156E-5</v>
      </c>
      <c r="AH207" s="154">
        <v>-3.8155940908638231E-5</v>
      </c>
      <c r="AI207" s="154">
        <v>-3.8155940908638231E-5</v>
      </c>
      <c r="AJ207" s="154">
        <v>-3.8155940908638231E-5</v>
      </c>
      <c r="AK207" s="154">
        <v>-3.8155940908638231E-5</v>
      </c>
      <c r="AL207" s="154">
        <v>-2.5437293939092159E-5</v>
      </c>
      <c r="AM207" s="154">
        <v>-2.5437293939092159E-5</v>
      </c>
      <c r="AN207" s="154">
        <v>-2.5437293939092159E-5</v>
      </c>
      <c r="AO207" s="154">
        <v>-2.5437293939092159E-5</v>
      </c>
      <c r="AP207" s="154">
        <v>-9.8813060523915441E-4</v>
      </c>
      <c r="AQ207" s="154">
        <v>-9.8813060523915441E-4</v>
      </c>
      <c r="AR207" s="154">
        <v>-9.8813060523915441E-4</v>
      </c>
      <c r="AS207" s="154">
        <v>-7.4109795392936575E-4</v>
      </c>
      <c r="AT207" s="154">
        <v>-7.4109795392936575E-4</v>
      </c>
      <c r="AU207" s="154">
        <v>-7.4109795392936575E-4</v>
      </c>
      <c r="AV207" s="154">
        <v>-3.8819416634395349E-4</v>
      </c>
      <c r="AW207" s="154">
        <v>-3.8819416634395349E-4</v>
      </c>
      <c r="AX207" s="154">
        <v>-3.8819416634395349E-4</v>
      </c>
      <c r="AY207" s="154">
        <v>-6.9675876010453195E-4</v>
      </c>
      <c r="AZ207" s="154">
        <v>-6.9675876010453195E-4</v>
      </c>
      <c r="BA207" s="154">
        <v>-6.9675876010453195E-4</v>
      </c>
      <c r="BB207" s="154">
        <v>-5.2837539307926996E-4</v>
      </c>
      <c r="BC207" s="154">
        <v>-5.2837539307926996E-4</v>
      </c>
      <c r="BD207" s="154">
        <v>-5.2837539307926996E-4</v>
      </c>
      <c r="BE207" s="154">
        <v>-6.8982996659853564E-6</v>
      </c>
      <c r="BF207" s="154">
        <v>-6.8982996659853564E-6</v>
      </c>
      <c r="BG207" s="154">
        <v>-6.8982996659853564E-6</v>
      </c>
      <c r="BH207" s="154">
        <v>-6.8982996659853564E-6</v>
      </c>
      <c r="BI207" s="154">
        <v>-6.8982996659853564E-6</v>
      </c>
      <c r="BJ207" s="154">
        <v>-3.4491498329926788E-5</v>
      </c>
      <c r="BK207" s="154">
        <v>-3.4491498329926788E-5</v>
      </c>
      <c r="BL207" s="154">
        <v>-3.4491498329926788E-5</v>
      </c>
      <c r="BM207" s="154">
        <v>-3.4491498329926788E-5</v>
      </c>
      <c r="BN207" s="154">
        <v>-3.4491498329926788E-5</v>
      </c>
      <c r="BO207" s="154">
        <v>-6.8982996659853564E-6</v>
      </c>
      <c r="BP207" s="154">
        <v>-6.8982996659853564E-6</v>
      </c>
      <c r="BQ207" s="154">
        <v>-6.8982996659853564E-6</v>
      </c>
      <c r="BR207" s="154">
        <v>-6.8982996659853564E-6</v>
      </c>
      <c r="BS207" s="154">
        <v>-6.8982996659853564E-6</v>
      </c>
      <c r="BT207" s="154">
        <v>-6.8982996659853564E-6</v>
      </c>
      <c r="BU207" s="154">
        <v>-6.8982996659853564E-6</v>
      </c>
      <c r="BV207" s="154">
        <v>-6.8982996659853564E-6</v>
      </c>
      <c r="BW207" s="154">
        <v>-6.8982996659853564E-6</v>
      </c>
      <c r="BX207" s="154">
        <v>-6.8982996659853564E-6</v>
      </c>
      <c r="BY207" s="154">
        <v>-3.8155940908638231E-5</v>
      </c>
      <c r="BZ207" s="154">
        <v>-3.8155940908638231E-5</v>
      </c>
      <c r="CA207" s="154">
        <v>-3.8155940908638231E-5</v>
      </c>
      <c r="CB207" s="154">
        <v>-3.8155940908638231E-5</v>
      </c>
      <c r="CC207" s="154">
        <v>-5.0874587878184312E-5</v>
      </c>
      <c r="CD207" s="154">
        <v>-5.0874587878184312E-5</v>
      </c>
      <c r="CE207" s="154">
        <v>-5.0874587878184312E-5</v>
      </c>
      <c r="CF207" s="154">
        <v>-5.0874587878184312E-5</v>
      </c>
      <c r="CG207" s="154">
        <v>-2.5437293939092156E-5</v>
      </c>
      <c r="CH207" s="154">
        <v>-2.5437293939092156E-5</v>
      </c>
      <c r="CI207" s="154">
        <v>-2.5437293939092156E-5</v>
      </c>
      <c r="CJ207" s="154">
        <v>-2.5437293939092156E-5</v>
      </c>
      <c r="CK207" s="154">
        <v>-3.8155940908638231E-5</v>
      </c>
      <c r="CL207" s="154">
        <v>-3.8155940908638231E-5</v>
      </c>
      <c r="CM207" s="154">
        <v>-3.8155940908638231E-5</v>
      </c>
      <c r="CN207" s="154">
        <v>-3.8155940908638231E-5</v>
      </c>
      <c r="CO207" s="154">
        <v>-2.5437293939092159E-5</v>
      </c>
      <c r="CP207" s="154">
        <v>-2.5437293939092159E-5</v>
      </c>
      <c r="CQ207" s="154">
        <v>-2.5437293939092159E-5</v>
      </c>
      <c r="CR207" s="154">
        <v>-2.5437293939092159E-5</v>
      </c>
      <c r="CS207" s="154">
        <v>-9.8813060523915441E-4</v>
      </c>
      <c r="CT207" s="154">
        <v>-9.8813060523915441E-4</v>
      </c>
      <c r="CU207" s="154">
        <v>-9.8813060523915441E-4</v>
      </c>
      <c r="CV207" s="154">
        <v>-7.4109795392936575E-4</v>
      </c>
      <c r="CW207" s="154">
        <v>-7.4109795392936575E-4</v>
      </c>
      <c r="CX207" s="154">
        <v>-7.4109795392936575E-4</v>
      </c>
      <c r="CY207" s="154">
        <v>-3.8819416634395349E-4</v>
      </c>
      <c r="CZ207" s="154">
        <v>-3.8819416634395349E-4</v>
      </c>
      <c r="DA207" s="154">
        <v>-3.8819416634395349E-4</v>
      </c>
      <c r="DB207" s="154">
        <v>-6.9675876010453195E-4</v>
      </c>
      <c r="DC207" s="154">
        <v>-6.9675876010453195E-4</v>
      </c>
      <c r="DD207" s="154">
        <v>-6.9675876010453195E-4</v>
      </c>
      <c r="DE207" s="154">
        <v>-5.2837539307926996E-4</v>
      </c>
      <c r="DF207" s="154">
        <v>-5.2837539307926996E-4</v>
      </c>
      <c r="DG207" s="154">
        <v>-5.2837539307926996E-4</v>
      </c>
      <c r="DH207" s="154">
        <v>-6.8982996659853564E-6</v>
      </c>
      <c r="DI207" s="154">
        <v>-6.8982996659853564E-6</v>
      </c>
      <c r="DJ207" s="154">
        <v>-6.8982996659853564E-6</v>
      </c>
      <c r="DK207" s="154">
        <v>-6.8982996659853564E-6</v>
      </c>
      <c r="DL207" s="154">
        <v>-6.8982996659853564E-6</v>
      </c>
      <c r="DM207" s="154">
        <v>-3.4491498329926788E-5</v>
      </c>
      <c r="DN207" s="154">
        <v>-3.4491498329926788E-5</v>
      </c>
      <c r="DO207" s="154">
        <v>-3.4491498329926788E-5</v>
      </c>
      <c r="DP207" s="154">
        <v>-3.4491498329926788E-5</v>
      </c>
      <c r="DQ207" s="154">
        <v>-3.4491498329926788E-5</v>
      </c>
      <c r="DR207" s="154">
        <v>-6.8982996659853564E-6</v>
      </c>
      <c r="DS207" s="154">
        <v>-6.8982996659853564E-6</v>
      </c>
      <c r="DT207" s="154">
        <v>-6.8982996659853564E-6</v>
      </c>
      <c r="DU207" s="154">
        <v>-6.8982996659853564E-6</v>
      </c>
      <c r="DV207" s="154">
        <v>-6.8982996659853564E-6</v>
      </c>
      <c r="DW207" s="154">
        <v>-6.8982996659853564E-6</v>
      </c>
      <c r="DX207" s="154">
        <v>-6.8982996659853564E-6</v>
      </c>
      <c r="DY207" s="154">
        <v>-6.8982996659853564E-6</v>
      </c>
      <c r="DZ207" s="154">
        <v>-6.8982996659853564E-6</v>
      </c>
      <c r="EA207" s="154">
        <v>-6.8982996659853564E-6</v>
      </c>
      <c r="EB207" s="154">
        <v>-3.8155940908638231E-5</v>
      </c>
      <c r="EC207" s="154">
        <v>-3.8155940908638231E-5</v>
      </c>
      <c r="ED207" s="154">
        <v>-3.8155940908638231E-5</v>
      </c>
      <c r="EE207" s="154">
        <v>-3.8155940908638231E-5</v>
      </c>
      <c r="EF207" s="154">
        <v>-5.0874587878184312E-5</v>
      </c>
      <c r="EG207" s="154">
        <v>-5.0874587878184312E-5</v>
      </c>
      <c r="EH207" s="154">
        <v>-5.0874587878184312E-5</v>
      </c>
      <c r="EI207" s="154">
        <v>-5.0874587878184312E-5</v>
      </c>
      <c r="EJ207" s="154">
        <v>-2.5437293939092156E-5</v>
      </c>
      <c r="EK207" s="154">
        <v>-2.5437293939092156E-5</v>
      </c>
      <c r="EL207" s="154">
        <v>-2.5437293939092156E-5</v>
      </c>
      <c r="EM207" s="154">
        <v>-2.5437293939092156E-5</v>
      </c>
      <c r="EN207" s="154">
        <v>-3.8155940908638231E-5</v>
      </c>
      <c r="EO207" s="154">
        <v>-3.8155940908638231E-5</v>
      </c>
      <c r="EP207" s="154">
        <v>-3.8155940908638231E-5</v>
      </c>
      <c r="EQ207" s="154">
        <v>-3.8155940908638231E-5</v>
      </c>
      <c r="ER207" s="154">
        <v>-2.5437293939092159E-5</v>
      </c>
      <c r="ES207" s="154">
        <v>-2.5437293939092159E-5</v>
      </c>
      <c r="ET207" s="154">
        <v>-2.5437293939092159E-5</v>
      </c>
      <c r="EU207" s="154">
        <v>-2.5437293939092159E-5</v>
      </c>
      <c r="EV207" s="154">
        <v>-9.8813060523915441E-4</v>
      </c>
      <c r="EW207" s="154">
        <v>-9.8813060523915441E-4</v>
      </c>
      <c r="EX207" s="154">
        <v>-9.8813060523915441E-4</v>
      </c>
      <c r="EY207" s="154">
        <v>-7.4109795392936575E-4</v>
      </c>
      <c r="EZ207" s="154">
        <v>-7.4109795392936575E-4</v>
      </c>
      <c r="FA207" s="154">
        <v>-7.4109795392936575E-4</v>
      </c>
      <c r="FB207" s="154">
        <v>-3.8819416634395349E-4</v>
      </c>
      <c r="FC207" s="154">
        <v>-3.8819416634395349E-4</v>
      </c>
      <c r="FD207" s="154">
        <v>-3.8819416634395349E-4</v>
      </c>
      <c r="FE207" s="154">
        <v>-6.9675876010453195E-4</v>
      </c>
      <c r="FF207" s="154">
        <v>-6.9675876010453195E-4</v>
      </c>
      <c r="FG207" s="154">
        <v>-6.9675876010453195E-4</v>
      </c>
      <c r="FH207" s="154">
        <v>-5.2837539307926996E-4</v>
      </c>
      <c r="FI207" s="154">
        <v>-5.2837539307926996E-4</v>
      </c>
      <c r="FJ207" s="154">
        <v>-5.2837539307926996E-4</v>
      </c>
    </row>
    <row r="208" spans="1:166" x14ac:dyDescent="0.25">
      <c r="A208" s="154" t="s">
        <v>37</v>
      </c>
      <c r="B208" s="154">
        <v>1.0654632223259673E-3</v>
      </c>
      <c r="C208" s="154">
        <v>1.0654632223259673E-3</v>
      </c>
      <c r="D208" s="154">
        <v>1.0654632223259673E-3</v>
      </c>
      <c r="E208" s="154">
        <v>1.0654632223259673E-3</v>
      </c>
      <c r="F208" s="154">
        <v>1.0654632223259673E-3</v>
      </c>
      <c r="G208" s="154">
        <v>1.0654632223259673E-3</v>
      </c>
      <c r="H208" s="154">
        <v>1.0654632223259673E-3</v>
      </c>
      <c r="I208" s="154">
        <v>1.0654632223259673E-3</v>
      </c>
      <c r="J208" s="154">
        <v>1.0654632223259673E-3</v>
      </c>
      <c r="K208" s="154">
        <v>1.0654632223259673E-3</v>
      </c>
      <c r="L208" s="154">
        <v>1.0654632223259673E-3</v>
      </c>
      <c r="M208" s="154">
        <v>1.0654632223259673E-3</v>
      </c>
      <c r="N208" s="154">
        <v>1.0654632223259673E-3</v>
      </c>
      <c r="O208" s="154">
        <v>1.0654632223259673E-3</v>
      </c>
      <c r="P208" s="154">
        <v>1.0654632223259673E-3</v>
      </c>
      <c r="Q208" s="154">
        <v>1.0654632223259673E-3</v>
      </c>
      <c r="R208" s="154">
        <v>1.0654632223259673E-3</v>
      </c>
      <c r="S208" s="154">
        <v>1.0654632223259673E-3</v>
      </c>
      <c r="T208" s="154">
        <v>1.0654632223259673E-3</v>
      </c>
      <c r="U208" s="154">
        <v>1.0654632223259673E-3</v>
      </c>
      <c r="V208" s="154">
        <v>1.6256502601040416E-3</v>
      </c>
      <c r="W208" s="154">
        <v>1.6256502601040416E-3</v>
      </c>
      <c r="X208" s="154">
        <v>1.6256502601040416E-3</v>
      </c>
      <c r="Y208" s="154">
        <v>1.6256502601040416E-3</v>
      </c>
      <c r="Z208" s="154">
        <v>1.5506202480992397E-3</v>
      </c>
      <c r="AA208" s="154">
        <v>1.5506202480992397E-3</v>
      </c>
      <c r="AB208" s="154">
        <v>1.5506202480992397E-3</v>
      </c>
      <c r="AC208" s="154">
        <v>1.5506202480992397E-3</v>
      </c>
      <c r="AD208" s="154">
        <v>1.525610244097639E-3</v>
      </c>
      <c r="AE208" s="154">
        <v>1.525610244097639E-3</v>
      </c>
      <c r="AF208" s="154">
        <v>1.525610244097639E-3</v>
      </c>
      <c r="AG208" s="154">
        <v>1.525610244097639E-3</v>
      </c>
      <c r="AH208" s="154">
        <v>3.6264505802320927E-3</v>
      </c>
      <c r="AI208" s="154">
        <v>3.6264505802320927E-3</v>
      </c>
      <c r="AJ208" s="154">
        <v>3.6264505802320927E-3</v>
      </c>
      <c r="AK208" s="154">
        <v>3.6264505802320927E-3</v>
      </c>
      <c r="AL208" s="154">
        <v>1.3005202080832333E-3</v>
      </c>
      <c r="AM208" s="154">
        <v>1.3005202080832333E-3</v>
      </c>
      <c r="AN208" s="154">
        <v>1.3005202080832333E-3</v>
      </c>
      <c r="AO208" s="154">
        <v>1.3005202080832333E-3</v>
      </c>
      <c r="AP208" s="154">
        <v>5.0909090909090911E-2</v>
      </c>
      <c r="AQ208" s="154">
        <v>5.0909090909090911E-2</v>
      </c>
      <c r="AR208" s="154">
        <v>5.0909090909090911E-2</v>
      </c>
      <c r="AS208" s="154">
        <v>2.5454545454545455E-2</v>
      </c>
      <c r="AT208" s="154">
        <v>2.5454545454545455E-2</v>
      </c>
      <c r="AU208" s="154">
        <v>2.5454545454545455E-2</v>
      </c>
      <c r="AV208" s="154">
        <v>2.6666666666666665E-2</v>
      </c>
      <c r="AW208" s="154">
        <v>2.6666666666666665E-2</v>
      </c>
      <c r="AX208" s="154">
        <v>2.6666666666666665E-2</v>
      </c>
      <c r="AY208" s="154">
        <v>3.5897435897435902E-2</v>
      </c>
      <c r="AZ208" s="154">
        <v>3.5897435897435902E-2</v>
      </c>
      <c r="BA208" s="154">
        <v>3.5897435897435902E-2</v>
      </c>
      <c r="BB208" s="154">
        <v>3.111111111111111E-2</v>
      </c>
      <c r="BC208" s="154">
        <v>3.111111111111111E-2</v>
      </c>
      <c r="BD208" s="154">
        <v>3.111111111111111E-2</v>
      </c>
      <c r="BE208" s="154">
        <v>1.0654632223259673E-3</v>
      </c>
      <c r="BF208" s="154">
        <v>1.0654632223259673E-3</v>
      </c>
      <c r="BG208" s="154">
        <v>1.0654632223259673E-3</v>
      </c>
      <c r="BH208" s="154">
        <v>1.0654632223259673E-3</v>
      </c>
      <c r="BI208" s="154">
        <v>1.0654632223259673E-3</v>
      </c>
      <c r="BJ208" s="154">
        <v>1.0654632223259673E-3</v>
      </c>
      <c r="BK208" s="154">
        <v>1.0654632223259673E-3</v>
      </c>
      <c r="BL208" s="154">
        <v>1.0654632223259673E-3</v>
      </c>
      <c r="BM208" s="154">
        <v>1.0654632223259673E-3</v>
      </c>
      <c r="BN208" s="154">
        <v>1.0654632223259673E-3</v>
      </c>
      <c r="BO208" s="154">
        <v>1.0654632223259673E-3</v>
      </c>
      <c r="BP208" s="154">
        <v>1.0654632223259673E-3</v>
      </c>
      <c r="BQ208" s="154">
        <v>1.0654632223259673E-3</v>
      </c>
      <c r="BR208" s="154">
        <v>1.0654632223259673E-3</v>
      </c>
      <c r="BS208" s="154">
        <v>1.0654632223259673E-3</v>
      </c>
      <c r="BT208" s="154">
        <v>1.0654632223259673E-3</v>
      </c>
      <c r="BU208" s="154">
        <v>1.0654632223259673E-3</v>
      </c>
      <c r="BV208" s="154">
        <v>1.0654632223259673E-3</v>
      </c>
      <c r="BW208" s="154">
        <v>1.0654632223259673E-3</v>
      </c>
      <c r="BX208" s="154">
        <v>1.0654632223259673E-3</v>
      </c>
      <c r="BY208" s="154">
        <v>1.6256502601040416E-3</v>
      </c>
      <c r="BZ208" s="154">
        <v>1.6256502601040416E-3</v>
      </c>
      <c r="CA208" s="154">
        <v>1.6256502601040416E-3</v>
      </c>
      <c r="CB208" s="154">
        <v>1.6256502601040416E-3</v>
      </c>
      <c r="CC208" s="154">
        <v>1.5506202480992397E-3</v>
      </c>
      <c r="CD208" s="154">
        <v>1.5506202480992397E-3</v>
      </c>
      <c r="CE208" s="154">
        <v>1.5506202480992397E-3</v>
      </c>
      <c r="CF208" s="154">
        <v>1.5506202480992397E-3</v>
      </c>
      <c r="CG208" s="154">
        <v>1.525610244097639E-3</v>
      </c>
      <c r="CH208" s="154">
        <v>1.525610244097639E-3</v>
      </c>
      <c r="CI208" s="154">
        <v>1.525610244097639E-3</v>
      </c>
      <c r="CJ208" s="154">
        <v>1.525610244097639E-3</v>
      </c>
      <c r="CK208" s="154">
        <v>3.6264505802320927E-3</v>
      </c>
      <c r="CL208" s="154">
        <v>3.6264505802320927E-3</v>
      </c>
      <c r="CM208" s="154">
        <v>3.6264505802320927E-3</v>
      </c>
      <c r="CN208" s="154">
        <v>3.6264505802320927E-3</v>
      </c>
      <c r="CO208" s="154">
        <v>1.3005202080832333E-3</v>
      </c>
      <c r="CP208" s="154">
        <v>1.3005202080832333E-3</v>
      </c>
      <c r="CQ208" s="154">
        <v>1.3005202080832333E-3</v>
      </c>
      <c r="CR208" s="154">
        <v>1.3005202080832333E-3</v>
      </c>
      <c r="CS208" s="154">
        <v>5.0909090909090911E-2</v>
      </c>
      <c r="CT208" s="154">
        <v>5.0909090909090911E-2</v>
      </c>
      <c r="CU208" s="154">
        <v>5.0909090909090911E-2</v>
      </c>
      <c r="CV208" s="154">
        <v>2.5454545454545455E-2</v>
      </c>
      <c r="CW208" s="154">
        <v>2.5454545454545455E-2</v>
      </c>
      <c r="CX208" s="154">
        <v>2.5454545454545455E-2</v>
      </c>
      <c r="CY208" s="154">
        <v>2.6666666666666665E-2</v>
      </c>
      <c r="CZ208" s="154">
        <v>2.6666666666666665E-2</v>
      </c>
      <c r="DA208" s="154">
        <v>2.6666666666666665E-2</v>
      </c>
      <c r="DB208" s="154">
        <v>3.5897435897435902E-2</v>
      </c>
      <c r="DC208" s="154">
        <v>3.5897435897435902E-2</v>
      </c>
      <c r="DD208" s="154">
        <v>3.5897435897435902E-2</v>
      </c>
      <c r="DE208" s="154">
        <v>3.111111111111111E-2</v>
      </c>
      <c r="DF208" s="154">
        <v>3.111111111111111E-2</v>
      </c>
      <c r="DG208" s="154">
        <v>3.111111111111111E-2</v>
      </c>
      <c r="DH208" s="154">
        <v>1.0654632223259673E-3</v>
      </c>
      <c r="DI208" s="154">
        <v>1.0654632223259673E-3</v>
      </c>
      <c r="DJ208" s="154">
        <v>1.0654632223259673E-3</v>
      </c>
      <c r="DK208" s="154">
        <v>1.0654632223259673E-3</v>
      </c>
      <c r="DL208" s="154">
        <v>1.0654632223259673E-3</v>
      </c>
      <c r="DM208" s="154">
        <v>1.0654632223259673E-3</v>
      </c>
      <c r="DN208" s="154">
        <v>1.0654632223259673E-3</v>
      </c>
      <c r="DO208" s="154">
        <v>1.0654632223259673E-3</v>
      </c>
      <c r="DP208" s="154">
        <v>1.0654632223259673E-3</v>
      </c>
      <c r="DQ208" s="154">
        <v>1.0654632223259673E-3</v>
      </c>
      <c r="DR208" s="154">
        <v>1.0654632223259673E-3</v>
      </c>
      <c r="DS208" s="154">
        <v>1.0654632223259673E-3</v>
      </c>
      <c r="DT208" s="154">
        <v>1.0654632223259673E-3</v>
      </c>
      <c r="DU208" s="154">
        <v>1.0654632223259673E-3</v>
      </c>
      <c r="DV208" s="154">
        <v>1.0654632223259673E-3</v>
      </c>
      <c r="DW208" s="154">
        <v>1.0654632223259673E-3</v>
      </c>
      <c r="DX208" s="154">
        <v>1.0654632223259673E-3</v>
      </c>
      <c r="DY208" s="154">
        <v>1.0654632223259673E-3</v>
      </c>
      <c r="DZ208" s="154">
        <v>1.0654632223259673E-3</v>
      </c>
      <c r="EA208" s="154">
        <v>1.0654632223259673E-3</v>
      </c>
      <c r="EB208" s="154">
        <v>1.6256502601040416E-3</v>
      </c>
      <c r="EC208" s="154">
        <v>1.6256502601040416E-3</v>
      </c>
      <c r="ED208" s="154">
        <v>1.6256502601040416E-3</v>
      </c>
      <c r="EE208" s="154">
        <v>1.6256502601040416E-3</v>
      </c>
      <c r="EF208" s="154">
        <v>1.5506202480992397E-3</v>
      </c>
      <c r="EG208" s="154">
        <v>1.5506202480992397E-3</v>
      </c>
      <c r="EH208" s="154">
        <v>1.5506202480992397E-3</v>
      </c>
      <c r="EI208" s="154">
        <v>1.5506202480992397E-3</v>
      </c>
      <c r="EJ208" s="154">
        <v>1.525610244097639E-3</v>
      </c>
      <c r="EK208" s="154">
        <v>1.525610244097639E-3</v>
      </c>
      <c r="EL208" s="154">
        <v>1.525610244097639E-3</v>
      </c>
      <c r="EM208" s="154">
        <v>1.525610244097639E-3</v>
      </c>
      <c r="EN208" s="154">
        <v>3.6264505802320927E-3</v>
      </c>
      <c r="EO208" s="154">
        <v>3.6264505802320927E-3</v>
      </c>
      <c r="EP208" s="154">
        <v>3.6264505802320927E-3</v>
      </c>
      <c r="EQ208" s="154">
        <v>3.6264505802320927E-3</v>
      </c>
      <c r="ER208" s="154">
        <v>1.3005202080832333E-3</v>
      </c>
      <c r="ES208" s="154">
        <v>1.3005202080832333E-3</v>
      </c>
      <c r="ET208" s="154">
        <v>1.3005202080832333E-3</v>
      </c>
      <c r="EU208" s="154">
        <v>1.3005202080832333E-3</v>
      </c>
      <c r="EV208" s="154">
        <v>5.0909090909090911E-2</v>
      </c>
      <c r="EW208" s="154">
        <v>5.0909090909090911E-2</v>
      </c>
      <c r="EX208" s="154">
        <v>5.0909090909090911E-2</v>
      </c>
      <c r="EY208" s="154">
        <v>2.5454545454545455E-2</v>
      </c>
      <c r="EZ208" s="154">
        <v>2.5454545454545455E-2</v>
      </c>
      <c r="FA208" s="154">
        <v>2.5454545454545455E-2</v>
      </c>
      <c r="FB208" s="154">
        <v>2.6666666666666665E-2</v>
      </c>
      <c r="FC208" s="154">
        <v>2.6666666666666665E-2</v>
      </c>
      <c r="FD208" s="154">
        <v>2.6666666666666665E-2</v>
      </c>
      <c r="FE208" s="154">
        <v>3.5897435897435902E-2</v>
      </c>
      <c r="FF208" s="154">
        <v>3.5897435897435902E-2</v>
      </c>
      <c r="FG208" s="154">
        <v>3.5897435897435902E-2</v>
      </c>
      <c r="FH208" s="154">
        <v>3.111111111111111E-2</v>
      </c>
      <c r="FI208" s="154">
        <v>3.111111111111111E-2</v>
      </c>
      <c r="FJ208" s="154">
        <v>3.111111111111111E-2</v>
      </c>
    </row>
    <row r="209" spans="1:166" x14ac:dyDescent="0.25">
      <c r="A209" s="154" t="s">
        <v>52</v>
      </c>
      <c r="B209" s="154">
        <v>4.305425874053325E-4</v>
      </c>
      <c r="C209" s="154">
        <v>4.305425874053325E-4</v>
      </c>
      <c r="D209" s="154">
        <v>2.9878618113912231E-4</v>
      </c>
      <c r="E209" s="154">
        <v>2.9878618113912231E-4</v>
      </c>
      <c r="F209" s="154">
        <v>4.305425874053325E-4</v>
      </c>
      <c r="G209" s="154">
        <v>4.305425874053325E-4</v>
      </c>
      <c r="H209" s="154">
        <v>4.305425874053325E-4</v>
      </c>
      <c r="I209" s="154">
        <v>2.9878618113912231E-4</v>
      </c>
      <c r="J209" s="154">
        <v>2.9878618113912231E-4</v>
      </c>
      <c r="K209" s="154">
        <v>4.305425874053325E-4</v>
      </c>
      <c r="L209" s="154">
        <v>4.305425874053325E-4</v>
      </c>
      <c r="M209" s="154">
        <v>4.305425874053325E-4</v>
      </c>
      <c r="N209" s="154">
        <v>2.9878618113912231E-4</v>
      </c>
      <c r="O209" s="154">
        <v>2.9878618113912231E-4</v>
      </c>
      <c r="P209" s="154">
        <v>4.305425874053325E-4</v>
      </c>
      <c r="Q209" s="154">
        <v>4.305425874053325E-4</v>
      </c>
      <c r="R209" s="154">
        <v>4.305425874053325E-4</v>
      </c>
      <c r="S209" s="154">
        <v>2.9878618113912231E-4</v>
      </c>
      <c r="T209" s="154">
        <v>2.9878618113912231E-4</v>
      </c>
      <c r="U209" s="154">
        <v>4.305425874053325E-4</v>
      </c>
      <c r="V209" s="154">
        <v>2.6260504201680674E-3</v>
      </c>
      <c r="W209" s="154">
        <v>1.6256502601040416E-3</v>
      </c>
      <c r="X209" s="154">
        <v>3.235203975384487E-3</v>
      </c>
      <c r="Y209" s="154">
        <v>3.4736649752972778E-3</v>
      </c>
      <c r="Z209" s="154">
        <v>2.6260504201680674E-3</v>
      </c>
      <c r="AA209" s="154">
        <v>1.6256502601040416E-3</v>
      </c>
      <c r="AB209" s="154">
        <v>3.235203975384487E-3</v>
      </c>
      <c r="AC209" s="154">
        <v>3.4736649752972778E-3</v>
      </c>
      <c r="AD209" s="154">
        <v>2.6260504201680674E-3</v>
      </c>
      <c r="AE209" s="154">
        <v>1.6256502601040416E-3</v>
      </c>
      <c r="AF209" s="154">
        <v>3.235203975384487E-3</v>
      </c>
      <c r="AG209" s="154">
        <v>3.4736649752972778E-3</v>
      </c>
      <c r="AH209" s="154">
        <v>2.6260504201680674E-3</v>
      </c>
      <c r="AI209" s="154">
        <v>1.6256502601040416E-3</v>
      </c>
      <c r="AJ209" s="154">
        <v>3.235203975384487E-3</v>
      </c>
      <c r="AK209" s="154">
        <v>3.4736649752972778E-3</v>
      </c>
      <c r="AL209" s="154">
        <v>2.1008403361344541E-3</v>
      </c>
      <c r="AM209" s="154">
        <v>1.3005202080832333E-3</v>
      </c>
      <c r="AN209" s="154">
        <v>2.5881631803075897E-3</v>
      </c>
      <c r="AO209" s="154">
        <v>2.7789319802378224E-3</v>
      </c>
      <c r="AP209" s="154">
        <v>1.4545454545454545E-2</v>
      </c>
      <c r="AQ209" s="154">
        <v>1.0909090909090908E-2</v>
      </c>
      <c r="AR209" s="154">
        <v>1.868668998758358E-2</v>
      </c>
      <c r="AS209" s="154">
        <v>7.2727272727272727E-3</v>
      </c>
      <c r="AT209" s="154">
        <v>5.4545454545454541E-3</v>
      </c>
      <c r="AU209" s="154">
        <v>9.3433449937917901E-3</v>
      </c>
      <c r="AV209" s="154">
        <v>7.619047619047619E-3</v>
      </c>
      <c r="AW209" s="154">
        <v>5.7142857142857143E-3</v>
      </c>
      <c r="AX209" s="154">
        <v>9.7882661839723516E-3</v>
      </c>
      <c r="AY209" s="154">
        <v>1.0256410256410255E-2</v>
      </c>
      <c r="AZ209" s="154">
        <v>7.6923076923076927E-3</v>
      </c>
      <c r="BA209" s="154">
        <v>1.3176512170732011E-2</v>
      </c>
      <c r="BB209" s="154">
        <v>8.8888888888888889E-3</v>
      </c>
      <c r="BC209" s="154">
        <v>6.6666666666666662E-3</v>
      </c>
      <c r="BD209" s="154">
        <v>1.1419643881301077E-2</v>
      </c>
      <c r="BE209" s="154">
        <v>4.305425874053325E-4</v>
      </c>
      <c r="BF209" s="154">
        <v>4.305425874053325E-4</v>
      </c>
      <c r="BG209" s="154">
        <v>2.9878618113912231E-4</v>
      </c>
      <c r="BH209" s="154">
        <v>2.9878618113912231E-4</v>
      </c>
      <c r="BI209" s="154">
        <v>4.305425874053325E-4</v>
      </c>
      <c r="BJ209" s="154">
        <v>4.305425874053325E-4</v>
      </c>
      <c r="BK209" s="154">
        <v>4.305425874053325E-4</v>
      </c>
      <c r="BL209" s="154">
        <v>2.9878618113912231E-4</v>
      </c>
      <c r="BM209" s="154">
        <v>2.9878618113912231E-4</v>
      </c>
      <c r="BN209" s="154">
        <v>4.305425874053325E-4</v>
      </c>
      <c r="BO209" s="154">
        <v>4.305425874053325E-4</v>
      </c>
      <c r="BP209" s="154">
        <v>4.305425874053325E-4</v>
      </c>
      <c r="BQ209" s="154">
        <v>2.9878618113912231E-4</v>
      </c>
      <c r="BR209" s="154">
        <v>2.9878618113912231E-4</v>
      </c>
      <c r="BS209" s="154">
        <v>4.305425874053325E-4</v>
      </c>
      <c r="BT209" s="154">
        <v>4.305425874053325E-4</v>
      </c>
      <c r="BU209" s="154">
        <v>4.305425874053325E-4</v>
      </c>
      <c r="BV209" s="154">
        <v>2.9878618113912231E-4</v>
      </c>
      <c r="BW209" s="154">
        <v>2.9878618113912231E-4</v>
      </c>
      <c r="BX209" s="154">
        <v>4.305425874053325E-4</v>
      </c>
      <c r="BY209" s="154">
        <v>2.6260504201680674E-3</v>
      </c>
      <c r="BZ209" s="154">
        <v>1.6256502601040416E-3</v>
      </c>
      <c r="CA209" s="154">
        <v>2.7152291126929309E-3</v>
      </c>
      <c r="CB209" s="154">
        <v>2.5777082888133671E-3</v>
      </c>
      <c r="CC209" s="154">
        <v>2.6260504201680674E-3</v>
      </c>
      <c r="CD209" s="154">
        <v>1.6256502601040416E-3</v>
      </c>
      <c r="CE209" s="154">
        <v>2.7152291126929309E-3</v>
      </c>
      <c r="CF209" s="154">
        <v>2.5777082888133671E-3</v>
      </c>
      <c r="CG209" s="154">
        <v>2.6260504201680674E-3</v>
      </c>
      <c r="CH209" s="154">
        <v>1.6256502601040416E-3</v>
      </c>
      <c r="CI209" s="154">
        <v>2.7152291126929309E-3</v>
      </c>
      <c r="CJ209" s="154">
        <v>2.5777082888133671E-3</v>
      </c>
      <c r="CK209" s="154">
        <v>2.6260504201680674E-3</v>
      </c>
      <c r="CL209" s="154">
        <v>1.6256502601040416E-3</v>
      </c>
      <c r="CM209" s="154">
        <v>2.7152291126929309E-3</v>
      </c>
      <c r="CN209" s="154">
        <v>2.5777082888133671E-3</v>
      </c>
      <c r="CO209" s="154">
        <v>2.1008403361344541E-3</v>
      </c>
      <c r="CP209" s="154">
        <v>1.3005202080832333E-3</v>
      </c>
      <c r="CQ209" s="154">
        <v>2.1721832901543448E-3</v>
      </c>
      <c r="CR209" s="154">
        <v>2.0621666310506933E-3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 r="CZ209" s="154">
        <v>5.7142857142857143E-3</v>
      </c>
      <c r="DA209" s="154">
        <v>7.7224822441822839E-3</v>
      </c>
      <c r="DB209" s="154">
        <v>1.0256410256410255E-2</v>
      </c>
      <c r="DC209" s="154">
        <v>7.6923076923076927E-3</v>
      </c>
      <c r="DD209" s="154">
        <v>1.0395649174860766E-2</v>
      </c>
      <c r="DE209" s="154">
        <v>8.8888888888888889E-3</v>
      </c>
      <c r="DF209" s="154">
        <v>6.6666666666666662E-3</v>
      </c>
      <c r="DG209" s="154">
        <v>9.0095626182126638E-3</v>
      </c>
      <c r="DH209" s="154">
        <v>4.305425874053325E-4</v>
      </c>
      <c r="DI209" s="154">
        <v>4.305425874053325E-4</v>
      </c>
      <c r="DJ209" s="154">
        <v>2.9878618113912231E-4</v>
      </c>
      <c r="DK209" s="154">
        <v>2.9878618113912231E-4</v>
      </c>
      <c r="DL209" s="154">
        <v>4.305425874053325E-4</v>
      </c>
      <c r="DM209" s="154">
        <v>4.305425874053325E-4</v>
      </c>
      <c r="DN209" s="154">
        <v>4.305425874053325E-4</v>
      </c>
      <c r="DO209" s="154">
        <v>2.9878618113912231E-4</v>
      </c>
      <c r="DP209" s="154">
        <v>2.9878618113912231E-4</v>
      </c>
      <c r="DQ209" s="154">
        <v>4.305425874053325E-4</v>
      </c>
      <c r="DR209" s="154">
        <v>4.305425874053325E-4</v>
      </c>
      <c r="DS209" s="154">
        <v>4.305425874053325E-4</v>
      </c>
      <c r="DT209" s="154">
        <v>2.9878618113912231E-4</v>
      </c>
      <c r="DU209" s="154">
        <v>2.9878618113912231E-4</v>
      </c>
      <c r="DV209" s="154">
        <v>4.305425874053325E-4</v>
      </c>
      <c r="DW209" s="154">
        <v>4.305425874053325E-4</v>
      </c>
      <c r="DX209" s="154">
        <v>4.305425874053325E-4</v>
      </c>
      <c r="DY209" s="154">
        <v>2.9878618113912231E-4</v>
      </c>
      <c r="DZ209" s="154">
        <v>2.9878618113912231E-4</v>
      </c>
      <c r="EA209" s="154">
        <v>4.305425874053325E-4</v>
      </c>
      <c r="EB209" s="154">
        <v>2.6260504201680674E-3</v>
      </c>
      <c r="EC209" s="154">
        <v>1.6256502601040416E-3</v>
      </c>
      <c r="ED209" s="154">
        <v>2.0347764046985059E-3</v>
      </c>
      <c r="EE209" s="154">
        <v>1.4052359304229719E-3</v>
      </c>
      <c r="EF209" s="154">
        <v>2.6260504201680674E-3</v>
      </c>
      <c r="EG209" s="154">
        <v>1.6256502601040416E-3</v>
      </c>
      <c r="EH209" s="154">
        <v>2.0347764046985059E-3</v>
      </c>
      <c r="EI209" s="154">
        <v>1.4052359304229719E-3</v>
      </c>
      <c r="EJ209" s="154">
        <v>2.6260504201680674E-3</v>
      </c>
      <c r="EK209" s="154">
        <v>1.6256502601040416E-3</v>
      </c>
      <c r="EL209" s="154">
        <v>2.0347764046985059E-3</v>
      </c>
      <c r="EM209" s="154">
        <v>1.4052359304229719E-3</v>
      </c>
      <c r="EN209" s="154">
        <v>2.6260504201680674E-3</v>
      </c>
      <c r="EO209" s="154">
        <v>1.6256502601040416E-3</v>
      </c>
      <c r="EP209" s="154">
        <v>2.0347764046985059E-3</v>
      </c>
      <c r="EQ209" s="154">
        <v>1.4052359304229719E-3</v>
      </c>
      <c r="ER209" s="154">
        <v>2.1008403361344541E-3</v>
      </c>
      <c r="ES209" s="154">
        <v>1.3005202080832333E-3</v>
      </c>
      <c r="ET209" s="154">
        <v>1.6278211237588046E-3</v>
      </c>
      <c r="EU209" s="154">
        <v>1.1241887443383775E-3</v>
      </c>
      <c r="EV209" s="154">
        <v>1.4545454545454545E-2</v>
      </c>
      <c r="EW209" s="154">
        <v>1.0909090909090908E-2</v>
      </c>
      <c r="EX209" s="154">
        <v>1.3094815714923418E-2</v>
      </c>
      <c r="EY209" s="154">
        <v>7.2727272727272727E-3</v>
      </c>
      <c r="EZ209" s="154">
        <v>5.4545454545454541E-3</v>
      </c>
      <c r="FA209" s="154">
        <v>6.5474078574617092E-3</v>
      </c>
      <c r="FB209" s="154">
        <v>7.619047619047619E-3</v>
      </c>
      <c r="FC209" s="154">
        <v>5.7142857142857143E-3</v>
      </c>
      <c r="FD209" s="154">
        <v>6.8591891840075045E-3</v>
      </c>
      <c r="FE209" s="154">
        <v>1.0256410256410255E-2</v>
      </c>
      <c r="FF209" s="154">
        <v>7.6923076923076927E-3</v>
      </c>
      <c r="FG209" s="154">
        <v>9.2335239015485654E-3</v>
      </c>
      <c r="FH209" s="154">
        <v>8.8888888888888889E-3</v>
      </c>
      <c r="FI209" s="154">
        <v>6.6666666666666662E-3</v>
      </c>
      <c r="FJ209" s="154">
        <v>8.0023873813420895E-3</v>
      </c>
    </row>
    <row r="210" spans="1:166" x14ac:dyDescent="0.25">
      <c r="A210" s="154" t="s">
        <v>262</v>
      </c>
      <c r="B210" s="154">
        <v>8.9502842587904882E-5</v>
      </c>
      <c r="C210" s="154">
        <v>8.9502842587904882E-5</v>
      </c>
      <c r="D210" s="154">
        <v>8.9502842587904882E-5</v>
      </c>
      <c r="E210" s="154">
        <v>8.9502842587904882E-5</v>
      </c>
      <c r="F210" s="154">
        <v>8.9502842587904882E-5</v>
      </c>
      <c r="G210" s="154">
        <v>1.7869725535414797E-4</v>
      </c>
      <c r="H210" s="154">
        <v>1.7869725535414797E-4</v>
      </c>
      <c r="I210" s="154">
        <v>1.7869725535414797E-4</v>
      </c>
      <c r="J210" s="154">
        <v>1.7869725535414797E-4</v>
      </c>
      <c r="K210" s="154">
        <v>1.7869725535414797E-4</v>
      </c>
      <c r="L210" s="154">
        <v>8.6011184229469056E-5</v>
      </c>
      <c r="M210" s="154">
        <v>8.6011184229469056E-5</v>
      </c>
      <c r="N210" s="154">
        <v>8.6011184229469056E-5</v>
      </c>
      <c r="O210" s="154">
        <v>8.6011184229469056E-5</v>
      </c>
      <c r="P210" s="154">
        <v>8.6011184229469056E-5</v>
      </c>
      <c r="Q210" s="154">
        <v>8.6011184229469056E-5</v>
      </c>
      <c r="R210" s="154">
        <v>8.6011184229469056E-5</v>
      </c>
      <c r="S210" s="154">
        <v>8.6011184229469056E-5</v>
      </c>
      <c r="T210" s="154">
        <v>8.6011184229469056E-5</v>
      </c>
      <c r="U210" s="154">
        <v>8.6011184229469056E-5</v>
      </c>
      <c r="V210" s="154">
        <v>1.7507002801120447E-3</v>
      </c>
      <c r="W210" s="154">
        <v>1.7507002801120447E-3</v>
      </c>
      <c r="X210" s="154">
        <v>1.7507002801120447E-3</v>
      </c>
      <c r="Y210" s="154">
        <v>1.7507002801120447E-3</v>
      </c>
      <c r="Z210" s="154">
        <v>1.6256502601040416E-3</v>
      </c>
      <c r="AA210" s="154">
        <v>1.6256502601040416E-3</v>
      </c>
      <c r="AB210" s="154">
        <v>1.6256502601040416E-3</v>
      </c>
      <c r="AC210" s="154">
        <v>1.6256502601040416E-3</v>
      </c>
      <c r="AD210" s="154">
        <v>1.6256502601040416E-3</v>
      </c>
      <c r="AE210" s="154">
        <v>1.6256502601040416E-3</v>
      </c>
      <c r="AF210" s="154">
        <v>1.6256502601040416E-3</v>
      </c>
      <c r="AG210" s="154">
        <v>1.6256502601040416E-3</v>
      </c>
      <c r="AH210" s="154">
        <v>4.0016006402561026E-3</v>
      </c>
      <c r="AI210" s="154">
        <v>4.0016006402561026E-3</v>
      </c>
      <c r="AJ210" s="154">
        <v>4.0016006402561026E-3</v>
      </c>
      <c r="AK210" s="154">
        <v>4.0016006402561026E-3</v>
      </c>
      <c r="AL210" s="154">
        <v>1.4005602240896359E-3</v>
      </c>
      <c r="AM210" s="154">
        <v>1.4005602240896359E-3</v>
      </c>
      <c r="AN210" s="154">
        <v>1.4005602240896359E-3</v>
      </c>
      <c r="AO210" s="154">
        <v>1.4005602240896359E-3</v>
      </c>
      <c r="AP210" s="154">
        <v>4.4000000000000003E-3</v>
      </c>
      <c r="AQ210" s="154">
        <v>4.4000000000000003E-3</v>
      </c>
      <c r="AR210" s="154">
        <v>4.4000000000000003E-3</v>
      </c>
      <c r="AS210" s="154">
        <v>4.4000000000000003E-3</v>
      </c>
      <c r="AT210" s="154">
        <v>4.4000000000000003E-3</v>
      </c>
      <c r="AU210" s="154">
        <v>4.4000000000000003E-3</v>
      </c>
      <c r="AV210" s="154">
        <v>4.4000000000000003E-3</v>
      </c>
      <c r="AW210" s="154">
        <v>4.4000000000000003E-3</v>
      </c>
      <c r="AX210" s="154">
        <v>4.4000000000000003E-3</v>
      </c>
      <c r="AY210" s="154">
        <v>4.4000000000000003E-3</v>
      </c>
      <c r="AZ210" s="154">
        <v>4.4000000000000003E-3</v>
      </c>
      <c r="BA210" s="154">
        <v>4.4000000000000003E-3</v>
      </c>
      <c r="BB210" s="154">
        <v>4.4000000000000003E-3</v>
      </c>
      <c r="BC210" s="154">
        <v>4.4000000000000003E-3</v>
      </c>
      <c r="BD210" s="154">
        <v>4.4000000000000003E-3</v>
      </c>
      <c r="BE210" s="154">
        <v>8.9502842587904882E-5</v>
      </c>
      <c r="BF210" s="154">
        <v>8.9502842587904882E-5</v>
      </c>
      <c r="BG210" s="154">
        <v>8.9502842587904882E-5</v>
      </c>
      <c r="BH210" s="154">
        <v>8.9502842587904882E-5</v>
      </c>
      <c r="BI210" s="154">
        <v>8.9502842587904882E-5</v>
      </c>
      <c r="BJ210" s="154">
        <v>1.7869725535414797E-4</v>
      </c>
      <c r="BK210" s="154">
        <v>1.7869725535414797E-4</v>
      </c>
      <c r="BL210" s="154">
        <v>1.7869725535414797E-4</v>
      </c>
      <c r="BM210" s="154">
        <v>1.7869725535414797E-4</v>
      </c>
      <c r="BN210" s="154">
        <v>1.7869725535414797E-4</v>
      </c>
      <c r="BO210" s="154">
        <v>8.6011184229469056E-5</v>
      </c>
      <c r="BP210" s="154">
        <v>8.6011184229469056E-5</v>
      </c>
      <c r="BQ210" s="154">
        <v>8.6011184229469056E-5</v>
      </c>
      <c r="BR210" s="154">
        <v>8.6011184229469056E-5</v>
      </c>
      <c r="BS210" s="154">
        <v>8.6011184229469056E-5</v>
      </c>
      <c r="BT210" s="154">
        <v>8.6011184229469056E-5</v>
      </c>
      <c r="BU210" s="154">
        <v>8.6011184229469056E-5</v>
      </c>
      <c r="BV210" s="154">
        <v>8.6011184229469056E-5</v>
      </c>
      <c r="BW210" s="154">
        <v>8.6011184229469056E-5</v>
      </c>
      <c r="BX210" s="154">
        <v>8.6011184229469056E-5</v>
      </c>
      <c r="BY210" s="154">
        <v>1.7507002801120447E-3</v>
      </c>
      <c r="BZ210" s="154">
        <v>1.7507002801120447E-3</v>
      </c>
      <c r="CA210" s="154">
        <v>1.7507002801120447E-3</v>
      </c>
      <c r="CB210" s="154">
        <v>1.7507002801120447E-3</v>
      </c>
      <c r="CC210" s="154">
        <v>1.6256502601040416E-3</v>
      </c>
      <c r="CD210" s="154">
        <v>1.6256502601040416E-3</v>
      </c>
      <c r="CE210" s="154">
        <v>1.6256502601040416E-3</v>
      </c>
      <c r="CF210" s="154">
        <v>1.6256502601040416E-3</v>
      </c>
      <c r="CG210" s="154">
        <v>1.6256502601040416E-3</v>
      </c>
      <c r="CH210" s="154">
        <v>1.6256502601040416E-3</v>
      </c>
      <c r="CI210" s="154">
        <v>1.6256502601040416E-3</v>
      </c>
      <c r="CJ210" s="154">
        <v>1.6256502601040416E-3</v>
      </c>
      <c r="CK210" s="154">
        <v>4.0016006402561026E-3</v>
      </c>
      <c r="CL210" s="154">
        <v>4.0016006402561026E-3</v>
      </c>
      <c r="CM210" s="154">
        <v>4.0016006402561026E-3</v>
      </c>
      <c r="CN210" s="154">
        <v>4.0016006402561026E-3</v>
      </c>
      <c r="CO210" s="154">
        <v>1.4005602240896359E-3</v>
      </c>
      <c r="CP210" s="154">
        <v>1.4005602240896359E-3</v>
      </c>
      <c r="CQ210" s="154">
        <v>1.4005602240896359E-3</v>
      </c>
      <c r="CR210" s="154">
        <v>1.4005602240896359E-3</v>
      </c>
      <c r="CS210" s="154">
        <v>4.4000000000000003E-3</v>
      </c>
      <c r="CT210" s="154">
        <v>4.4000000000000003E-3</v>
      </c>
      <c r="CU210" s="154">
        <v>4.4000000000000003E-3</v>
      </c>
      <c r="CV210" s="154">
        <v>4.4000000000000003E-3</v>
      </c>
      <c r="CW210" s="154">
        <v>4.4000000000000003E-3</v>
      </c>
      <c r="CX210" s="154">
        <v>4.4000000000000003E-3</v>
      </c>
      <c r="CY210" s="154">
        <v>4.4000000000000003E-3</v>
      </c>
      <c r="CZ210" s="154">
        <v>4.4000000000000003E-3</v>
      </c>
      <c r="DA210" s="154">
        <v>4.4000000000000003E-3</v>
      </c>
      <c r="DB210" s="154">
        <v>4.4000000000000003E-3</v>
      </c>
      <c r="DC210" s="154">
        <v>4.4000000000000003E-3</v>
      </c>
      <c r="DD210" s="154">
        <v>4.4000000000000003E-3</v>
      </c>
      <c r="DE210" s="154">
        <v>4.4000000000000003E-3</v>
      </c>
      <c r="DF210" s="154">
        <v>4.4000000000000003E-3</v>
      </c>
      <c r="DG210" s="154">
        <v>4.4000000000000003E-3</v>
      </c>
      <c r="DH210" s="154">
        <v>8.9502842587904882E-5</v>
      </c>
      <c r="DI210" s="154">
        <v>8.9502842587904882E-5</v>
      </c>
      <c r="DJ210" s="154">
        <v>8.9502842587904882E-5</v>
      </c>
      <c r="DK210" s="154">
        <v>8.9502842587904882E-5</v>
      </c>
      <c r="DL210" s="154">
        <v>8.9502842587904882E-5</v>
      </c>
      <c r="DM210" s="154">
        <v>1.7869725535414797E-4</v>
      </c>
      <c r="DN210" s="154">
        <v>1.7869725535414797E-4</v>
      </c>
      <c r="DO210" s="154">
        <v>1.7869725535414797E-4</v>
      </c>
      <c r="DP210" s="154">
        <v>1.7869725535414797E-4</v>
      </c>
      <c r="DQ210" s="154">
        <v>1.7869725535414797E-4</v>
      </c>
      <c r="DR210" s="154">
        <v>8.6011184229469056E-5</v>
      </c>
      <c r="DS210" s="154">
        <v>8.6011184229469056E-5</v>
      </c>
      <c r="DT210" s="154">
        <v>8.6011184229469056E-5</v>
      </c>
      <c r="DU210" s="154">
        <v>8.6011184229469056E-5</v>
      </c>
      <c r="DV210" s="154">
        <v>8.6011184229469056E-5</v>
      </c>
      <c r="DW210" s="154">
        <v>8.6011184229469056E-5</v>
      </c>
      <c r="DX210" s="154">
        <v>8.6011184229469056E-5</v>
      </c>
      <c r="DY210" s="154">
        <v>8.6011184229469056E-5</v>
      </c>
      <c r="DZ210" s="154">
        <v>8.6011184229469056E-5</v>
      </c>
      <c r="EA210" s="154">
        <v>8.6011184229469056E-5</v>
      </c>
      <c r="EB210" s="154">
        <v>1.7507002801120447E-3</v>
      </c>
      <c r="EC210" s="154">
        <v>1.7507002801120447E-3</v>
      </c>
      <c r="ED210" s="154">
        <v>1.7507002801120447E-3</v>
      </c>
      <c r="EE210" s="154">
        <v>1.7507002801120447E-3</v>
      </c>
      <c r="EF210" s="154">
        <v>1.6256502601040416E-3</v>
      </c>
      <c r="EG210" s="154">
        <v>1.6256502601040416E-3</v>
      </c>
      <c r="EH210" s="154">
        <v>1.6256502601040416E-3</v>
      </c>
      <c r="EI210" s="154">
        <v>1.6256502601040416E-3</v>
      </c>
      <c r="EJ210" s="154">
        <v>1.6256502601040416E-3</v>
      </c>
      <c r="EK210" s="154">
        <v>1.6256502601040416E-3</v>
      </c>
      <c r="EL210" s="154">
        <v>1.6256502601040416E-3</v>
      </c>
      <c r="EM210" s="154">
        <v>1.6256502601040416E-3</v>
      </c>
      <c r="EN210" s="154">
        <v>4.0016006402561026E-3</v>
      </c>
      <c r="EO210" s="154">
        <v>4.0016006402561026E-3</v>
      </c>
      <c r="EP210" s="154">
        <v>4.0016006402561026E-3</v>
      </c>
      <c r="EQ210" s="154">
        <v>4.0016006402561026E-3</v>
      </c>
      <c r="ER210" s="154">
        <v>1.4005602240896359E-3</v>
      </c>
      <c r="ES210" s="154">
        <v>1.4005602240896359E-3</v>
      </c>
      <c r="ET210" s="154">
        <v>1.4005602240896359E-3</v>
      </c>
      <c r="EU210" s="154">
        <v>1.4005602240896359E-3</v>
      </c>
      <c r="EV210" s="154">
        <v>4.4000000000000003E-3</v>
      </c>
      <c r="EW210" s="154">
        <v>4.4000000000000003E-3</v>
      </c>
      <c r="EX210" s="154">
        <v>4.4000000000000003E-3</v>
      </c>
      <c r="EY210" s="154">
        <v>4.4000000000000003E-3</v>
      </c>
      <c r="EZ210" s="154">
        <v>4.4000000000000003E-3</v>
      </c>
      <c r="FA210" s="154">
        <v>4.4000000000000003E-3</v>
      </c>
      <c r="FB210" s="154">
        <v>4.4000000000000003E-3</v>
      </c>
      <c r="FC210" s="154">
        <v>4.4000000000000003E-3</v>
      </c>
      <c r="FD210" s="154">
        <v>4.4000000000000003E-3</v>
      </c>
      <c r="FE210" s="154">
        <v>4.4000000000000003E-3</v>
      </c>
      <c r="FF210" s="154">
        <v>4.4000000000000003E-3</v>
      </c>
      <c r="FG210" s="154">
        <v>4.4000000000000003E-3</v>
      </c>
      <c r="FH210" s="154">
        <v>4.4000000000000003E-3</v>
      </c>
      <c r="FI210" s="154">
        <v>4.4000000000000003E-3</v>
      </c>
      <c r="FJ210" s="154">
        <v>4.4000000000000003E-3</v>
      </c>
    </row>
    <row r="211" spans="1:166" x14ac:dyDescent="0.25">
      <c r="A211" s="154" t="s">
        <v>67</v>
      </c>
      <c r="B211" s="154">
        <v>2.1494771182553069E-3</v>
      </c>
      <c r="C211" s="154">
        <v>4.1072811176853007E-3</v>
      </c>
      <c r="D211" s="154">
        <v>1.3060247322593066E-2</v>
      </c>
      <c r="E211" s="154">
        <v>1.1790342951953749E-2</v>
      </c>
      <c r="F211" s="154">
        <v>2.6447470892304818E-2</v>
      </c>
      <c r="G211" s="154">
        <v>2.1494771182553069E-3</v>
      </c>
      <c r="H211" s="154">
        <v>4.1072811176853007E-3</v>
      </c>
      <c r="I211" s="154">
        <v>1.3060247322593066E-2</v>
      </c>
      <c r="J211" s="154">
        <v>1.1790342951953749E-2</v>
      </c>
      <c r="K211" s="154">
        <v>2.6447470892304818E-2</v>
      </c>
      <c r="L211" s="154">
        <v>2.1494771182553069E-3</v>
      </c>
      <c r="M211" s="154">
        <v>4.1072811176853007E-3</v>
      </c>
      <c r="N211" s="154">
        <v>1.3060247322593066E-2</v>
      </c>
      <c r="O211" s="154">
        <v>1.1790342951953749E-2</v>
      </c>
      <c r="P211" s="154">
        <v>2.6447470892304818E-2</v>
      </c>
      <c r="Q211" s="154">
        <v>2.1494771182553069E-3</v>
      </c>
      <c r="R211" s="154">
        <v>4.1072811176853007E-3</v>
      </c>
      <c r="S211" s="154">
        <v>1.3060247322593066E-2</v>
      </c>
      <c r="T211" s="154">
        <v>1.1790342951953749E-2</v>
      </c>
      <c r="U211" s="154">
        <v>2.6447470892304818E-2</v>
      </c>
      <c r="V211" s="154">
        <v>2.7715714285714288E-3</v>
      </c>
      <c r="W211" s="154">
        <v>1.0537248141199494E-3</v>
      </c>
      <c r="X211" s="154">
        <v>1.1195826150024461E-3</v>
      </c>
      <c r="Y211" s="154">
        <v>3.7811888058906298E-3</v>
      </c>
      <c r="Z211" s="154">
        <v>2.7715714285714288E-3</v>
      </c>
      <c r="AA211" s="154">
        <v>1.0537248141199494E-3</v>
      </c>
      <c r="AB211" s="154">
        <v>1.1195826150024461E-3</v>
      </c>
      <c r="AC211" s="154">
        <v>3.7811888058906298E-3</v>
      </c>
      <c r="AD211" s="154">
        <v>2.7715714285714288E-3</v>
      </c>
      <c r="AE211" s="154">
        <v>1.0537248141199494E-3</v>
      </c>
      <c r="AF211" s="154">
        <v>1.1195826150024461E-3</v>
      </c>
      <c r="AG211" s="154">
        <v>3.7811888058906298E-3</v>
      </c>
      <c r="AH211" s="154">
        <v>2.7715714285714288E-3</v>
      </c>
      <c r="AI211" s="154">
        <v>1.0537248141199494E-3</v>
      </c>
      <c r="AJ211" s="154">
        <v>1.1195826150024461E-3</v>
      </c>
      <c r="AK211" s="154">
        <v>3.7811888058906298E-3</v>
      </c>
      <c r="AL211" s="154">
        <v>2.217257142857143E-3</v>
      </c>
      <c r="AM211" s="154">
        <v>8.429798512959595E-4</v>
      </c>
      <c r="AN211" s="154">
        <v>8.9566609200195687E-4</v>
      </c>
      <c r="AO211" s="154">
        <v>3.0249510447125042E-3</v>
      </c>
      <c r="AP211" s="154">
        <v>1.1573595723149675E-2</v>
      </c>
      <c r="AQ211" s="154">
        <v>5.5397830482865063E-3</v>
      </c>
      <c r="AR211" s="154">
        <v>2.149698076693125E-2</v>
      </c>
      <c r="AS211" s="154">
        <v>1.1573595723149675E-2</v>
      </c>
      <c r="AT211" s="154">
        <v>5.5397830482865063E-3</v>
      </c>
      <c r="AU211" s="154">
        <v>2.149698076693125E-2</v>
      </c>
      <c r="AV211" s="154">
        <v>1.1573595723149675E-2</v>
      </c>
      <c r="AW211" s="154">
        <v>5.5397830482865063E-3</v>
      </c>
      <c r="AX211" s="154">
        <v>2.149698076693125E-2</v>
      </c>
      <c r="AY211" s="154">
        <v>1.1573595723149675E-2</v>
      </c>
      <c r="AZ211" s="154">
        <v>5.5397830482865063E-3</v>
      </c>
      <c r="BA211" s="154">
        <v>2.149698076693125E-2</v>
      </c>
      <c r="BB211" s="154">
        <v>1.1573595723149675E-2</v>
      </c>
      <c r="BC211" s="154">
        <v>5.5397830482865063E-3</v>
      </c>
      <c r="BD211" s="154">
        <v>2.149698076693125E-2</v>
      </c>
      <c r="BE211" s="154">
        <v>2.1331638109345504E-3</v>
      </c>
      <c r="BF211" s="154">
        <v>4.076109192868568E-3</v>
      </c>
      <c r="BG211" s="154">
        <v>1.2176327875562188E-2</v>
      </c>
      <c r="BH211" s="154">
        <v>1.1074472868176938E-2</v>
      </c>
      <c r="BI211" s="154">
        <v>2.4202354741507264E-2</v>
      </c>
      <c r="BJ211" s="154">
        <v>2.1331638109345504E-3</v>
      </c>
      <c r="BK211" s="154">
        <v>4.076109192868568E-3</v>
      </c>
      <c r="BL211" s="154">
        <v>1.2176327875562188E-2</v>
      </c>
      <c r="BM211" s="154">
        <v>1.1074472868176938E-2</v>
      </c>
      <c r="BN211" s="154">
        <v>2.4202354741507264E-2</v>
      </c>
      <c r="BO211" s="154">
        <v>2.1331638109345504E-3</v>
      </c>
      <c r="BP211" s="154">
        <v>4.076109192868568E-3</v>
      </c>
      <c r="BQ211" s="154">
        <v>1.2176327875562188E-2</v>
      </c>
      <c r="BR211" s="154">
        <v>1.1074472868176938E-2</v>
      </c>
      <c r="BS211" s="154">
        <v>2.4202354741507264E-2</v>
      </c>
      <c r="BT211" s="154">
        <v>2.1331638109345504E-3</v>
      </c>
      <c r="BU211" s="154">
        <v>4.076109192868568E-3</v>
      </c>
      <c r="BV211" s="154">
        <v>1.2176327875562188E-2</v>
      </c>
      <c r="BW211" s="154">
        <v>1.1074472868176938E-2</v>
      </c>
      <c r="BX211" s="154">
        <v>2.4202354741507264E-2</v>
      </c>
      <c r="BY211" s="154">
        <v>2.7715714285714288E-3</v>
      </c>
      <c r="BZ211" s="154">
        <v>9.5987899046131133E-4</v>
      </c>
      <c r="CA211" s="154">
        <v>1.0198714273651432E-3</v>
      </c>
      <c r="CB211" s="154">
        <v>2.7294594720870869E-3</v>
      </c>
      <c r="CC211" s="154">
        <v>2.7715714285714288E-3</v>
      </c>
      <c r="CD211" s="154">
        <v>9.5987899046131133E-4</v>
      </c>
      <c r="CE211" s="154">
        <v>1.0198714273651432E-3</v>
      </c>
      <c r="CF211" s="154">
        <v>2.7294594720870869E-3</v>
      </c>
      <c r="CG211" s="154">
        <v>2.7715714285714288E-3</v>
      </c>
      <c r="CH211" s="154">
        <v>9.5987899046131133E-4</v>
      </c>
      <c r="CI211" s="154">
        <v>1.0198714273651432E-3</v>
      </c>
      <c r="CJ211" s="154">
        <v>2.7294594720870869E-3</v>
      </c>
      <c r="CK211" s="154">
        <v>2.7715714285714288E-3</v>
      </c>
      <c r="CL211" s="154">
        <v>9.5987899046131133E-4</v>
      </c>
      <c r="CM211" s="154">
        <v>1.0198714273651432E-3</v>
      </c>
      <c r="CN211" s="154">
        <v>2.7294594720870869E-3</v>
      </c>
      <c r="CO211" s="154">
        <v>2.217257142857143E-3</v>
      </c>
      <c r="CP211" s="154">
        <v>7.6790319236904909E-4</v>
      </c>
      <c r="CQ211" s="154">
        <v>8.1589714189211459E-4</v>
      </c>
      <c r="CR211" s="154">
        <v>2.1835675776696695E-3</v>
      </c>
      <c r="CS211" s="154">
        <v>1.0720644957616992E-2</v>
      </c>
      <c r="CT211" s="154">
        <v>4.13162426244334E-3</v>
      </c>
      <c r="CU211" s="154">
        <v>1.3279381505411613E-2</v>
      </c>
      <c r="CV211" s="154">
        <v>1.0720644957616992E-2</v>
      </c>
      <c r="CW211" s="154">
        <v>4.13162426244334E-3</v>
      </c>
      <c r="CX211" s="154">
        <v>1.3279381505411613E-2</v>
      </c>
      <c r="CY211" s="154">
        <v>1.0720644957616992E-2</v>
      </c>
      <c r="CZ211" s="154">
        <v>4.13162426244334E-3</v>
      </c>
      <c r="DA211" s="154">
        <v>1.3279381505411613E-2</v>
      </c>
      <c r="DB211" s="154">
        <v>1.0720644957616992E-2</v>
      </c>
      <c r="DC211" s="154">
        <v>4.13162426244334E-3</v>
      </c>
      <c r="DD211" s="154">
        <v>1.3279381505411613E-2</v>
      </c>
      <c r="DE211" s="154">
        <v>1.0720644957616992E-2</v>
      </c>
      <c r="DF211" s="154">
        <v>4.13162426244334E-3</v>
      </c>
      <c r="DG211" s="154">
        <v>1.3279381505411613E-2</v>
      </c>
      <c r="DH211" s="154">
        <v>1.9961810868829068E-3</v>
      </c>
      <c r="DI211" s="154">
        <v>3.8143587647444083E-3</v>
      </c>
      <c r="DJ211" s="154">
        <v>5.4701451293849941E-3</v>
      </c>
      <c r="DK211" s="154">
        <v>5.6283132239921011E-3</v>
      </c>
      <c r="DL211" s="154">
        <v>6.5837900060073855E-3</v>
      </c>
      <c r="DM211" s="154">
        <v>1.9961810868829068E-3</v>
      </c>
      <c r="DN211" s="154">
        <v>3.8143587647444083E-3</v>
      </c>
      <c r="DO211" s="154">
        <v>5.4701451293849941E-3</v>
      </c>
      <c r="DP211" s="154">
        <v>5.6283132239921011E-3</v>
      </c>
      <c r="DQ211" s="154">
        <v>6.5837900060073855E-3</v>
      </c>
      <c r="DR211" s="154">
        <v>1.9961810868829068E-3</v>
      </c>
      <c r="DS211" s="154">
        <v>3.8143587647444083E-3</v>
      </c>
      <c r="DT211" s="154">
        <v>5.4701451293849941E-3</v>
      </c>
      <c r="DU211" s="154">
        <v>5.6283132239921011E-3</v>
      </c>
      <c r="DV211" s="154">
        <v>6.5837900060073855E-3</v>
      </c>
      <c r="DW211" s="154">
        <v>1.9961810868829068E-3</v>
      </c>
      <c r="DX211" s="154">
        <v>3.8143587647444083E-3</v>
      </c>
      <c r="DY211" s="154">
        <v>5.4701451293849941E-3</v>
      </c>
      <c r="DZ211" s="154">
        <v>5.6283132239921011E-3</v>
      </c>
      <c r="EA211" s="154">
        <v>6.5837900060073855E-3</v>
      </c>
      <c r="EB211" s="154">
        <v>2.7715714285714288E-3</v>
      </c>
      <c r="EC211" s="154">
        <v>8.3706989059071399E-4</v>
      </c>
      <c r="ED211" s="154">
        <v>8.8938675875263335E-4</v>
      </c>
      <c r="EE211" s="154">
        <v>1.5238870080703825E-3</v>
      </c>
      <c r="EF211" s="154">
        <v>2.7715714285714288E-3</v>
      </c>
      <c r="EG211" s="154">
        <v>8.3706989059071399E-4</v>
      </c>
      <c r="EH211" s="154">
        <v>8.8938675875263335E-4</v>
      </c>
      <c r="EI211" s="154">
        <v>1.5238870080703825E-3</v>
      </c>
      <c r="EJ211" s="154">
        <v>2.7715714285714288E-3</v>
      </c>
      <c r="EK211" s="154">
        <v>8.3706989059071399E-4</v>
      </c>
      <c r="EL211" s="154">
        <v>8.8938675875263335E-4</v>
      </c>
      <c r="EM211" s="154">
        <v>1.5238870080703825E-3</v>
      </c>
      <c r="EN211" s="154">
        <v>2.7715714285714288E-3</v>
      </c>
      <c r="EO211" s="154">
        <v>8.3706989059071399E-4</v>
      </c>
      <c r="EP211" s="154">
        <v>8.8938675875263335E-4</v>
      </c>
      <c r="EQ211" s="154">
        <v>1.5238870080703825E-3</v>
      </c>
      <c r="ER211" s="154">
        <v>2.217257142857143E-3</v>
      </c>
      <c r="ES211" s="154">
        <v>6.6965591247257115E-4</v>
      </c>
      <c r="ET211" s="154">
        <v>7.1150940700210675E-4</v>
      </c>
      <c r="EU211" s="154">
        <v>1.2191096064563059E-3</v>
      </c>
      <c r="EV211" s="154">
        <v>9.604451272429336E-3</v>
      </c>
      <c r="EW211" s="154">
        <v>3.3744831090442885E-3</v>
      </c>
      <c r="EX211" s="154">
        <v>7.3102100315233995E-3</v>
      </c>
      <c r="EY211" s="154">
        <v>9.604451272429336E-3</v>
      </c>
      <c r="EZ211" s="154">
        <v>3.3744831090442885E-3</v>
      </c>
      <c r="FA211" s="154">
        <v>7.3102100315233995E-3</v>
      </c>
      <c r="FB211" s="154">
        <v>9.604451272429336E-3</v>
      </c>
      <c r="FC211" s="154">
        <v>3.3744831090442877E-3</v>
      </c>
      <c r="FD211" s="154">
        <v>7.3102100315233995E-3</v>
      </c>
      <c r="FE211" s="154">
        <v>9.604451272429336E-3</v>
      </c>
      <c r="FF211" s="154">
        <v>3.3744831090442877E-3</v>
      </c>
      <c r="FG211" s="154">
        <v>7.3102100315233995E-3</v>
      </c>
      <c r="FH211" s="154">
        <v>9.604451272429336E-3</v>
      </c>
      <c r="FI211" s="154">
        <v>3.3744831090442877E-3</v>
      </c>
      <c r="FJ211" s="154">
        <v>7.3102100315233995E-3</v>
      </c>
    </row>
    <row r="212" spans="1:166" x14ac:dyDescent="0.25">
      <c r="A212" s="154" t="s">
        <v>56</v>
      </c>
      <c r="B212" s="154">
        <v>6.4134922073344211E-3</v>
      </c>
      <c r="C212" s="154">
        <v>8.1997406700680883E-3</v>
      </c>
      <c r="D212" s="154">
        <v>1.6153079876186895E-2</v>
      </c>
      <c r="E212" s="154">
        <v>1.4937548943097472E-2</v>
      </c>
      <c r="F212" s="154">
        <v>2.855450515937415E-2</v>
      </c>
      <c r="G212" s="154">
        <v>9.3691920665066718E-3</v>
      </c>
      <c r="H212" s="154">
        <v>1.1833655417796072E-2</v>
      </c>
      <c r="I212" s="154">
        <v>2.2806772205735022E-2</v>
      </c>
      <c r="J212" s="154">
        <v>2.1129720272896415E-2</v>
      </c>
      <c r="K212" s="154">
        <v>3.9916854454536799E-2</v>
      </c>
      <c r="L212" s="154">
        <v>1.0435341543790697E-2</v>
      </c>
      <c r="M212" s="154">
        <v>1.3343253091443465E-2</v>
      </c>
      <c r="N212" s="154">
        <v>2.6290839836726355E-2</v>
      </c>
      <c r="O212" s="154">
        <v>2.4312024173282508E-2</v>
      </c>
      <c r="P212" s="154">
        <v>4.6479659332276088E-2</v>
      </c>
      <c r="Q212" s="154">
        <v>6.4101374767547474E-3</v>
      </c>
      <c r="R212" s="154">
        <v>8.1963859394884164E-3</v>
      </c>
      <c r="S212" s="154">
        <v>1.6149725145607221E-2</v>
      </c>
      <c r="T212" s="154">
        <v>1.4934194212517798E-2</v>
      </c>
      <c r="U212" s="154">
        <v>2.8551150428794473E-2</v>
      </c>
      <c r="V212" s="154">
        <v>1.1881931563082686E-2</v>
      </c>
      <c r="W212" s="154">
        <v>8.4609173316454768E-3</v>
      </c>
      <c r="X212" s="154">
        <v>1.1504824322419243E-2</v>
      </c>
      <c r="Y212" s="154">
        <v>1.4679005149837691E-2</v>
      </c>
      <c r="Z212" s="154">
        <v>2.3449265311343285E-2</v>
      </c>
      <c r="AA212" s="154">
        <v>1.6738814318908755E-2</v>
      </c>
      <c r="AB212" s="154">
        <v>2.2709554954657294E-2</v>
      </c>
      <c r="AC212" s="154">
        <v>2.8935832731516557E-2</v>
      </c>
      <c r="AD212" s="154">
        <v>2.2260979810807893E-2</v>
      </c>
      <c r="AE212" s="154">
        <v>1.5550528818373367E-2</v>
      </c>
      <c r="AF212" s="154">
        <v>2.1521269454121909E-2</v>
      </c>
      <c r="AG212" s="154">
        <v>2.7747547230981169E-2</v>
      </c>
      <c r="AH212" s="154">
        <v>1.2964876395476299E-2</v>
      </c>
      <c r="AI212" s="154">
        <v>1.0274848110927385E-2</v>
      </c>
      <c r="AJ212" s="154">
        <v>1.2668347625040086E-2</v>
      </c>
      <c r="AK212" s="154">
        <v>1.5164284685916136E-2</v>
      </c>
      <c r="AL212" s="154">
        <v>2.5189959154702641E-2</v>
      </c>
      <c r="AM212" s="154">
        <v>1.7847936304156639E-2</v>
      </c>
      <c r="AN212" s="154">
        <v>2.4380628999740327E-2</v>
      </c>
      <c r="AO212" s="154">
        <v>3.1192909390892233E-2</v>
      </c>
      <c r="AP212" s="154">
        <v>0.13633687757910018</v>
      </c>
      <c r="AQ212" s="154">
        <v>0.15907506174705863</v>
      </c>
      <c r="AR212" s="154">
        <v>0.19148045910111161</v>
      </c>
      <c r="AS212" s="154">
        <v>6.5149603783989984E-2</v>
      </c>
      <c r="AT212" s="154">
        <v>6.9194063478279583E-2</v>
      </c>
      <c r="AU212" s="154">
        <v>9.0669449420705039E-2</v>
      </c>
      <c r="AV212" s="154">
        <v>7.061358407215175E-2</v>
      </c>
      <c r="AW212" s="154">
        <v>7.5707949094327057E-2</v>
      </c>
      <c r="AX212" s="154">
        <v>9.9182556352221826E-2</v>
      </c>
      <c r="AY212" s="154">
        <v>8.8326262468132202E-2</v>
      </c>
      <c r="AZ212" s="154">
        <v>9.8840799825624742E-2</v>
      </c>
      <c r="BA212" s="154">
        <v>0.12386605538599031</v>
      </c>
      <c r="BB212" s="154">
        <v>6.9625490706338555E-2</v>
      </c>
      <c r="BC212" s="154">
        <v>8.0099479887204131E-2</v>
      </c>
      <c r="BD212" s="154">
        <v>0.1024517746225366</v>
      </c>
      <c r="BE212" s="154">
        <v>6.8365542316460425E-3</v>
      </c>
      <c r="BF212" s="154">
        <v>8.5864018032971289E-3</v>
      </c>
      <c r="BG212" s="154">
        <v>1.5202047755990818E-2</v>
      </c>
      <c r="BH212" s="154">
        <v>1.413813019248901E-2</v>
      </c>
      <c r="BI212" s="154">
        <v>2.6329049636399881E-2</v>
      </c>
      <c r="BJ212" s="154">
        <v>9.9528851394415953E-3</v>
      </c>
      <c r="BK212" s="154">
        <v>1.2367126663309516E-2</v>
      </c>
      <c r="BL212" s="154">
        <v>2.1494645782664312E-2</v>
      </c>
      <c r="BM212" s="154">
        <v>2.0026772808245816E-2</v>
      </c>
      <c r="BN212" s="154">
        <v>3.6846422938026986E-2</v>
      </c>
      <c r="BO212" s="154">
        <v>1.112406261005624E-2</v>
      </c>
      <c r="BP212" s="154">
        <v>1.3972715564219782E-2</v>
      </c>
      <c r="BQ212" s="154">
        <v>2.4742613292545308E-2</v>
      </c>
      <c r="BR212" s="154">
        <v>2.3010615626373594E-2</v>
      </c>
      <c r="BS212" s="154">
        <v>4.2856743512300705E-2</v>
      </c>
      <c r="BT212" s="154">
        <v>6.8331995010663706E-3</v>
      </c>
      <c r="BU212" s="154">
        <v>8.583047072717457E-3</v>
      </c>
      <c r="BV212" s="154">
        <v>1.5198693025411145E-2</v>
      </c>
      <c r="BW212" s="154">
        <v>1.4134775461909336E-2</v>
      </c>
      <c r="BX212" s="154">
        <v>2.6325694905820204E-2</v>
      </c>
      <c r="BY212" s="154">
        <v>1.2126242008956489E-2</v>
      </c>
      <c r="BZ212" s="154">
        <v>8.3562602548806764E-3</v>
      </c>
      <c r="CA212" s="154">
        <v>1.040846408698637E-2</v>
      </c>
      <c r="CB212" s="154">
        <v>1.1947289068638487E-2</v>
      </c>
      <c r="CC212" s="154">
        <v>2.3928489647480365E-2</v>
      </c>
      <c r="CD212" s="154">
        <v>1.6533525437562417E-2</v>
      </c>
      <c r="CE212" s="154">
        <v>2.0559002185154357E-2</v>
      </c>
      <c r="CF212" s="154">
        <v>2.3577466572241201E-2</v>
      </c>
      <c r="CG212" s="154">
        <v>2.2740204146944967E-2</v>
      </c>
      <c r="CH212" s="154">
        <v>1.5345239937027022E-2</v>
      </c>
      <c r="CI212" s="154">
        <v>1.9370716684618969E-2</v>
      </c>
      <c r="CJ212" s="154">
        <v>2.2389181071705816E-2</v>
      </c>
      <c r="CK212" s="154">
        <v>1.3156983754624931E-2</v>
      </c>
      <c r="CL212" s="154">
        <v>1.0192553657402922E-2</v>
      </c>
      <c r="CM212" s="154">
        <v>1.1806252397178342E-2</v>
      </c>
      <c r="CN212" s="154">
        <v>1.3016268622067189E-2</v>
      </c>
      <c r="CO212" s="154">
        <v>2.5714286957770269E-2</v>
      </c>
      <c r="CP212" s="154">
        <v>1.7623326116330634E-2</v>
      </c>
      <c r="CQ212" s="154">
        <v>2.2027671263695939E-2</v>
      </c>
      <c r="CR212" s="154">
        <v>2.5330226416626245E-2</v>
      </c>
      <c r="CS212" s="154">
        <v>0.13731562811440928</v>
      </c>
      <c r="CT212" s="154">
        <v>0.12962524792344063</v>
      </c>
      <c r="CU212" s="154">
        <v>0.15103602689119042</v>
      </c>
      <c r="CV212" s="154">
        <v>6.5403373288047129E-2</v>
      </c>
      <c r="CW212" s="154">
        <v>5.6871908459901539E-2</v>
      </c>
      <c r="CX212" s="154">
        <v>7.03336184363543E-2</v>
      </c>
      <c r="CY212" s="154">
        <v>7.091509669714792E-2</v>
      </c>
      <c r="CZ212" s="154">
        <v>6.1799222420589786E-2</v>
      </c>
      <c r="DA212" s="154">
        <v>7.6558564675540813E-2</v>
      </c>
      <c r="DB212" s="154">
        <v>8.8829772674907492E-2</v>
      </c>
      <c r="DC212" s="154">
        <v>8.0695702197474711E-2</v>
      </c>
      <c r="DD212" s="154">
        <v>9.6765433154279712E-2</v>
      </c>
      <c r="DE212" s="154">
        <v>6.9329735996424835E-2</v>
      </c>
      <c r="DF212" s="154">
        <v>6.5381610164195081E-2</v>
      </c>
      <c r="DG212" s="154">
        <v>7.9584359467844631E-2</v>
      </c>
      <c r="DH212" s="154">
        <v>1.0389003002060049E-2</v>
      </c>
      <c r="DI212" s="154">
        <v>1.1833192553522012E-2</v>
      </c>
      <c r="DJ212" s="154">
        <v>7.9042387107316255E-3</v>
      </c>
      <c r="DK212" s="154">
        <v>7.968256277461578E-3</v>
      </c>
      <c r="DL212" s="154">
        <v>8.8271962507454425E-3</v>
      </c>
      <c r="DM212" s="154">
        <v>1.4854151667962478E-2</v>
      </c>
      <c r="DN212" s="154">
        <v>1.6846680868769288E-2</v>
      </c>
      <c r="DO212" s="154">
        <v>1.1425955277411116E-2</v>
      </c>
      <c r="DP212" s="154">
        <v>1.151427946653498E-2</v>
      </c>
      <c r="DQ212" s="154">
        <v>1.2699347573956049E-2</v>
      </c>
      <c r="DR212" s="154">
        <v>1.6907248441954705E-2</v>
      </c>
      <c r="DS212" s="154">
        <v>1.925830741348698E-2</v>
      </c>
      <c r="DT212" s="154">
        <v>1.2862192601911418E-2</v>
      </c>
      <c r="DU212" s="154">
        <v>1.2966409582600527E-2</v>
      </c>
      <c r="DV212" s="154">
        <v>1.4364715316188228E-2</v>
      </c>
      <c r="DW212" s="154">
        <v>1.0385648271480374E-2</v>
      </c>
      <c r="DX212" s="154">
        <v>1.1829837822942339E-2</v>
      </c>
      <c r="DY212" s="154">
        <v>7.9008839801519501E-3</v>
      </c>
      <c r="DZ212" s="154">
        <v>7.9649015468819025E-3</v>
      </c>
      <c r="EA212" s="154">
        <v>8.823841520165767E-3</v>
      </c>
      <c r="EB212" s="154">
        <v>1.3927782054255036E-2</v>
      </c>
      <c r="EC212" s="154">
        <v>8.1981036076722927E-3</v>
      </c>
      <c r="ED212" s="154">
        <v>8.9512137644664324E-3</v>
      </c>
      <c r="EE212" s="154">
        <v>8.5064464888808689E-3</v>
      </c>
      <c r="EF212" s="154">
        <v>2.7462279736335207E-2</v>
      </c>
      <c r="EG212" s="154">
        <v>1.6223295091115197E-2</v>
      </c>
      <c r="EH212" s="154">
        <v>1.7700549629442175E-2</v>
      </c>
      <c r="EI212" s="154">
        <v>1.682812151194741E-2</v>
      </c>
      <c r="EJ212" s="154">
        <v>2.6273994235799812E-2</v>
      </c>
      <c r="EK212" s="154">
        <v>1.5035009590579808E-2</v>
      </c>
      <c r="EL212" s="154">
        <v>1.651226412890678E-2</v>
      </c>
      <c r="EM212" s="154">
        <v>1.5639836011412018E-2</v>
      </c>
      <c r="EN212" s="154">
        <v>1.4573579345799854E-2</v>
      </c>
      <c r="EO212" s="154">
        <v>1.0068191165580947E-2</v>
      </c>
      <c r="EP212" s="154">
        <v>1.0660380348701126E-2</v>
      </c>
      <c r="EQ212" s="154">
        <v>1.0310648815762049E-2</v>
      </c>
      <c r="ER212" s="154">
        <v>2.9580669054987924E-2</v>
      </c>
      <c r="ES212" s="154">
        <v>1.7283897619629562E-2</v>
      </c>
      <c r="ET212" s="154">
        <v>1.8900187879210835E-2</v>
      </c>
      <c r="EU212" s="154">
        <v>1.7945648880069512E-2</v>
      </c>
      <c r="EV212" s="154">
        <v>0.14459396086521706</v>
      </c>
      <c r="EW212" s="154">
        <v>0.12053542189797735</v>
      </c>
      <c r="EX212" s="154">
        <v>0.13021340696332451</v>
      </c>
      <c r="EY212" s="154">
        <v>7.0440409181026703E-2</v>
      </c>
      <c r="EZ212" s="154">
        <v>5.2829487710786029E-2</v>
      </c>
      <c r="FA212" s="154">
        <v>5.8759413488361334E-2</v>
      </c>
      <c r="FB212" s="154">
        <v>7.6408000661182016E-2</v>
      </c>
      <c r="FC212" s="154">
        <v>5.7259443876853541E-2</v>
      </c>
      <c r="FD212" s="154">
        <v>6.3770957790438648E-2</v>
      </c>
      <c r="FE212" s="154">
        <v>9.4587015958766452E-2</v>
      </c>
      <c r="FF212" s="154">
        <v>7.4942315028961634E-2</v>
      </c>
      <c r="FG212" s="154">
        <v>8.2107038130745158E-2</v>
      </c>
      <c r="FH212" s="154">
        <v>6.8942703646012363E-2</v>
      </c>
      <c r="FI212" s="154">
        <v>6.0652880293585773E-2</v>
      </c>
      <c r="FJ212" s="154">
        <v>6.6952203103245081E-2</v>
      </c>
    </row>
    <row r="213" spans="1:166" x14ac:dyDescent="0.25">
      <c r="A213" s="154" t="s">
        <v>73</v>
      </c>
      <c r="B213" s="154">
        <v>0</v>
      </c>
      <c r="C213" s="154">
        <v>0</v>
      </c>
      <c r="D213" s="154">
        <v>1.8671315847002927E-3</v>
      </c>
      <c r="E213" s="154">
        <v>1.3515309188396555E-3</v>
      </c>
      <c r="F213" s="154">
        <v>1.2383331319116356E-3</v>
      </c>
      <c r="G213" s="154">
        <v>0</v>
      </c>
      <c r="H213" s="154">
        <v>0</v>
      </c>
      <c r="I213" s="154">
        <v>1.9107458000384783E-3</v>
      </c>
      <c r="J213" s="154">
        <v>1.3856702589881906E-3</v>
      </c>
      <c r="K213" s="154">
        <v>1.2546964484978669E-3</v>
      </c>
      <c r="L213" s="154">
        <v>0</v>
      </c>
      <c r="M213" s="154">
        <v>0</v>
      </c>
      <c r="N213" s="154">
        <v>1.8667438119986494E-3</v>
      </c>
      <c r="O213" s="154">
        <v>1.3512273869737464E-3</v>
      </c>
      <c r="P213" s="154">
        <v>1.2381876461467003E-3</v>
      </c>
      <c r="Q213" s="154">
        <v>0</v>
      </c>
      <c r="R213" s="154">
        <v>0</v>
      </c>
      <c r="S213" s="154">
        <v>1.8667438119986494E-3</v>
      </c>
      <c r="T213" s="154">
        <v>1.3512273869737464E-3</v>
      </c>
      <c r="U213" s="154">
        <v>1.2381876461467003E-3</v>
      </c>
      <c r="V213" s="154">
        <v>0</v>
      </c>
      <c r="W213" s="154">
        <v>0</v>
      </c>
      <c r="X213" s="154">
        <v>3.9063544221873935E-4</v>
      </c>
      <c r="Y213" s="154">
        <v>2.4636092559168071E-4</v>
      </c>
      <c r="Z213" s="154">
        <v>0</v>
      </c>
      <c r="AA213" s="154">
        <v>0</v>
      </c>
      <c r="AB213" s="154">
        <v>3.9310036574868694E-4</v>
      </c>
      <c r="AC213" s="154">
        <v>2.475793174889114E-4</v>
      </c>
      <c r="AD213" s="154">
        <v>0</v>
      </c>
      <c r="AE213" s="154">
        <v>0</v>
      </c>
      <c r="AF213" s="154">
        <v>3.7253124998190904E-4</v>
      </c>
      <c r="AG213" s="154">
        <v>2.3741216882122891E-4</v>
      </c>
      <c r="AH213" s="154">
        <v>0</v>
      </c>
      <c r="AI213" s="154">
        <v>0</v>
      </c>
      <c r="AJ213" s="154">
        <v>5.4702812928758213E-4</v>
      </c>
      <c r="AK213" s="154">
        <v>3.2366457432390222E-4</v>
      </c>
      <c r="AL213" s="154">
        <v>0</v>
      </c>
      <c r="AM213" s="154">
        <v>0</v>
      </c>
      <c r="AN213" s="154">
        <v>2.4505998190501796E-4</v>
      </c>
      <c r="AO213" s="154">
        <v>1.5555136364477952E-4</v>
      </c>
      <c r="AP213" s="154">
        <v>0</v>
      </c>
      <c r="AQ213" s="154">
        <v>1.2705336115153232E-2</v>
      </c>
      <c r="AR213" s="154">
        <v>7.2369782095337842E-3</v>
      </c>
      <c r="AS213" s="154">
        <v>0</v>
      </c>
      <c r="AT213" s="154">
        <v>7.0448133436563226E-3</v>
      </c>
      <c r="AU213" s="154">
        <v>4.3682791161508971E-3</v>
      </c>
      <c r="AV213" s="154">
        <v>0</v>
      </c>
      <c r="AW213" s="154">
        <v>7.1132539649722548E-3</v>
      </c>
      <c r="AX213" s="154">
        <v>4.409718611580335E-3</v>
      </c>
      <c r="AY213" s="154">
        <v>0</v>
      </c>
      <c r="AZ213" s="154">
        <v>9.2867356687296315E-3</v>
      </c>
      <c r="BA213" s="154">
        <v>5.5071624473854025E-3</v>
      </c>
      <c r="BB213" s="154">
        <v>0</v>
      </c>
      <c r="BC213" s="154">
        <v>8.1551199100547145E-3</v>
      </c>
      <c r="BD213" s="154">
        <v>4.9359288090485148E-3</v>
      </c>
      <c r="BE213" s="154">
        <v>0</v>
      </c>
      <c r="BF213" s="154">
        <v>0</v>
      </c>
      <c r="BG213" s="154">
        <v>1.7164903530375655E-3</v>
      </c>
      <c r="BH213" s="154">
        <v>1.2610610896660879E-3</v>
      </c>
      <c r="BI213" s="154">
        <v>1.1418210301499948E-3</v>
      </c>
      <c r="BJ213" s="154">
        <v>0</v>
      </c>
      <c r="BK213" s="154">
        <v>0</v>
      </c>
      <c r="BL213" s="154">
        <v>1.7590940957229288E-3</v>
      </c>
      <c r="BM213" s="154">
        <v>1.2947163246812589E-3</v>
      </c>
      <c r="BN213" s="154">
        <v>1.1581843467362296E-3</v>
      </c>
      <c r="BO213" s="154">
        <v>0</v>
      </c>
      <c r="BP213" s="154">
        <v>0</v>
      </c>
      <c r="BQ213" s="154">
        <v>1.7161115644184627E-3</v>
      </c>
      <c r="BR213" s="154">
        <v>1.2607618619646342E-3</v>
      </c>
      <c r="BS213" s="154">
        <v>1.1416755443850596E-3</v>
      </c>
      <c r="BT213" s="154">
        <v>0</v>
      </c>
      <c r="BU213" s="154">
        <v>0</v>
      </c>
      <c r="BV213" s="154">
        <v>1.7161115644184627E-3</v>
      </c>
      <c r="BW213" s="154">
        <v>1.2607618619646342E-3</v>
      </c>
      <c r="BX213" s="154">
        <v>1.1416755443850596E-3</v>
      </c>
      <c r="BY213" s="154">
        <v>0</v>
      </c>
      <c r="BZ213" s="154">
        <v>0</v>
      </c>
      <c r="CA213" s="154">
        <v>2.7537427266196256E-4</v>
      </c>
      <c r="CB213" s="154">
        <v>2.0051394241071656E-4</v>
      </c>
      <c r="CC213" s="154">
        <v>0</v>
      </c>
      <c r="CD213" s="154">
        <v>0</v>
      </c>
      <c r="CE213" s="154">
        <v>2.7729492391027032E-4</v>
      </c>
      <c r="CF213" s="154">
        <v>2.0173233430794725E-4</v>
      </c>
      <c r="CG213" s="154">
        <v>0</v>
      </c>
      <c r="CH213" s="154">
        <v>0</v>
      </c>
      <c r="CI213" s="154">
        <v>2.6126761215228105E-4</v>
      </c>
      <c r="CJ213" s="154">
        <v>1.9156518564026476E-4</v>
      </c>
      <c r="CK213" s="154">
        <v>0</v>
      </c>
      <c r="CL213" s="154">
        <v>0</v>
      </c>
      <c r="CM213" s="154">
        <v>3.9723436527569315E-4</v>
      </c>
      <c r="CN213" s="154">
        <v>2.7781759114293633E-4</v>
      </c>
      <c r="CO213" s="154">
        <v>0</v>
      </c>
      <c r="CP213" s="154">
        <v>0</v>
      </c>
      <c r="CQ213" s="154">
        <v>1.7279931915194311E-4</v>
      </c>
      <c r="CR213" s="154">
        <v>1.2631560625401932E-4</v>
      </c>
      <c r="CS213" s="154">
        <v>0</v>
      </c>
      <c r="CT213" s="154">
        <v>7.9427691509175447E-3</v>
      </c>
      <c r="CU213" s="154">
        <v>4.1797635385618787E-3</v>
      </c>
      <c r="CV213" s="154">
        <v>0</v>
      </c>
      <c r="CW213" s="154">
        <v>4.4421860038116392E-3</v>
      </c>
      <c r="CX213" s="154">
        <v>2.4811368469288692E-3</v>
      </c>
      <c r="CY213" s="154">
        <v>0</v>
      </c>
      <c r="CZ213" s="154">
        <v>4.4545939822651093E-3</v>
      </c>
      <c r="DA213" s="154">
        <v>2.4923424709268893E-3</v>
      </c>
      <c r="DB213" s="154">
        <v>0</v>
      </c>
      <c r="DC213" s="154">
        <v>5.8166846656595439E-3</v>
      </c>
      <c r="DD213" s="154">
        <v>3.1501713725975572E-3</v>
      </c>
      <c r="DE213" s="154">
        <v>0</v>
      </c>
      <c r="DF213" s="154">
        <v>5.1068670182368367E-3</v>
      </c>
      <c r="DG213" s="154">
        <v>2.8074723170056493E-3</v>
      </c>
      <c r="DH213" s="154">
        <v>0</v>
      </c>
      <c r="DI213" s="154">
        <v>0</v>
      </c>
      <c r="DJ213" s="154">
        <v>7.1852996073677906E-4</v>
      </c>
      <c r="DK213" s="154">
        <v>6.2579517251134739E-4</v>
      </c>
      <c r="DL213" s="154">
        <v>3.8281208230273554E-4</v>
      </c>
      <c r="DM213" s="154">
        <v>0</v>
      </c>
      <c r="DN213" s="154">
        <v>0</v>
      </c>
      <c r="DO213" s="154">
        <v>7.528298969710686E-4</v>
      </c>
      <c r="DP213" s="154">
        <v>6.5542829345874992E-4</v>
      </c>
      <c r="DQ213" s="154">
        <v>3.9917539888897034E-4</v>
      </c>
      <c r="DR213" s="154">
        <v>0</v>
      </c>
      <c r="DS213" s="154">
        <v>0</v>
      </c>
      <c r="DT213" s="154">
        <v>7.1822500101581012E-4</v>
      </c>
      <c r="DU213" s="154">
        <v>6.2553170530739097E-4</v>
      </c>
      <c r="DV213" s="154">
        <v>3.8266659653780032E-4</v>
      </c>
      <c r="DW213" s="154">
        <v>0</v>
      </c>
      <c r="DX213" s="154">
        <v>0</v>
      </c>
      <c r="DY213" s="154">
        <v>7.1822500101581012E-4</v>
      </c>
      <c r="DZ213" s="154">
        <v>6.2553170530739097E-4</v>
      </c>
      <c r="EA213" s="154">
        <v>3.8266659653780032E-4</v>
      </c>
      <c r="EB213" s="154">
        <v>0</v>
      </c>
      <c r="EC213" s="154">
        <v>0</v>
      </c>
      <c r="ED213" s="154">
        <v>1.5057061177638394E-4</v>
      </c>
      <c r="EE213" s="154">
        <v>1.4276553547772075E-4</v>
      </c>
      <c r="EF213" s="154">
        <v>0</v>
      </c>
      <c r="EG213" s="154">
        <v>0</v>
      </c>
      <c r="EH213" s="154">
        <v>1.5179176478605921E-4</v>
      </c>
      <c r="EI213" s="154">
        <v>1.4398392737494971E-4</v>
      </c>
      <c r="EJ213" s="154">
        <v>0</v>
      </c>
      <c r="EK213" s="154">
        <v>0</v>
      </c>
      <c r="EL213" s="154">
        <v>1.4160157538674681E-4</v>
      </c>
      <c r="EM213" s="154">
        <v>1.3381677870726895E-4</v>
      </c>
      <c r="EN213" s="154">
        <v>0</v>
      </c>
      <c r="EO213" s="154">
        <v>0</v>
      </c>
      <c r="EP213" s="154">
        <v>2.280494455759903E-4</v>
      </c>
      <c r="EQ213" s="154">
        <v>2.2006918420994052E-4</v>
      </c>
      <c r="ER213" s="154">
        <v>0</v>
      </c>
      <c r="ES213" s="154">
        <v>0</v>
      </c>
      <c r="ET213" s="154">
        <v>9.4463400767744003E-5</v>
      </c>
      <c r="EU213" s="154">
        <v>8.9490535166311669E-5</v>
      </c>
      <c r="EV213" s="154">
        <v>0</v>
      </c>
      <c r="EW213" s="154">
        <v>4.6046727573994528E-3</v>
      </c>
      <c r="EX213" s="154">
        <v>1.9308919265353247E-3</v>
      </c>
      <c r="EY213" s="154">
        <v>0</v>
      </c>
      <c r="EZ213" s="154">
        <v>2.5726284928699536E-3</v>
      </c>
      <c r="FA213" s="154">
        <v>1.1106988281009422E-3</v>
      </c>
      <c r="FB213" s="154">
        <v>0</v>
      </c>
      <c r="FC213" s="154">
        <v>2.5732025895309971E-3</v>
      </c>
      <c r="FD213" s="154">
        <v>1.1124179278049692E-3</v>
      </c>
      <c r="FE213" s="154">
        <v>0</v>
      </c>
      <c r="FF213" s="154">
        <v>3.3678594488747021E-3</v>
      </c>
      <c r="FG213" s="154">
        <v>1.4322717484619857E-3</v>
      </c>
      <c r="FH213" s="154">
        <v>0</v>
      </c>
      <c r="FI213" s="154">
        <v>2.9536028982929466E-3</v>
      </c>
      <c r="FJ213" s="154">
        <v>1.2655628964077376E-3</v>
      </c>
    </row>
    <row r="214" spans="1:166" x14ac:dyDescent="0.25">
      <c r="A214" s="154" t="s">
        <v>206</v>
      </c>
      <c r="B214" s="154">
        <v>1.9330162494961441E-3</v>
      </c>
      <c r="C214" s="154">
        <v>1.8343688133195604E-3</v>
      </c>
      <c r="D214" s="154">
        <v>2.5815196033431064E-4</v>
      </c>
      <c r="E214" s="154">
        <v>2.6311642110997044E-4</v>
      </c>
      <c r="F214" s="154">
        <v>3.3398562051778328E-4</v>
      </c>
      <c r="G214" s="154">
        <v>1.9330162494961441E-3</v>
      </c>
      <c r="H214" s="154">
        <v>1.8343688133195604E-3</v>
      </c>
      <c r="I214" s="154">
        <v>2.5815196033431064E-4</v>
      </c>
      <c r="J214" s="154">
        <v>2.6311642110997044E-4</v>
      </c>
      <c r="K214" s="154">
        <v>3.3398562051778328E-4</v>
      </c>
      <c r="L214" s="154">
        <v>1.9330162494961441E-3</v>
      </c>
      <c r="M214" s="154">
        <v>1.8343688133195604E-3</v>
      </c>
      <c r="N214" s="154">
        <v>2.5815196033431064E-4</v>
      </c>
      <c r="O214" s="154">
        <v>2.6311642110997044E-4</v>
      </c>
      <c r="P214" s="154">
        <v>3.3398562051778328E-4</v>
      </c>
      <c r="Q214" s="154">
        <v>1.9330162494961441E-3</v>
      </c>
      <c r="R214" s="154">
        <v>1.8343688133195604E-3</v>
      </c>
      <c r="S214" s="154">
        <v>2.5815196033431064E-4</v>
      </c>
      <c r="T214" s="154">
        <v>2.6311642110997044E-4</v>
      </c>
      <c r="U214" s="154">
        <v>3.3398562051778328E-4</v>
      </c>
      <c r="V214" s="154">
        <v>7.4298751127533757E-4</v>
      </c>
      <c r="W214" s="154">
        <v>2.6370562862784274E-5</v>
      </c>
      <c r="X214" s="154">
        <v>2.8018723041708291E-5</v>
      </c>
      <c r="Y214" s="154">
        <v>6.3470132672722201E-5</v>
      </c>
      <c r="Z214" s="154">
        <v>7.4298751127533757E-4</v>
      </c>
      <c r="AA214" s="154">
        <v>2.6370562862784274E-5</v>
      </c>
      <c r="AB214" s="154">
        <v>2.8018723041708291E-5</v>
      </c>
      <c r="AC214" s="154">
        <v>6.3470132672722201E-5</v>
      </c>
      <c r="AD214" s="154">
        <v>7.4298751127533757E-4</v>
      </c>
      <c r="AE214" s="154">
        <v>2.6370562862784274E-5</v>
      </c>
      <c r="AF214" s="154">
        <v>2.8018723041708291E-5</v>
      </c>
      <c r="AG214" s="154">
        <v>6.3470132672722201E-5</v>
      </c>
      <c r="AH214" s="154">
        <v>7.4298751127533757E-4</v>
      </c>
      <c r="AI214" s="154">
        <v>2.6370562862784274E-5</v>
      </c>
      <c r="AJ214" s="154">
        <v>2.8018723041708291E-5</v>
      </c>
      <c r="AK214" s="154">
        <v>6.3470132672722201E-5</v>
      </c>
      <c r="AL214" s="154">
        <v>5.9439000902027008E-4</v>
      </c>
      <c r="AM214" s="154">
        <v>2.1096450290227417E-5</v>
      </c>
      <c r="AN214" s="154">
        <v>2.2414978433366635E-5</v>
      </c>
      <c r="AO214" s="154">
        <v>5.0776106138177758E-5</v>
      </c>
      <c r="AP214" s="154">
        <v>3.105564911133563E-3</v>
      </c>
      <c r="AQ214" s="154">
        <v>1.4049076735721778E-4</v>
      </c>
      <c r="AR214" s="154">
        <v>3.6418200964524684E-4</v>
      </c>
      <c r="AS214" s="154">
        <v>3.105564911133563E-3</v>
      </c>
      <c r="AT214" s="154">
        <v>1.4049076735721778E-4</v>
      </c>
      <c r="AU214" s="154">
        <v>3.6418200964524684E-4</v>
      </c>
      <c r="AV214" s="154">
        <v>3.1055649111335639E-3</v>
      </c>
      <c r="AW214" s="154">
        <v>1.4049076735721778E-4</v>
      </c>
      <c r="AX214" s="154">
        <v>3.6418200964524684E-4</v>
      </c>
      <c r="AY214" s="154">
        <v>3.1055649111335639E-3</v>
      </c>
      <c r="AZ214" s="154">
        <v>1.4049076735721778E-4</v>
      </c>
      <c r="BA214" s="154">
        <v>3.6418200964524684E-4</v>
      </c>
      <c r="BB214" s="154">
        <v>3.1055649111335639E-3</v>
      </c>
      <c r="BC214" s="154">
        <v>1.4049076735721778E-4</v>
      </c>
      <c r="BD214" s="154">
        <v>3.6418200964524684E-4</v>
      </c>
      <c r="BE214" s="154">
        <v>2.3842549920408719E-3</v>
      </c>
      <c r="BF214" s="154">
        <v>2.2625795316212503E-3</v>
      </c>
      <c r="BG214" s="154">
        <v>2.3112628110406671E-4</v>
      </c>
      <c r="BH214" s="154">
        <v>2.3557101727914492E-4</v>
      </c>
      <c r="BI214" s="154">
        <v>2.9902098869419172E-4</v>
      </c>
      <c r="BJ214" s="154">
        <v>2.3842549920408719E-3</v>
      </c>
      <c r="BK214" s="154">
        <v>2.2625795316212503E-3</v>
      </c>
      <c r="BL214" s="154">
        <v>2.3112628110406671E-4</v>
      </c>
      <c r="BM214" s="154">
        <v>2.3557101727914492E-4</v>
      </c>
      <c r="BN214" s="154">
        <v>2.9902098869419172E-4</v>
      </c>
      <c r="BO214" s="154">
        <v>2.3842549920408719E-3</v>
      </c>
      <c r="BP214" s="154">
        <v>2.2625795316212503E-3</v>
      </c>
      <c r="BQ214" s="154">
        <v>2.3112628110406671E-4</v>
      </c>
      <c r="BR214" s="154">
        <v>2.3557101727914492E-4</v>
      </c>
      <c r="BS214" s="154">
        <v>2.9902098869419172E-4</v>
      </c>
      <c r="BT214" s="154">
        <v>2.3842549920408719E-3</v>
      </c>
      <c r="BU214" s="154">
        <v>2.2625795316212503E-3</v>
      </c>
      <c r="BV214" s="154">
        <v>2.3112628110406671E-4</v>
      </c>
      <c r="BW214" s="154">
        <v>2.3557101727914492E-4</v>
      </c>
      <c r="BX214" s="154">
        <v>2.9902098869419172E-4</v>
      </c>
      <c r="BY214" s="154">
        <v>9.3595751810243634E-4</v>
      </c>
      <c r="BZ214" s="154">
        <v>2.360985412314249E-5</v>
      </c>
      <c r="CA214" s="154">
        <v>2.5085470005838896E-5</v>
      </c>
      <c r="CB214" s="154">
        <v>5.6825505825447255E-5</v>
      </c>
      <c r="CC214" s="154">
        <v>9.3595751810243634E-4</v>
      </c>
      <c r="CD214" s="154">
        <v>2.360985412314249E-5</v>
      </c>
      <c r="CE214" s="154">
        <v>2.5085470005838896E-5</v>
      </c>
      <c r="CF214" s="154">
        <v>5.6825505825447255E-5</v>
      </c>
      <c r="CG214" s="154">
        <v>9.3595751810243634E-4</v>
      </c>
      <c r="CH214" s="154">
        <v>2.360985412314249E-5</v>
      </c>
      <c r="CI214" s="154">
        <v>2.5085470005838896E-5</v>
      </c>
      <c r="CJ214" s="154">
        <v>5.6825505825447255E-5</v>
      </c>
      <c r="CK214" s="154">
        <v>9.3595751810243634E-4</v>
      </c>
      <c r="CL214" s="154">
        <v>2.360985412314249E-5</v>
      </c>
      <c r="CM214" s="154">
        <v>2.5085470005838896E-5</v>
      </c>
      <c r="CN214" s="154">
        <v>5.6825505825447255E-5</v>
      </c>
      <c r="CO214" s="154">
        <v>7.4876601448194905E-4</v>
      </c>
      <c r="CP214" s="154">
        <v>1.8887883298513993E-5</v>
      </c>
      <c r="CQ214" s="154">
        <v>2.0068376004671116E-5</v>
      </c>
      <c r="CR214" s="154">
        <v>4.5460404660357809E-5</v>
      </c>
      <c r="CS214" s="154">
        <v>3.7182628349802355E-3</v>
      </c>
      <c r="CT214" s="154">
        <v>1.2578292470326314E-4</v>
      </c>
      <c r="CU214" s="154">
        <v>3.2605614702792577E-4</v>
      </c>
      <c r="CV214" s="154">
        <v>3.7182628349802355E-3</v>
      </c>
      <c r="CW214" s="154">
        <v>1.2578292470326314E-4</v>
      </c>
      <c r="CX214" s="154">
        <v>3.2605614702792577E-4</v>
      </c>
      <c r="CY214" s="154">
        <v>3.7182628349802355E-3</v>
      </c>
      <c r="CZ214" s="154">
        <v>1.2578292470326314E-4</v>
      </c>
      <c r="DA214" s="154">
        <v>3.2605614702792577E-4</v>
      </c>
      <c r="DB214" s="154">
        <v>3.7182628349802355E-3</v>
      </c>
      <c r="DC214" s="154">
        <v>1.2578292470326314E-4</v>
      </c>
      <c r="DD214" s="154">
        <v>3.2605614702792577E-4</v>
      </c>
      <c r="DE214" s="154">
        <v>3.718262834980236E-3</v>
      </c>
      <c r="DF214" s="154">
        <v>1.2578292470326314E-4</v>
      </c>
      <c r="DG214" s="154">
        <v>3.2605614702792577E-4</v>
      </c>
      <c r="DH214" s="154">
        <v>6.1733034624737292E-3</v>
      </c>
      <c r="DI214" s="154">
        <v>5.8582618483787648E-3</v>
      </c>
      <c r="DJ214" s="154">
        <v>4.1918473001819709E-6</v>
      </c>
      <c r="DK214" s="154">
        <v>4.2724597482624145E-6</v>
      </c>
      <c r="DL214" s="154">
        <v>5.4232271560286516E-6</v>
      </c>
      <c r="DM214" s="154">
        <v>6.1733034624737292E-3</v>
      </c>
      <c r="DN214" s="154">
        <v>5.8582618483787648E-3</v>
      </c>
      <c r="DO214" s="154">
        <v>4.1918473001819709E-6</v>
      </c>
      <c r="DP214" s="154">
        <v>4.2724597482624145E-6</v>
      </c>
      <c r="DQ214" s="154">
        <v>5.4232271560286516E-6</v>
      </c>
      <c r="DR214" s="154">
        <v>6.1733034624737292E-3</v>
      </c>
      <c r="DS214" s="154">
        <v>5.8582618483787648E-3</v>
      </c>
      <c r="DT214" s="154">
        <v>4.1918473001819709E-6</v>
      </c>
      <c r="DU214" s="154">
        <v>4.2724597482624145E-6</v>
      </c>
      <c r="DV214" s="154">
        <v>5.4232271560286516E-6</v>
      </c>
      <c r="DW214" s="154">
        <v>6.1733034624737292E-3</v>
      </c>
      <c r="DX214" s="154">
        <v>5.8582618483787648E-3</v>
      </c>
      <c r="DY214" s="154">
        <v>4.1918473001819709E-6</v>
      </c>
      <c r="DZ214" s="154">
        <v>4.2724597482624145E-6</v>
      </c>
      <c r="EA214" s="154">
        <v>5.4232271560286516E-6</v>
      </c>
      <c r="EB214" s="154">
        <v>2.5563252752773664E-3</v>
      </c>
      <c r="EC214" s="154">
        <v>4.2820272446309834E-7</v>
      </c>
      <c r="ED214" s="154">
        <v>4.5496539474204176E-7</v>
      </c>
      <c r="EE214" s="154">
        <v>1.0306220566436748E-6</v>
      </c>
      <c r="EF214" s="154">
        <v>2.5563252752773664E-3</v>
      </c>
      <c r="EG214" s="154">
        <v>4.2820272446309834E-7</v>
      </c>
      <c r="EH214" s="154">
        <v>4.5496539474204176E-7</v>
      </c>
      <c r="EI214" s="154">
        <v>1.0306220566436748E-6</v>
      </c>
      <c r="EJ214" s="154">
        <v>2.5563252752773664E-3</v>
      </c>
      <c r="EK214" s="154">
        <v>4.2820272446309834E-7</v>
      </c>
      <c r="EL214" s="154">
        <v>4.5496539474204176E-7</v>
      </c>
      <c r="EM214" s="154">
        <v>1.0306220566436748E-6</v>
      </c>
      <c r="EN214" s="154">
        <v>2.5563252752773664E-3</v>
      </c>
      <c r="EO214" s="154">
        <v>4.2820272446309834E-7</v>
      </c>
      <c r="EP214" s="154">
        <v>4.5496539474204176E-7</v>
      </c>
      <c r="EQ214" s="154">
        <v>1.0306220566436748E-6</v>
      </c>
      <c r="ER214" s="154">
        <v>2.0450602202218928E-3</v>
      </c>
      <c r="ES214" s="154">
        <v>3.4256217957047868E-7</v>
      </c>
      <c r="ET214" s="154">
        <v>3.6397231579363343E-7</v>
      </c>
      <c r="EU214" s="154">
        <v>8.2449764531493981E-7</v>
      </c>
      <c r="EV214" s="154">
        <v>8.8630828876566804E-3</v>
      </c>
      <c r="EW214" s="154">
        <v>2.2812758930212777E-6</v>
      </c>
      <c r="EX214" s="154">
        <v>5.9135532882621105E-6</v>
      </c>
      <c r="EY214" s="154">
        <v>8.8630828876566804E-3</v>
      </c>
      <c r="EZ214" s="154">
        <v>2.2812758930212777E-6</v>
      </c>
      <c r="FA214" s="154">
        <v>5.9135532882621105E-6</v>
      </c>
      <c r="FB214" s="154">
        <v>8.8630828876566786E-3</v>
      </c>
      <c r="FC214" s="154">
        <v>2.2812758930212777E-6</v>
      </c>
      <c r="FD214" s="154">
        <v>5.9135532882621105E-6</v>
      </c>
      <c r="FE214" s="154">
        <v>8.8630828876566786E-3</v>
      </c>
      <c r="FF214" s="154">
        <v>2.2812758930212777E-6</v>
      </c>
      <c r="FG214" s="154">
        <v>5.9135532882621105E-6</v>
      </c>
      <c r="FH214" s="154">
        <v>8.8630828876566786E-3</v>
      </c>
      <c r="FI214" s="154">
        <v>2.2812758930212777E-6</v>
      </c>
      <c r="FJ214" s="154">
        <v>5.9135532882621105E-6</v>
      </c>
    </row>
    <row r="215" spans="1:166" x14ac:dyDescent="0.25">
      <c r="A215" s="154" t="s">
        <v>382</v>
      </c>
      <c r="B215" s="154">
        <v>1.307496300747297E-2</v>
      </c>
      <c r="C215" s="154">
        <v>1.6720368033460047E-2</v>
      </c>
      <c r="D215" s="154">
        <v>3.4818804120443622E-2</v>
      </c>
      <c r="E215" s="154">
        <v>3.1822528080931091E-2</v>
      </c>
      <c r="F215" s="154">
        <v>5.9499036857833032E-2</v>
      </c>
      <c r="G215" s="154">
        <v>1.6368196067386938E-2</v>
      </c>
      <c r="H215" s="154">
        <v>2.0691815981929748E-2</v>
      </c>
      <c r="I215" s="154">
        <v>4.1853643866071648E-2</v>
      </c>
      <c r="J215" s="154">
        <v>3.8386371951620285E-2</v>
      </c>
      <c r="K215" s="154">
        <v>7.1215282670323621E-2</v>
      </c>
      <c r="L215" s="154">
        <v>1.7093320685570811E-2</v>
      </c>
      <c r="M215" s="154">
        <v>2.186038879647699E-2</v>
      </c>
      <c r="N215" s="154">
        <v>4.4952684649922997E-2</v>
      </c>
      <c r="O215" s="154">
        <v>4.1193208120891792E-2</v>
      </c>
      <c r="P215" s="154">
        <v>7.7420553886611593E-2</v>
      </c>
      <c r="Q215" s="154">
        <v>1.3068116618534862E-2</v>
      </c>
      <c r="R215" s="154">
        <v>1.6713521644521938E-2</v>
      </c>
      <c r="S215" s="154">
        <v>3.481156995880387E-2</v>
      </c>
      <c r="T215" s="154">
        <v>3.1815378160127077E-2</v>
      </c>
      <c r="U215" s="154">
        <v>5.9492044983129981E-2</v>
      </c>
      <c r="V215" s="154">
        <v>2.2773556508726353E-2</v>
      </c>
      <c r="W215" s="154">
        <v>1.6194682986731719E-2</v>
      </c>
      <c r="X215" s="154">
        <v>2.2438985718900011E-2</v>
      </c>
      <c r="Y215" s="154">
        <v>2.839890510115458E-2</v>
      </c>
      <c r="Z215" s="154">
        <v>3.4382464517395517E-2</v>
      </c>
      <c r="AA215" s="154">
        <v>2.4514154234403569E-2</v>
      </c>
      <c r="AB215" s="154">
        <v>3.3687755535076573E-2</v>
      </c>
      <c r="AC215" s="154">
        <v>4.2698525335139244E-2</v>
      </c>
      <c r="AD215" s="154">
        <v>3.2685860428015773E-2</v>
      </c>
      <c r="AE215" s="154">
        <v>2.2817550145023829E-2</v>
      </c>
      <c r="AF215" s="154">
        <v>3.197058232993006E-2</v>
      </c>
      <c r="AG215" s="154">
        <v>4.0991754097091826E-2</v>
      </c>
      <c r="AH215" s="154">
        <v>2.8108202021392074E-2</v>
      </c>
      <c r="AI215" s="154">
        <v>2.2260314446285737E-2</v>
      </c>
      <c r="AJ215" s="154">
        <v>2.8010602388861803E-2</v>
      </c>
      <c r="AK215" s="154">
        <v>3.3213188966237359E-2</v>
      </c>
      <c r="AL215" s="154">
        <v>3.3806597394249023E-2</v>
      </c>
      <c r="AM215" s="154">
        <v>2.3938287111257082E-2</v>
      </c>
      <c r="AN215" s="154">
        <v>3.2963848028086419E-2</v>
      </c>
      <c r="AO215" s="154">
        <v>4.2030630258148627E-2</v>
      </c>
      <c r="AP215" s="154">
        <v>0.23308732082245304</v>
      </c>
      <c r="AQ215" s="154">
        <v>0.28499642274443121</v>
      </c>
      <c r="AR215" s="154">
        <v>0.33539943958717888</v>
      </c>
      <c r="AS215" s="154">
        <v>0.1238055036767374</v>
      </c>
      <c r="AT215" s="154">
        <v>0.1386281241247968</v>
      </c>
      <c r="AU215" s="154">
        <v>0.17725040901734032</v>
      </c>
      <c r="AV215" s="154">
        <v>0.12998950809722276</v>
      </c>
      <c r="AW215" s="154">
        <v>0.14653677136251964</v>
      </c>
      <c r="AX215" s="154">
        <v>0.1873047309311551</v>
      </c>
      <c r="AY215" s="154">
        <v>0.16217363519855427</v>
      </c>
      <c r="AZ215" s="154">
        <v>0.19093173634412192</v>
      </c>
      <c r="BA215" s="154">
        <v>0.23349522897530658</v>
      </c>
      <c r="BB215" s="154">
        <v>0.13594398856024148</v>
      </c>
      <c r="BC215" s="154">
        <v>0.16113583044544258</v>
      </c>
      <c r="BD215" s="154">
        <v>0.20090182152776806</v>
      </c>
      <c r="BE215" s="154">
        <v>1.3938354893823219E-2</v>
      </c>
      <c r="BF215" s="154">
        <v>1.7509472386988703E-2</v>
      </c>
      <c r="BG215" s="154">
        <v>3.2727281010829723E-2</v>
      </c>
      <c r="BH215" s="154">
        <v>3.0100591413781075E-2</v>
      </c>
      <c r="BI215" s="154">
        <v>5.4860778790817785E-2</v>
      </c>
      <c r="BJ215" s="154">
        <v>1.7392219002360487E-2</v>
      </c>
      <c r="BK215" s="154">
        <v>2.1627730447742806E-2</v>
      </c>
      <c r="BL215" s="154">
        <v>3.9400015980930292E-2</v>
      </c>
      <c r="BM215" s="154">
        <v>3.6360422465294771E-2</v>
      </c>
      <c r="BN215" s="154">
        <v>6.5732048609772831E-2</v>
      </c>
      <c r="BO215" s="154">
        <v>1.8222371613874983E-2</v>
      </c>
      <c r="BP215" s="154">
        <v>2.289229448955292E-2</v>
      </c>
      <c r="BQ215" s="154">
        <v>4.2263976100406671E-2</v>
      </c>
      <c r="BR215" s="154">
        <v>3.8969285961605767E-2</v>
      </c>
      <c r="BS215" s="154">
        <v>7.1384835522595239E-2</v>
      </c>
      <c r="BT215" s="154">
        <v>1.3931508504885112E-2</v>
      </c>
      <c r="BU215" s="154">
        <v>1.7502625998050594E-2</v>
      </c>
      <c r="BV215" s="154">
        <v>3.2720055833272504E-2</v>
      </c>
      <c r="BW215" s="154">
        <v>3.0093445797141509E-2</v>
      </c>
      <c r="BX215" s="154">
        <v>5.4853786916114734E-2</v>
      </c>
      <c r="BY215" s="154">
        <v>2.3243384289252898E-2</v>
      </c>
      <c r="BZ215" s="154">
        <v>1.5993419377568638E-2</v>
      </c>
      <c r="CA215" s="154">
        <v>2.0215339481203094E-2</v>
      </c>
      <c r="CB215" s="154">
        <v>2.3099757961821302E-2</v>
      </c>
      <c r="CC215" s="154">
        <v>3.5087206188185345E-2</v>
      </c>
      <c r="CD215" s="154">
        <v>2.4212258820658947E-2</v>
      </c>
      <c r="CE215" s="154">
        <v>3.0409372491027955E-2</v>
      </c>
      <c r="CF215" s="154">
        <v>3.4772728117729815E-2</v>
      </c>
      <c r="CG215" s="154">
        <v>3.3390602098805594E-2</v>
      </c>
      <c r="CH215" s="154">
        <v>2.25156547312792E-2</v>
      </c>
      <c r="CI215" s="154">
        <v>2.8696741089890229E-2</v>
      </c>
      <c r="CJ215" s="154">
        <v>3.3065956879682397E-2</v>
      </c>
      <c r="CK215" s="154">
        <v>2.852582671519345E-2</v>
      </c>
      <c r="CL215" s="154">
        <v>2.2081413460362992E-2</v>
      </c>
      <c r="CM215" s="154">
        <v>2.5986688564280904E-2</v>
      </c>
      <c r="CN215" s="154">
        <v>2.849774184425433E-2</v>
      </c>
      <c r="CO215" s="154">
        <v>3.4511339065038844E-2</v>
      </c>
      <c r="CP215" s="154">
        <v>2.3636391697512454E-2</v>
      </c>
      <c r="CQ215" s="154">
        <v>2.9729009763123138E-2</v>
      </c>
      <c r="CR215" s="154">
        <v>3.4121444266529397E-2</v>
      </c>
      <c r="CS215" s="154">
        <v>0.23477482174539976</v>
      </c>
      <c r="CT215" s="154">
        <v>0.22945831470499203</v>
      </c>
      <c r="CU215" s="154">
        <v>0.26261044524392907</v>
      </c>
      <c r="CV215" s="154">
        <v>0.12429352195377036</v>
      </c>
      <c r="CW215" s="154">
        <v>0.11232904482653279</v>
      </c>
      <c r="CX215" s="154">
        <v>0.13625589947052072</v>
      </c>
      <c r="CY215" s="154">
        <v>0.1305478648101786</v>
      </c>
      <c r="CZ215" s="154">
        <v>0.11812121013215086</v>
      </c>
      <c r="DA215" s="154">
        <v>0.14349107390775903</v>
      </c>
      <c r="DB215" s="154">
        <v>0.1631060615073974</v>
      </c>
      <c r="DC215" s="154">
        <v>0.15385965269632956</v>
      </c>
      <c r="DD215" s="154">
        <v>0.180951900434388</v>
      </c>
      <c r="DE215" s="154">
        <v>0.13598792742656174</v>
      </c>
      <c r="DF215" s="154">
        <v>0.12978398193245341</v>
      </c>
      <c r="DG215" s="154">
        <v>0.15479756666131753</v>
      </c>
      <c r="DH215" s="154">
        <v>2.118825034364772E-2</v>
      </c>
      <c r="DI215" s="154">
        <v>2.4135575958876221E-2</v>
      </c>
      <c r="DJ215" s="154">
        <v>1.6835832771061182E-2</v>
      </c>
      <c r="DK215" s="154">
        <v>1.6873746078203009E-2</v>
      </c>
      <c r="DL215" s="154">
        <v>1.8383701708981876E-2</v>
      </c>
      <c r="DM215" s="154">
        <v>2.5990932210291862E-2</v>
      </c>
      <c r="DN215" s="154">
        <v>2.9486597474865213E-2</v>
      </c>
      <c r="DO215" s="154">
        <v>2.072938247471668E-2</v>
      </c>
      <c r="DP215" s="154">
        <v>2.0786935588965529E-2</v>
      </c>
      <c r="DQ215" s="154">
        <v>2.2609749549520428E-2</v>
      </c>
      <c r="DR215" s="154">
        <v>2.7703004125183936E-2</v>
      </c>
      <c r="DS215" s="154">
        <v>3.1557199160482753E-2</v>
      </c>
      <c r="DT215" s="154">
        <v>2.1789990044161572E-2</v>
      </c>
      <c r="DU215" s="154">
        <v>2.1868144257779564E-2</v>
      </c>
      <c r="DV215" s="154">
        <v>2.391758363030129E-2</v>
      </c>
      <c r="DW215" s="154">
        <v>2.1181403954709604E-2</v>
      </c>
      <c r="DX215" s="154">
        <v>2.4128729569938112E-2</v>
      </c>
      <c r="DY215" s="154">
        <v>1.6828681422402104E-2</v>
      </c>
      <c r="DZ215" s="154">
        <v>1.686663622206094E-2</v>
      </c>
      <c r="EA215" s="154">
        <v>1.8376709834278825E-2</v>
      </c>
      <c r="EB215" s="154">
        <v>2.6707884376365485E-2</v>
      </c>
      <c r="EC215" s="154">
        <v>1.5689271979090976E-2</v>
      </c>
      <c r="ED215" s="154">
        <v>1.7288131353933017E-2</v>
      </c>
      <c r="EE215" s="154">
        <v>1.6425004593815962E-2</v>
      </c>
      <c r="EF215" s="154">
        <v>4.028395631885423E-2</v>
      </c>
      <c r="EG215" s="154">
        <v>2.3756037722942453E-2</v>
      </c>
      <c r="EH215" s="154">
        <v>2.6080262632327007E-2</v>
      </c>
      <c r="EI215" s="154">
        <v>2.47894722691883E-2</v>
      </c>
      <c r="EJ215" s="154">
        <v>3.8587352229474486E-2</v>
      </c>
      <c r="EK215" s="154">
        <v>2.2059433633562713E-2</v>
      </c>
      <c r="EL215" s="154">
        <v>2.4373468353547947E-2</v>
      </c>
      <c r="EM215" s="154">
        <v>2.3082701031140882E-2</v>
      </c>
      <c r="EN215" s="154">
        <v>3.1605382348182415E-2</v>
      </c>
      <c r="EO215" s="154">
        <v>2.1811060217271739E-2</v>
      </c>
      <c r="EP215" s="154">
        <v>2.3326477452239425E-2</v>
      </c>
      <c r="EQ215" s="154">
        <v>2.2558211249701473E-2</v>
      </c>
      <c r="ER215" s="154">
        <v>3.9708089195707737E-2</v>
      </c>
      <c r="ES215" s="154">
        <v>2.3180170599795959E-2</v>
      </c>
      <c r="ET215" s="154">
        <v>2.5447067145162188E-2</v>
      </c>
      <c r="EU215" s="154">
        <v>2.415911175383317E-2</v>
      </c>
      <c r="EV215" s="154">
        <v>0.247323671315758</v>
      </c>
      <c r="EW215" s="154">
        <v>0.21044810447446827</v>
      </c>
      <c r="EX215" s="154">
        <v>0.22446050479075447</v>
      </c>
      <c r="EY215" s="154">
        <v>0.13398012944026955</v>
      </c>
      <c r="EZ215" s="154">
        <v>0.10268560125959975</v>
      </c>
      <c r="FA215" s="154">
        <v>0.11262737501324478</v>
      </c>
      <c r="FB215" s="154">
        <v>0.14071990918801952</v>
      </c>
      <c r="FC215" s="154">
        <v>0.10783282143620151</v>
      </c>
      <c r="FD215" s="154">
        <v>0.11843039587370717</v>
      </c>
      <c r="FE215" s="154">
        <v>0.17376762314417327</v>
      </c>
      <c r="FF215" s="154">
        <v>0.1407564067971131</v>
      </c>
      <c r="FG215" s="154">
        <v>0.15208882484074399</v>
      </c>
      <c r="FH215" s="154">
        <v>0.14038845449767579</v>
      </c>
      <c r="FI215" s="154">
        <v>0.11853700652287627</v>
      </c>
      <c r="FJ215" s="154">
        <v>0.12896304884725901</v>
      </c>
    </row>
    <row r="216" spans="1:166" x14ac:dyDescent="0.25">
      <c r="A216" s="154" t="s">
        <v>325</v>
      </c>
    </row>
    <row r="217" spans="1:166" x14ac:dyDescent="0.25">
      <c r="A217" s="154" t="s">
        <v>326</v>
      </c>
    </row>
    <row r="219" spans="1:166" x14ac:dyDescent="0.25">
      <c r="A219" s="161" t="s">
        <v>400</v>
      </c>
    </row>
    <row r="220" spans="1:166" x14ac:dyDescent="0.25">
      <c r="C220" s="154" t="s">
        <v>18</v>
      </c>
      <c r="D220" s="154" t="s">
        <v>28</v>
      </c>
      <c r="E220" s="154" t="s">
        <v>14</v>
      </c>
      <c r="F220" s="154" t="s">
        <v>25</v>
      </c>
      <c r="G220" s="154" t="s">
        <v>37</v>
      </c>
      <c r="H220" s="154" t="s">
        <v>52</v>
      </c>
      <c r="I220" s="154" t="s">
        <v>262</v>
      </c>
      <c r="J220" s="154" t="s">
        <v>67</v>
      </c>
      <c r="K220" s="154" t="s">
        <v>56</v>
      </c>
      <c r="L220" s="154" t="s">
        <v>73</v>
      </c>
      <c r="M220" s="154" t="s">
        <v>206</v>
      </c>
      <c r="N220" s="154" t="s">
        <v>382</v>
      </c>
      <c r="O220" s="154" t="s">
        <v>325</v>
      </c>
      <c r="P220" s="154" t="s">
        <v>326</v>
      </c>
      <c r="AI220" s="154" t="s">
        <v>325</v>
      </c>
      <c r="AJ220" s="154" t="s">
        <v>326</v>
      </c>
    </row>
    <row r="221" spans="1:166" x14ac:dyDescent="0.25">
      <c r="A221" s="155" t="s">
        <v>383</v>
      </c>
      <c r="B221" s="154" t="s">
        <v>384</v>
      </c>
      <c r="C221" s="154" t="s">
        <v>385</v>
      </c>
      <c r="D221" s="154" t="s">
        <v>386</v>
      </c>
      <c r="E221" s="154" t="s">
        <v>387</v>
      </c>
      <c r="F221" s="154" t="s">
        <v>388</v>
      </c>
      <c r="G221" s="154" t="s">
        <v>389</v>
      </c>
      <c r="H221" s="154" t="s">
        <v>390</v>
      </c>
      <c r="I221" s="154" t="s">
        <v>391</v>
      </c>
      <c r="J221" s="154" t="s">
        <v>392</v>
      </c>
      <c r="K221" s="154" t="s">
        <v>393</v>
      </c>
      <c r="L221" s="154" t="s">
        <v>394</v>
      </c>
      <c r="M221" s="154" t="s">
        <v>395</v>
      </c>
      <c r="N221" s="154" t="s">
        <v>396</v>
      </c>
    </row>
    <row r="222" spans="1:166" x14ac:dyDescent="0.25">
      <c r="A222" s="155">
        <v>2023</v>
      </c>
      <c r="B222" s="154" t="s">
        <v>381</v>
      </c>
      <c r="C222" s="154">
        <v>1.0347449498978036E-3</v>
      </c>
      <c r="D222" s="154">
        <v>-1.0336086682377807E-4</v>
      </c>
      <c r="E222" s="154">
        <v>6.8982996659853576E-5</v>
      </c>
      <c r="F222" s="154">
        <v>-6.8982996659853564E-6</v>
      </c>
      <c r="G222" s="154">
        <v>1.0654632223259673E-3</v>
      </c>
      <c r="H222" s="154">
        <v>4.305425874053325E-4</v>
      </c>
      <c r="I222" s="154">
        <v>8.6011184229469056E-5</v>
      </c>
      <c r="J222" s="154">
        <v>2.1494771182553069E-3</v>
      </c>
      <c r="K222" s="154">
        <v>6.4101374767547474E-3</v>
      </c>
      <c r="L222" s="154">
        <v>0</v>
      </c>
      <c r="M222" s="154">
        <v>1.9330162494961441E-3</v>
      </c>
      <c r="N222" s="154">
        <v>1.3068116618534862E-2</v>
      </c>
    </row>
    <row r="223" spans="1:166" x14ac:dyDescent="0.25">
      <c r="A223" s="155"/>
      <c r="B223" s="154" t="s">
        <v>378</v>
      </c>
      <c r="C223" s="154">
        <v>1.0347449498978036E-3</v>
      </c>
      <c r="D223" s="154">
        <v>-1.0336086682377807E-4</v>
      </c>
      <c r="E223" s="154">
        <v>6.8982996659853576E-5</v>
      </c>
      <c r="F223" s="154">
        <v>-6.8982996659853564E-6</v>
      </c>
      <c r="G223" s="154">
        <v>1.0654632223259673E-3</v>
      </c>
      <c r="H223" s="154">
        <v>4.305425874053325E-4</v>
      </c>
      <c r="I223" s="154">
        <v>8.9502842587904882E-5</v>
      </c>
      <c r="J223" s="154">
        <v>2.1494771182553069E-3</v>
      </c>
      <c r="K223" s="154">
        <v>6.4134922073344211E-3</v>
      </c>
      <c r="L223" s="154">
        <v>0</v>
      </c>
      <c r="M223" s="154">
        <v>1.9330162494961441E-3</v>
      </c>
      <c r="N223" s="154">
        <v>1.307496300747297E-2</v>
      </c>
    </row>
    <row r="224" spans="1:166" x14ac:dyDescent="0.25">
      <c r="A224" s="155"/>
      <c r="B224" s="154" t="s">
        <v>340</v>
      </c>
      <c r="C224" s="154">
        <v>1.0902430594344164E-3</v>
      </c>
      <c r="D224" s="154">
        <v>-1.6353645891516245E-4</v>
      </c>
      <c r="E224" s="154">
        <v>7.6311881817276459E-4</v>
      </c>
      <c r="F224" s="154">
        <v>-3.8155940908638231E-5</v>
      </c>
      <c r="G224" s="154">
        <v>1.6256502601040416E-3</v>
      </c>
      <c r="H224" s="154">
        <v>1.6256502601040416E-3</v>
      </c>
      <c r="I224" s="154">
        <v>1.7507002801120447E-3</v>
      </c>
      <c r="J224" s="154">
        <v>1.0537248141199494E-3</v>
      </c>
      <c r="K224" s="154">
        <v>8.4609173316454768E-3</v>
      </c>
      <c r="L224" s="154">
        <v>0</v>
      </c>
      <c r="M224" s="154">
        <v>2.6370562862784274E-5</v>
      </c>
      <c r="N224" s="154">
        <v>1.6194682986731719E-2</v>
      </c>
    </row>
    <row r="225" spans="1:28" x14ac:dyDescent="0.25">
      <c r="A225" s="155"/>
      <c r="B225" s="154" t="s">
        <v>379</v>
      </c>
      <c r="C225" s="154">
        <v>1.0347449498978036E-3</v>
      </c>
      <c r="D225" s="154">
        <v>-1.0336086682377807E-4</v>
      </c>
      <c r="E225" s="154">
        <v>3.4491498329926784E-4</v>
      </c>
      <c r="F225" s="154">
        <v>-3.4491498329926788E-5</v>
      </c>
      <c r="G225" s="154">
        <v>1.0654632223259673E-3</v>
      </c>
      <c r="H225" s="154">
        <v>4.305425874053325E-4</v>
      </c>
      <c r="I225" s="154">
        <v>1.7869725535414797E-4</v>
      </c>
      <c r="J225" s="154">
        <v>2.1494771182553069E-3</v>
      </c>
      <c r="K225" s="154">
        <v>9.3691920665066718E-3</v>
      </c>
      <c r="L225" s="154">
        <v>0</v>
      </c>
      <c r="M225" s="154">
        <v>1.9330162494961441E-3</v>
      </c>
      <c r="N225" s="154">
        <v>1.6368196067386938E-2</v>
      </c>
    </row>
    <row r="226" spans="1:28" x14ac:dyDescent="0.25">
      <c r="A226" s="155"/>
      <c r="B226" s="154" t="s">
        <v>377</v>
      </c>
      <c r="C226" s="154">
        <v>1.0347449498978036E-3</v>
      </c>
      <c r="D226" s="154">
        <v>-1.0336086682377807E-4</v>
      </c>
      <c r="E226" s="154">
        <v>6.8982996659853576E-5</v>
      </c>
      <c r="F226" s="154">
        <v>-6.8982996659853564E-6</v>
      </c>
      <c r="G226" s="154">
        <v>1.0654632223259673E-3</v>
      </c>
      <c r="H226" s="154">
        <v>4.305425874053325E-4</v>
      </c>
      <c r="I226" s="154">
        <v>8.6011184229469056E-5</v>
      </c>
      <c r="J226" s="154">
        <v>4.1072811176853007E-3</v>
      </c>
      <c r="K226" s="154">
        <v>8.1963859394884164E-3</v>
      </c>
      <c r="L226" s="154">
        <v>0</v>
      </c>
      <c r="M226" s="154">
        <v>1.8343688133195604E-3</v>
      </c>
      <c r="N226" s="154">
        <v>1.6713521644521938E-2</v>
      </c>
    </row>
    <row r="227" spans="1:28" x14ac:dyDescent="0.25">
      <c r="A227" s="155"/>
      <c r="B227" s="154" t="s">
        <v>374</v>
      </c>
      <c r="C227" s="154">
        <v>1.0347449498978036E-3</v>
      </c>
      <c r="D227" s="154">
        <v>-1.0336086682377807E-4</v>
      </c>
      <c r="E227" s="154">
        <v>6.8982996659853576E-5</v>
      </c>
      <c r="F227" s="154">
        <v>-6.8982996659853564E-6</v>
      </c>
      <c r="G227" s="154">
        <v>1.0654632223259673E-3</v>
      </c>
      <c r="H227" s="154">
        <v>4.305425874053325E-4</v>
      </c>
      <c r="I227" s="154">
        <v>8.9502842587904882E-5</v>
      </c>
      <c r="J227" s="154">
        <v>4.1072811176853007E-3</v>
      </c>
      <c r="K227" s="154">
        <v>8.1997406700680883E-3</v>
      </c>
      <c r="L227" s="154">
        <v>0</v>
      </c>
      <c r="M227" s="154">
        <v>1.8343688133195604E-3</v>
      </c>
      <c r="N227" s="154">
        <v>1.6720368033460047E-2</v>
      </c>
    </row>
    <row r="228" spans="1:28" x14ac:dyDescent="0.25">
      <c r="A228" s="155"/>
      <c r="B228" s="154" t="s">
        <v>380</v>
      </c>
      <c r="C228" s="154">
        <v>1.0347449498978036E-3</v>
      </c>
      <c r="D228" s="154">
        <v>-1.0336086682377807E-4</v>
      </c>
      <c r="E228" s="154">
        <v>6.8982996659853576E-5</v>
      </c>
      <c r="F228" s="154">
        <v>-6.8982996659853564E-6</v>
      </c>
      <c r="G228" s="154">
        <v>1.0654632223259673E-3</v>
      </c>
      <c r="H228" s="154">
        <v>4.305425874053325E-4</v>
      </c>
      <c r="I228" s="154">
        <v>8.6011184229469056E-5</v>
      </c>
      <c r="J228" s="154">
        <v>2.1494771182553069E-3</v>
      </c>
      <c r="K228" s="154">
        <v>1.0435341543790697E-2</v>
      </c>
      <c r="L228" s="154">
        <v>0</v>
      </c>
      <c r="M228" s="154">
        <v>1.9330162494961441E-3</v>
      </c>
      <c r="N228" s="154">
        <v>1.7093320685570811E-2</v>
      </c>
      <c r="R228" s="154" t="s">
        <v>18</v>
      </c>
      <c r="S228" s="154" t="s">
        <v>28</v>
      </c>
      <c r="T228" s="154" t="s">
        <v>14</v>
      </c>
      <c r="U228" s="154" t="s">
        <v>25</v>
      </c>
      <c r="V228" s="154" t="s">
        <v>37</v>
      </c>
      <c r="W228" s="154" t="s">
        <v>52</v>
      </c>
      <c r="X228" s="154" t="s">
        <v>262</v>
      </c>
      <c r="Y228" s="154" t="s">
        <v>67</v>
      </c>
      <c r="Z228" s="154" t="s">
        <v>56</v>
      </c>
      <c r="AA228" s="154" t="s">
        <v>73</v>
      </c>
      <c r="AB228" s="154" t="s">
        <v>206</v>
      </c>
    </row>
    <row r="229" spans="1:28" x14ac:dyDescent="0.25">
      <c r="A229" s="155"/>
      <c r="B229" s="154" t="s">
        <v>375</v>
      </c>
      <c r="C229" s="154">
        <v>1.0347449498978036E-3</v>
      </c>
      <c r="D229" s="154">
        <v>-1.0336086682377807E-4</v>
      </c>
      <c r="E229" s="154">
        <v>3.4491498329926784E-4</v>
      </c>
      <c r="F229" s="154">
        <v>-3.4491498329926788E-5</v>
      </c>
      <c r="G229" s="154">
        <v>1.0654632223259673E-3</v>
      </c>
      <c r="H229" s="154">
        <v>4.305425874053325E-4</v>
      </c>
      <c r="I229" s="154">
        <v>1.7869725535414797E-4</v>
      </c>
      <c r="J229" s="154">
        <v>4.1072811176853007E-3</v>
      </c>
      <c r="K229" s="154">
        <v>1.1833655417796072E-2</v>
      </c>
      <c r="L229" s="154">
        <v>0</v>
      </c>
      <c r="M229" s="154">
        <v>1.8343688133195604E-3</v>
      </c>
      <c r="N229" s="154">
        <v>2.0691815981929748E-2</v>
      </c>
      <c r="P229" s="197">
        <v>2023</v>
      </c>
      <c r="Q229" s="154" t="s">
        <v>379</v>
      </c>
      <c r="R229" s="154">
        <v>1.0347449498978036E-3</v>
      </c>
      <c r="S229" s="154">
        <v>-1.0336086682377807E-4</v>
      </c>
      <c r="T229" s="154">
        <v>3.4491498329926784E-4</v>
      </c>
      <c r="U229" s="154">
        <v>-3.4491498329926788E-5</v>
      </c>
      <c r="V229" s="154">
        <v>1.0654632223259673E-3</v>
      </c>
      <c r="W229" s="154">
        <v>4.305425874053325E-4</v>
      </c>
      <c r="X229" s="154">
        <v>1.7869725535414797E-4</v>
      </c>
      <c r="Y229" s="154">
        <v>2.1494771182553069E-3</v>
      </c>
      <c r="Z229" s="154">
        <v>9.3691920665066718E-3</v>
      </c>
      <c r="AA229" s="154">
        <v>0</v>
      </c>
      <c r="AB229" s="154">
        <v>1.9330162494961441E-3</v>
      </c>
    </row>
    <row r="230" spans="1:28" x14ac:dyDescent="0.25">
      <c r="A230" s="155"/>
      <c r="B230" s="154" t="s">
        <v>376</v>
      </c>
      <c r="C230" s="154">
        <v>1.0347449498978036E-3</v>
      </c>
      <c r="D230" s="154">
        <v>-1.0336086682377807E-4</v>
      </c>
      <c r="E230" s="154">
        <v>6.8982996659853576E-5</v>
      </c>
      <c r="F230" s="154">
        <v>-6.8982996659853564E-6</v>
      </c>
      <c r="G230" s="154">
        <v>1.0654632223259673E-3</v>
      </c>
      <c r="H230" s="154">
        <v>4.305425874053325E-4</v>
      </c>
      <c r="I230" s="154">
        <v>8.6011184229469056E-5</v>
      </c>
      <c r="J230" s="154">
        <v>4.1072811176853007E-3</v>
      </c>
      <c r="K230" s="154">
        <v>1.3343253091443465E-2</v>
      </c>
      <c r="L230" s="154">
        <v>0</v>
      </c>
      <c r="M230" s="154">
        <v>1.8343688133195604E-3</v>
      </c>
      <c r="N230" s="154">
        <v>2.186038879647699E-2</v>
      </c>
      <c r="P230" s="197"/>
      <c r="Q230" s="154" t="s">
        <v>375</v>
      </c>
      <c r="R230" s="154">
        <v>1.0347449498978036E-3</v>
      </c>
      <c r="S230" s="154">
        <v>-1.0336086682377807E-4</v>
      </c>
      <c r="T230" s="154">
        <v>3.4491498329926784E-4</v>
      </c>
      <c r="U230" s="154">
        <v>-3.4491498329926788E-5</v>
      </c>
      <c r="V230" s="154">
        <v>1.0654632223259673E-3</v>
      </c>
      <c r="W230" s="154">
        <v>4.305425874053325E-4</v>
      </c>
      <c r="X230" s="154">
        <v>1.7869725535414797E-4</v>
      </c>
      <c r="Y230" s="154">
        <v>4.1072811176853007E-3</v>
      </c>
      <c r="Z230" s="154">
        <v>1.1833655417796072E-2</v>
      </c>
      <c r="AA230" s="154">
        <v>0</v>
      </c>
      <c r="AB230" s="154">
        <v>1.8343688133195604E-3</v>
      </c>
    </row>
    <row r="231" spans="1:28" x14ac:dyDescent="0.25">
      <c r="A231" s="155"/>
      <c r="B231" s="154" t="s">
        <v>352</v>
      </c>
      <c r="C231" s="154">
        <v>1.0902430594344164E-3</v>
      </c>
      <c r="D231" s="154">
        <v>-1.6353645891516245E-4</v>
      </c>
      <c r="E231" s="154">
        <v>7.6311881817276459E-4</v>
      </c>
      <c r="F231" s="154">
        <v>-3.8155940908638231E-5</v>
      </c>
      <c r="G231" s="154">
        <v>3.6264505802320927E-3</v>
      </c>
      <c r="H231" s="154">
        <v>1.6256502601040416E-3</v>
      </c>
      <c r="I231" s="154">
        <v>4.0016006402561026E-3</v>
      </c>
      <c r="J231" s="154">
        <v>1.0537248141199494E-3</v>
      </c>
      <c r="K231" s="154">
        <v>1.0274848110927385E-2</v>
      </c>
      <c r="L231" s="154">
        <v>0</v>
      </c>
      <c r="M231" s="154">
        <v>2.6370562862784274E-5</v>
      </c>
      <c r="N231" s="154">
        <v>2.2260314446285737E-2</v>
      </c>
      <c r="P231" s="197"/>
      <c r="Q231" s="154" t="s">
        <v>348</v>
      </c>
      <c r="R231" s="154">
        <v>1.0902430594344164E-3</v>
      </c>
      <c r="S231" s="154">
        <v>-1.6353645891516245E-4</v>
      </c>
      <c r="T231" s="154">
        <v>5.087458787818432E-4</v>
      </c>
      <c r="U231" s="154">
        <v>-2.5437293939092156E-5</v>
      </c>
      <c r="V231" s="154">
        <v>1.525610244097639E-3</v>
      </c>
      <c r="W231" s="154">
        <v>1.6256502601040416E-3</v>
      </c>
      <c r="X231" s="154">
        <v>1.6256502601040416E-3</v>
      </c>
      <c r="Y231" s="154">
        <v>1.0537248141199494E-3</v>
      </c>
      <c r="Z231" s="154">
        <v>1.5550528818373367E-2</v>
      </c>
      <c r="AA231" s="154">
        <v>0</v>
      </c>
      <c r="AB231" s="154">
        <v>2.6370562862784274E-5</v>
      </c>
    </row>
    <row r="232" spans="1:28" x14ac:dyDescent="0.25">
      <c r="A232" s="155"/>
      <c r="B232" s="154" t="s">
        <v>341</v>
      </c>
      <c r="C232" s="154">
        <v>2.1696909640280381E-3</v>
      </c>
      <c r="D232" s="154">
        <v>-1.1028374067486764E-4</v>
      </c>
      <c r="E232" s="154">
        <v>7.6311881817276459E-4</v>
      </c>
      <c r="F232" s="154">
        <v>-3.8155940908638231E-5</v>
      </c>
      <c r="G232" s="154">
        <v>1.6256502601040416E-3</v>
      </c>
      <c r="H232" s="154">
        <v>3.235203975384487E-3</v>
      </c>
      <c r="I232" s="154">
        <v>1.7507002801120447E-3</v>
      </c>
      <c r="J232" s="154">
        <v>1.1195826150024461E-3</v>
      </c>
      <c r="K232" s="154">
        <v>1.1504824322419243E-2</v>
      </c>
      <c r="L232" s="154">
        <v>3.9063544221873935E-4</v>
      </c>
      <c r="M232" s="154">
        <v>2.8018723041708291E-5</v>
      </c>
      <c r="N232" s="154">
        <v>2.2438985718900011E-2</v>
      </c>
      <c r="P232" s="197"/>
      <c r="Q232" s="154" t="s">
        <v>349</v>
      </c>
      <c r="R232" s="154">
        <v>2.1696909640280381E-3</v>
      </c>
      <c r="S232" s="154">
        <v>-1.1028374067486764E-4</v>
      </c>
      <c r="T232" s="154">
        <v>5.087458787818432E-4</v>
      </c>
      <c r="U232" s="154">
        <v>-2.5437293939092156E-5</v>
      </c>
      <c r="V232" s="154">
        <v>1.525610244097639E-3</v>
      </c>
      <c r="W232" s="154">
        <v>3.235203975384487E-3</v>
      </c>
      <c r="X232" s="154">
        <v>1.6256502601040416E-3</v>
      </c>
      <c r="Y232" s="154">
        <v>1.1195826150024461E-3</v>
      </c>
      <c r="Z232" s="154">
        <v>2.1521269454121909E-2</v>
      </c>
      <c r="AA232" s="154">
        <v>3.7253124998190904E-4</v>
      </c>
      <c r="AB232" s="154">
        <v>2.8018723041708291E-5</v>
      </c>
    </row>
    <row r="233" spans="1:28" x14ac:dyDescent="0.25">
      <c r="A233" s="155"/>
      <c r="B233" s="154" t="s">
        <v>339</v>
      </c>
      <c r="C233" s="154">
        <v>7.6317014160409149E-4</v>
      </c>
      <c r="D233" s="154">
        <v>-1.1346797345547289E-4</v>
      </c>
      <c r="E233" s="154">
        <v>7.6311881817276459E-4</v>
      </c>
      <c r="F233" s="154">
        <v>-3.8155940908638231E-5</v>
      </c>
      <c r="G233" s="154">
        <v>1.6256502601040416E-3</v>
      </c>
      <c r="H233" s="154">
        <v>2.6260504201680674E-3</v>
      </c>
      <c r="I233" s="154">
        <v>1.7507002801120447E-3</v>
      </c>
      <c r="J233" s="154">
        <v>2.7715714285714288E-3</v>
      </c>
      <c r="K233" s="154">
        <v>1.1881931563082686E-2</v>
      </c>
      <c r="L233" s="154">
        <v>0</v>
      </c>
      <c r="M233" s="154">
        <v>7.4298751127533757E-4</v>
      </c>
      <c r="N233" s="154">
        <v>2.2773556508726353E-2</v>
      </c>
      <c r="P233" s="197"/>
      <c r="Q233" s="154" t="s">
        <v>347</v>
      </c>
      <c r="R233" s="154">
        <v>7.6317014160409149E-4</v>
      </c>
      <c r="S233" s="154">
        <v>-1.1346797345547289E-4</v>
      </c>
      <c r="T233" s="154">
        <v>5.087458787818432E-4</v>
      </c>
      <c r="U233" s="154">
        <v>-2.5437293939092156E-5</v>
      </c>
      <c r="V233" s="154">
        <v>1.525610244097639E-3</v>
      </c>
      <c r="W233" s="154">
        <v>2.6260504201680674E-3</v>
      </c>
      <c r="X233" s="154">
        <v>1.6256502601040416E-3</v>
      </c>
      <c r="Y233" s="154">
        <v>2.7715714285714288E-3</v>
      </c>
      <c r="Z233" s="154">
        <v>2.2260979810807893E-2</v>
      </c>
      <c r="AA233" s="154">
        <v>0</v>
      </c>
      <c r="AB233" s="154">
        <v>7.4298751127533757E-4</v>
      </c>
    </row>
    <row r="234" spans="1:28" x14ac:dyDescent="0.25">
      <c r="A234" s="155"/>
      <c r="B234" s="154" t="s">
        <v>348</v>
      </c>
      <c r="C234" s="154">
        <v>1.0902430594344164E-3</v>
      </c>
      <c r="D234" s="154">
        <v>-1.6353645891516245E-4</v>
      </c>
      <c r="E234" s="154">
        <v>5.087458787818432E-4</v>
      </c>
      <c r="F234" s="154">
        <v>-2.5437293939092156E-5</v>
      </c>
      <c r="G234" s="154">
        <v>1.525610244097639E-3</v>
      </c>
      <c r="H234" s="154">
        <v>1.6256502601040416E-3</v>
      </c>
      <c r="I234" s="154">
        <v>1.6256502601040416E-3</v>
      </c>
      <c r="J234" s="154">
        <v>1.0537248141199494E-3</v>
      </c>
      <c r="K234" s="154">
        <v>1.5550528818373367E-2</v>
      </c>
      <c r="L234" s="154">
        <v>0</v>
      </c>
      <c r="M234" s="154">
        <v>2.6370562862784274E-5</v>
      </c>
      <c r="N234" s="154">
        <v>2.2817550145023829E-2</v>
      </c>
      <c r="P234" s="197"/>
      <c r="Q234" s="154" t="s">
        <v>331</v>
      </c>
      <c r="R234" s="154">
        <v>2.0676718491395704E-3</v>
      </c>
      <c r="S234" s="154">
        <v>-1.0351994625618128E-4</v>
      </c>
      <c r="T234" s="154">
        <v>3.4491498329926784E-4</v>
      </c>
      <c r="U234" s="154">
        <v>-3.4491498329926788E-5</v>
      </c>
      <c r="V234" s="154">
        <v>1.0654632223259673E-3</v>
      </c>
      <c r="W234" s="154">
        <v>2.9878618113912231E-4</v>
      </c>
      <c r="X234" s="154">
        <v>1.7869725535414797E-4</v>
      </c>
      <c r="Y234" s="154">
        <v>1.1790342951953749E-2</v>
      </c>
      <c r="Z234" s="154">
        <v>2.1129720272896415E-2</v>
      </c>
      <c r="AA234" s="154">
        <v>1.3856702589881906E-3</v>
      </c>
      <c r="AB234" s="154">
        <v>2.6311642110997044E-4</v>
      </c>
    </row>
    <row r="235" spans="1:28" x14ac:dyDescent="0.25">
      <c r="A235" s="155"/>
      <c r="B235" s="154" t="s">
        <v>356</v>
      </c>
      <c r="C235" s="154">
        <v>8.7219444754753307E-4</v>
      </c>
      <c r="D235" s="154">
        <v>-1.3082916713212997E-4</v>
      </c>
      <c r="E235" s="154">
        <v>5.0874587878184309E-4</v>
      </c>
      <c r="F235" s="154">
        <v>-2.5437293939092159E-5</v>
      </c>
      <c r="G235" s="154">
        <v>1.3005202080832333E-3</v>
      </c>
      <c r="H235" s="154">
        <v>1.3005202080832333E-3</v>
      </c>
      <c r="I235" s="154">
        <v>1.4005602240896359E-3</v>
      </c>
      <c r="J235" s="154">
        <v>8.429798512959595E-4</v>
      </c>
      <c r="K235" s="154">
        <v>1.7847936304156639E-2</v>
      </c>
      <c r="L235" s="154">
        <v>0</v>
      </c>
      <c r="M235" s="154">
        <v>2.1096450290227417E-5</v>
      </c>
      <c r="N235" s="154">
        <v>2.3938287111257082E-2</v>
      </c>
      <c r="P235" s="197"/>
      <c r="Q235" s="154" t="s">
        <v>350</v>
      </c>
      <c r="R235" s="154">
        <v>2.1632138711235615E-3</v>
      </c>
      <c r="S235" s="154">
        <v>-1.0931217673919614E-4</v>
      </c>
      <c r="T235" s="154">
        <v>5.087458787818432E-4</v>
      </c>
      <c r="U235" s="154">
        <v>-2.5437293939092156E-5</v>
      </c>
      <c r="V235" s="154">
        <v>1.525610244097639E-3</v>
      </c>
      <c r="W235" s="154">
        <v>3.4736649752972778E-3</v>
      </c>
      <c r="X235" s="154">
        <v>1.6256502601040416E-3</v>
      </c>
      <c r="Y235" s="154">
        <v>3.7811888058906298E-3</v>
      </c>
      <c r="Z235" s="154">
        <v>2.7747547230981169E-2</v>
      </c>
      <c r="AA235" s="154">
        <v>2.3741216882122891E-4</v>
      </c>
      <c r="AB235" s="154">
        <v>6.3470132672722201E-5</v>
      </c>
    </row>
    <row r="236" spans="1:28" x14ac:dyDescent="0.25">
      <c r="A236" s="155"/>
      <c r="B236" s="154" t="s">
        <v>344</v>
      </c>
      <c r="C236" s="154">
        <v>1.0902430594344164E-3</v>
      </c>
      <c r="D236" s="154">
        <v>-1.6353645891516245E-4</v>
      </c>
      <c r="E236" s="154">
        <v>1.0174917575636864E-3</v>
      </c>
      <c r="F236" s="154">
        <v>-5.0874587878184312E-5</v>
      </c>
      <c r="G236" s="154">
        <v>1.5506202480992397E-3</v>
      </c>
      <c r="H236" s="154">
        <v>1.6256502601040416E-3</v>
      </c>
      <c r="I236" s="154">
        <v>1.6256502601040416E-3</v>
      </c>
      <c r="J236" s="154">
        <v>1.0537248141199494E-3</v>
      </c>
      <c r="K236" s="154">
        <v>1.6738814318908755E-2</v>
      </c>
      <c r="L236" s="154">
        <v>0</v>
      </c>
      <c r="M236" s="154">
        <v>2.6370562862784274E-5</v>
      </c>
      <c r="N236" s="154">
        <v>2.4514154234403569E-2</v>
      </c>
      <c r="P236" s="197"/>
      <c r="Q236" s="154" t="s">
        <v>330</v>
      </c>
      <c r="R236" s="154">
        <v>2.0678991054715748E-3</v>
      </c>
      <c r="S236" s="154">
        <v>-1.0354267188938173E-4</v>
      </c>
      <c r="T236" s="154">
        <v>3.4491498329926784E-4</v>
      </c>
      <c r="U236" s="154">
        <v>-3.4491498329926788E-5</v>
      </c>
      <c r="V236" s="154">
        <v>1.0654632223259673E-3</v>
      </c>
      <c r="W236" s="154">
        <v>2.9878618113912231E-4</v>
      </c>
      <c r="X236" s="154">
        <v>1.7869725535414797E-4</v>
      </c>
      <c r="Y236" s="154">
        <v>1.3060247322593066E-2</v>
      </c>
      <c r="Z236" s="154">
        <v>2.2806772205735022E-2</v>
      </c>
      <c r="AA236" s="154">
        <v>1.9107458000384783E-3</v>
      </c>
      <c r="AB236" s="154">
        <v>2.5815196033431064E-4</v>
      </c>
    </row>
    <row r="237" spans="1:28" x14ac:dyDescent="0.25">
      <c r="A237" s="155"/>
      <c r="B237" s="154" t="s">
        <v>353</v>
      </c>
      <c r="C237" s="154">
        <v>2.1696909640280381E-3</v>
      </c>
      <c r="D237" s="154">
        <v>-1.1028374067486764E-4</v>
      </c>
      <c r="E237" s="154">
        <v>7.6311881817276459E-4</v>
      </c>
      <c r="F237" s="154">
        <v>-3.8155940908638231E-5</v>
      </c>
      <c r="G237" s="154">
        <v>3.6264505802320927E-3</v>
      </c>
      <c r="H237" s="154">
        <v>3.235203975384487E-3</v>
      </c>
      <c r="I237" s="154">
        <v>4.0016006402561026E-3</v>
      </c>
      <c r="J237" s="154">
        <v>1.1195826150024461E-3</v>
      </c>
      <c r="K237" s="154">
        <v>1.2668347625040086E-2</v>
      </c>
      <c r="L237" s="154">
        <v>5.4702812928758213E-4</v>
      </c>
      <c r="M237" s="154">
        <v>2.8018723041708291E-5</v>
      </c>
      <c r="N237" s="154">
        <v>2.8010602388861803E-2</v>
      </c>
      <c r="P237" s="197"/>
      <c r="Q237" s="154" t="s">
        <v>332</v>
      </c>
      <c r="R237" s="154">
        <v>1.3444866658711308E-3</v>
      </c>
      <c r="S237" s="154">
        <v>-6.7337961459558828E-5</v>
      </c>
      <c r="T237" s="154">
        <v>3.4491498329926784E-4</v>
      </c>
      <c r="U237" s="154">
        <v>-3.4491498329926788E-5</v>
      </c>
      <c r="V237" s="154">
        <v>1.0654632223259673E-3</v>
      </c>
      <c r="W237" s="154">
        <v>4.305425874053325E-4</v>
      </c>
      <c r="X237" s="154">
        <v>1.7869725535414797E-4</v>
      </c>
      <c r="Y237" s="154">
        <v>2.6447470892304818E-2</v>
      </c>
      <c r="Z237" s="154">
        <v>3.9916854454536799E-2</v>
      </c>
      <c r="AA237" s="154">
        <v>1.2546964484978669E-3</v>
      </c>
      <c r="AB237" s="154">
        <v>3.3398562051778328E-4</v>
      </c>
    </row>
    <row r="238" spans="1:28" x14ac:dyDescent="0.25">
      <c r="A238" s="155"/>
      <c r="B238" s="154" t="s">
        <v>351</v>
      </c>
      <c r="C238" s="154">
        <v>7.6317014160409149E-4</v>
      </c>
      <c r="D238" s="154">
        <v>-1.1346797345547289E-4</v>
      </c>
      <c r="E238" s="154">
        <v>7.6311881817276459E-4</v>
      </c>
      <c r="F238" s="154">
        <v>-3.8155940908638231E-5</v>
      </c>
      <c r="G238" s="154">
        <v>3.6264505802320927E-3</v>
      </c>
      <c r="H238" s="154">
        <v>2.6260504201680674E-3</v>
      </c>
      <c r="I238" s="154">
        <v>4.0016006402561026E-3</v>
      </c>
      <c r="J238" s="154">
        <v>2.7715714285714288E-3</v>
      </c>
      <c r="K238" s="154">
        <v>1.2964876395476299E-2</v>
      </c>
      <c r="L238" s="154">
        <v>0</v>
      </c>
      <c r="M238" s="154">
        <v>7.4298751127533757E-4</v>
      </c>
      <c r="N238" s="154">
        <v>2.8108202021392074E-2</v>
      </c>
      <c r="P238" s="197"/>
      <c r="Q238" s="154" t="s">
        <v>365</v>
      </c>
      <c r="R238" s="154">
        <v>6.4495368251871292E-3</v>
      </c>
      <c r="S238" s="154">
        <v>-1.6030702191455165E-3</v>
      </c>
      <c r="T238" s="154">
        <v>1.552776665375814E-3</v>
      </c>
      <c r="U238" s="154">
        <v>-3.8819416634395349E-4</v>
      </c>
      <c r="V238" s="154">
        <v>2.6666666666666665E-2</v>
      </c>
      <c r="W238" s="154">
        <v>7.619047619047619E-3</v>
      </c>
      <c r="X238" s="154">
        <v>4.4000000000000003E-3</v>
      </c>
      <c r="Y238" s="154">
        <v>1.1573595723149675E-2</v>
      </c>
      <c r="Z238" s="154">
        <v>7.061358407215175E-2</v>
      </c>
      <c r="AA238" s="154">
        <v>0</v>
      </c>
      <c r="AB238" s="154">
        <v>3.1055649111335639E-3</v>
      </c>
    </row>
    <row r="239" spans="1:28" x14ac:dyDescent="0.25">
      <c r="A239" s="155"/>
      <c r="B239" s="154" t="s">
        <v>342</v>
      </c>
      <c r="C239" s="154">
        <v>2.1632138711235615E-3</v>
      </c>
      <c r="D239" s="154">
        <v>-1.0931217673919614E-4</v>
      </c>
      <c r="E239" s="154">
        <v>7.6311881817276459E-4</v>
      </c>
      <c r="F239" s="154">
        <v>-3.8155940908638231E-5</v>
      </c>
      <c r="G239" s="154">
        <v>1.6256502601040416E-3</v>
      </c>
      <c r="H239" s="154">
        <v>3.4736649752972778E-3</v>
      </c>
      <c r="I239" s="154">
        <v>1.7507002801120447E-3</v>
      </c>
      <c r="J239" s="154">
        <v>3.7811888058906298E-3</v>
      </c>
      <c r="K239" s="154">
        <v>1.4679005149837691E-2</v>
      </c>
      <c r="L239" s="154">
        <v>2.4636092559168071E-4</v>
      </c>
      <c r="M239" s="154">
        <v>6.3470132672722201E-5</v>
      </c>
      <c r="N239" s="154">
        <v>2.839890510115458E-2</v>
      </c>
      <c r="P239" s="197"/>
      <c r="Q239" s="154" t="s">
        <v>366</v>
      </c>
      <c r="R239" s="154">
        <v>2.3691681943378187E-2</v>
      </c>
      <c r="S239" s="154">
        <v>-3.6019223357858176E-3</v>
      </c>
      <c r="T239" s="154">
        <v>1.552776665375814E-3</v>
      </c>
      <c r="U239" s="154">
        <v>-3.8819416634395349E-4</v>
      </c>
      <c r="V239" s="154">
        <v>2.6666666666666665E-2</v>
      </c>
      <c r="W239" s="154">
        <v>5.7142857142857143E-3</v>
      </c>
      <c r="X239" s="154">
        <v>4.4000000000000003E-3</v>
      </c>
      <c r="Y239" s="154">
        <v>5.5397830482865063E-3</v>
      </c>
      <c r="Z239" s="154">
        <v>7.5707949094327057E-2</v>
      </c>
      <c r="AA239" s="154">
        <v>7.1132539649722548E-3</v>
      </c>
      <c r="AB239" s="154">
        <v>1.4049076735721778E-4</v>
      </c>
    </row>
    <row r="240" spans="1:28" x14ac:dyDescent="0.25">
      <c r="A240" s="155"/>
      <c r="B240" s="154" t="s">
        <v>337</v>
      </c>
      <c r="C240" s="154">
        <v>2.0676718491395704E-3</v>
      </c>
      <c r="D240" s="154">
        <v>-1.0351994625618128E-4</v>
      </c>
      <c r="E240" s="154">
        <v>6.8982996659853576E-5</v>
      </c>
      <c r="F240" s="154">
        <v>-6.8982996659853564E-6</v>
      </c>
      <c r="G240" s="154">
        <v>1.0654632223259673E-3</v>
      </c>
      <c r="H240" s="154">
        <v>2.9878618113912231E-4</v>
      </c>
      <c r="I240" s="154">
        <v>8.6011184229469056E-5</v>
      </c>
      <c r="J240" s="154">
        <v>1.1790342951953749E-2</v>
      </c>
      <c r="K240" s="154">
        <v>1.4934194212517798E-2</v>
      </c>
      <c r="L240" s="154">
        <v>1.3512273869737464E-3</v>
      </c>
      <c r="M240" s="154">
        <v>2.6311642110997044E-4</v>
      </c>
      <c r="N240" s="154">
        <v>3.1815378160127077E-2</v>
      </c>
      <c r="P240" s="197"/>
      <c r="Q240" s="154" t="s">
        <v>367</v>
      </c>
      <c r="R240" s="154">
        <v>2.3374265103106976E-2</v>
      </c>
      <c r="S240" s="154">
        <v>-3.5424872620014453E-3</v>
      </c>
      <c r="T240" s="154">
        <v>1.552776665375814E-3</v>
      </c>
      <c r="U240" s="154">
        <v>-3.8819416634395349E-4</v>
      </c>
      <c r="V240" s="154">
        <v>2.6666666666666665E-2</v>
      </c>
      <c r="W240" s="154">
        <v>9.7882661839723516E-3</v>
      </c>
      <c r="X240" s="154">
        <v>4.4000000000000003E-3</v>
      </c>
      <c r="Y240" s="154">
        <v>2.149698076693125E-2</v>
      </c>
      <c r="Z240" s="154">
        <v>9.9182556352221826E-2</v>
      </c>
      <c r="AA240" s="154">
        <v>4.409718611580335E-3</v>
      </c>
      <c r="AB240" s="154">
        <v>3.6418200964524684E-4</v>
      </c>
    </row>
    <row r="241" spans="1:28" x14ac:dyDescent="0.25">
      <c r="A241" s="155"/>
      <c r="B241" s="154" t="s">
        <v>328</v>
      </c>
      <c r="C241" s="154">
        <v>2.0676718491395704E-3</v>
      </c>
      <c r="D241" s="154">
        <v>-1.0351994625618128E-4</v>
      </c>
      <c r="E241" s="154">
        <v>6.8982996659853576E-5</v>
      </c>
      <c r="F241" s="154">
        <v>-6.8982996659853564E-6</v>
      </c>
      <c r="G241" s="154">
        <v>1.0654632223259673E-3</v>
      </c>
      <c r="H241" s="154">
        <v>2.9878618113912231E-4</v>
      </c>
      <c r="I241" s="154">
        <v>8.9502842587904882E-5</v>
      </c>
      <c r="J241" s="154">
        <v>1.1790342951953749E-2</v>
      </c>
      <c r="K241" s="154">
        <v>1.4937548943097472E-2</v>
      </c>
      <c r="L241" s="154">
        <v>1.3515309188396555E-3</v>
      </c>
      <c r="M241" s="154">
        <v>2.6311642110997044E-4</v>
      </c>
      <c r="N241" s="154">
        <v>3.1822528080931091E-2</v>
      </c>
      <c r="P241" s="197">
        <v>2034</v>
      </c>
      <c r="Q241" s="154" t="s">
        <v>379</v>
      </c>
      <c r="R241" s="154">
        <v>1.0347449498978036E-3</v>
      </c>
      <c r="S241" s="154">
        <v>-9.7956440009122124E-5</v>
      </c>
      <c r="T241" s="154">
        <v>3.4491498329926784E-4</v>
      </c>
      <c r="U241" s="154">
        <v>-3.4491498329926788E-5</v>
      </c>
      <c r="V241" s="154">
        <v>1.0654632223259673E-3</v>
      </c>
      <c r="W241" s="154">
        <v>4.305425874053325E-4</v>
      </c>
      <c r="X241" s="154">
        <v>1.7869725535414797E-4</v>
      </c>
      <c r="Y241" s="154">
        <v>2.1331638109345504E-3</v>
      </c>
      <c r="Z241" s="154">
        <v>9.9528851394415953E-3</v>
      </c>
      <c r="AA241" s="154">
        <v>0</v>
      </c>
      <c r="AB241" s="154">
        <v>2.3842549920408719E-3</v>
      </c>
    </row>
    <row r="242" spans="1:28" x14ac:dyDescent="0.25">
      <c r="A242" s="155"/>
      <c r="B242" s="154" t="s">
        <v>349</v>
      </c>
      <c r="C242" s="154">
        <v>2.1696909640280381E-3</v>
      </c>
      <c r="D242" s="154">
        <v>-1.1028374067486764E-4</v>
      </c>
      <c r="E242" s="154">
        <v>5.087458787818432E-4</v>
      </c>
      <c r="F242" s="154">
        <v>-2.5437293939092156E-5</v>
      </c>
      <c r="G242" s="154">
        <v>1.525610244097639E-3</v>
      </c>
      <c r="H242" s="154">
        <v>3.235203975384487E-3</v>
      </c>
      <c r="I242" s="154">
        <v>1.6256502601040416E-3</v>
      </c>
      <c r="J242" s="154">
        <v>1.1195826150024461E-3</v>
      </c>
      <c r="K242" s="154">
        <v>2.1521269454121909E-2</v>
      </c>
      <c r="L242" s="154">
        <v>3.7253124998190904E-4</v>
      </c>
      <c r="M242" s="154">
        <v>2.8018723041708291E-5</v>
      </c>
      <c r="N242" s="154">
        <v>3.197058232993006E-2</v>
      </c>
      <c r="P242" s="197"/>
      <c r="Q242" s="154" t="s">
        <v>375</v>
      </c>
      <c r="R242" s="154">
        <v>1.0347449498978036E-3</v>
      </c>
      <c r="S242" s="154">
        <v>-9.7956440009122124E-5</v>
      </c>
      <c r="T242" s="154">
        <v>3.4491498329926784E-4</v>
      </c>
      <c r="U242" s="154">
        <v>-3.4491498329926788E-5</v>
      </c>
      <c r="V242" s="154">
        <v>1.0654632223259673E-3</v>
      </c>
      <c r="W242" s="154">
        <v>4.305425874053325E-4</v>
      </c>
      <c r="X242" s="154">
        <v>1.7869725535414797E-4</v>
      </c>
      <c r="Y242" s="154">
        <v>4.076109192868568E-3</v>
      </c>
      <c r="Z242" s="154">
        <v>1.2367126663309516E-2</v>
      </c>
      <c r="AA242" s="154">
        <v>0</v>
      </c>
      <c r="AB242" s="154">
        <v>2.2625795316212503E-3</v>
      </c>
    </row>
    <row r="243" spans="1:28" x14ac:dyDescent="0.25">
      <c r="A243" s="155"/>
      <c r="B243" s="154" t="s">
        <v>347</v>
      </c>
      <c r="C243" s="154">
        <v>7.6317014160409149E-4</v>
      </c>
      <c r="D243" s="154">
        <v>-1.1346797345547289E-4</v>
      </c>
      <c r="E243" s="154">
        <v>5.087458787818432E-4</v>
      </c>
      <c r="F243" s="154">
        <v>-2.5437293939092156E-5</v>
      </c>
      <c r="G243" s="154">
        <v>1.525610244097639E-3</v>
      </c>
      <c r="H243" s="154">
        <v>2.6260504201680674E-3</v>
      </c>
      <c r="I243" s="154">
        <v>1.6256502601040416E-3</v>
      </c>
      <c r="J243" s="154">
        <v>2.7715714285714288E-3</v>
      </c>
      <c r="K243" s="154">
        <v>2.2260979810807893E-2</v>
      </c>
      <c r="L243" s="154">
        <v>0</v>
      </c>
      <c r="M243" s="154">
        <v>7.4298751127533757E-4</v>
      </c>
      <c r="N243" s="154">
        <v>3.2685860428015773E-2</v>
      </c>
      <c r="P243" s="197"/>
      <c r="Q243" s="154" t="s">
        <v>348</v>
      </c>
      <c r="R243" s="154">
        <v>1.0902430594344164E-3</v>
      </c>
      <c r="S243" s="154">
        <v>-1.6353645891516245E-4</v>
      </c>
      <c r="T243" s="154">
        <v>5.087458787818432E-4</v>
      </c>
      <c r="U243" s="154">
        <v>-2.5437293939092156E-5</v>
      </c>
      <c r="V243" s="154">
        <v>1.525610244097639E-3</v>
      </c>
      <c r="W243" s="154">
        <v>1.6256502601040416E-3</v>
      </c>
      <c r="X243" s="154">
        <v>1.6256502601040416E-3</v>
      </c>
      <c r="Y243" s="154">
        <v>9.5987899046131133E-4</v>
      </c>
      <c r="Z243" s="154">
        <v>1.5345239937027022E-2</v>
      </c>
      <c r="AA243" s="154">
        <v>0</v>
      </c>
      <c r="AB243" s="154">
        <v>2.360985412314249E-5</v>
      </c>
    </row>
    <row r="244" spans="1:28" x14ac:dyDescent="0.25">
      <c r="A244" s="155"/>
      <c r="B244" s="154" t="s">
        <v>357</v>
      </c>
      <c r="C244" s="154">
        <v>1.7357527712224307E-3</v>
      </c>
      <c r="D244" s="154">
        <v>-8.822699253989411E-5</v>
      </c>
      <c r="E244" s="154">
        <v>5.0874587878184309E-4</v>
      </c>
      <c r="F244" s="154">
        <v>-2.5437293939092159E-5</v>
      </c>
      <c r="G244" s="154">
        <v>1.3005202080832333E-3</v>
      </c>
      <c r="H244" s="154">
        <v>2.5881631803075897E-3</v>
      </c>
      <c r="I244" s="154">
        <v>1.4005602240896359E-3</v>
      </c>
      <c r="J244" s="154">
        <v>8.9566609200195687E-4</v>
      </c>
      <c r="K244" s="154">
        <v>2.4380628999740327E-2</v>
      </c>
      <c r="L244" s="154">
        <v>2.4505998190501796E-4</v>
      </c>
      <c r="M244" s="154">
        <v>2.2414978433366635E-5</v>
      </c>
      <c r="N244" s="154">
        <v>3.2963848028086419E-2</v>
      </c>
      <c r="P244" s="197"/>
      <c r="Q244" s="154" t="s">
        <v>349</v>
      </c>
      <c r="R244" s="154">
        <v>1.8209695944675583E-3</v>
      </c>
      <c r="S244" s="154">
        <v>-1.5096790045692366E-4</v>
      </c>
      <c r="T244" s="154">
        <v>5.087458787818432E-4</v>
      </c>
      <c r="U244" s="154">
        <v>-2.5437293939092156E-5</v>
      </c>
      <c r="V244" s="154">
        <v>1.525610244097639E-3</v>
      </c>
      <c r="W244" s="154">
        <v>2.7152291126929309E-3</v>
      </c>
      <c r="X244" s="154">
        <v>1.6256502601040416E-3</v>
      </c>
      <c r="Y244" s="154">
        <v>1.0198714273651432E-3</v>
      </c>
      <c r="Z244" s="154">
        <v>1.9370716684618969E-2</v>
      </c>
      <c r="AA244" s="154">
        <v>2.6126761215228105E-4</v>
      </c>
      <c r="AB244" s="154">
        <v>2.5085470005838896E-5</v>
      </c>
    </row>
    <row r="245" spans="1:28" x14ac:dyDescent="0.25">
      <c r="A245" s="155"/>
      <c r="B245" s="154" t="s">
        <v>354</v>
      </c>
      <c r="C245" s="154">
        <v>2.1632138711235615E-3</v>
      </c>
      <c r="D245" s="154">
        <v>-1.0931217673919614E-4</v>
      </c>
      <c r="E245" s="154">
        <v>7.6311881817276459E-4</v>
      </c>
      <c r="F245" s="154">
        <v>-3.8155940908638231E-5</v>
      </c>
      <c r="G245" s="154">
        <v>3.6264505802320927E-3</v>
      </c>
      <c r="H245" s="154">
        <v>3.4736649752972778E-3</v>
      </c>
      <c r="I245" s="154">
        <v>4.0016006402561026E-3</v>
      </c>
      <c r="J245" s="154">
        <v>3.7811888058906298E-3</v>
      </c>
      <c r="K245" s="154">
        <v>1.5164284685916136E-2</v>
      </c>
      <c r="L245" s="154">
        <v>3.2366457432390222E-4</v>
      </c>
      <c r="M245" s="154">
        <v>6.3470132672722201E-5</v>
      </c>
      <c r="N245" s="154">
        <v>3.3213188966237359E-2</v>
      </c>
      <c r="P245" s="197"/>
      <c r="Q245" s="154" t="s">
        <v>350</v>
      </c>
      <c r="R245" s="154">
        <v>1.6052596798267933E-3</v>
      </c>
      <c r="S245" s="154">
        <v>-1.1861141326080898E-4</v>
      </c>
      <c r="T245" s="154">
        <v>5.087458787818432E-4</v>
      </c>
      <c r="U245" s="154">
        <v>-2.5437293939092156E-5</v>
      </c>
      <c r="V245" s="154">
        <v>1.525610244097639E-3</v>
      </c>
      <c r="W245" s="154">
        <v>2.5777082888133671E-3</v>
      </c>
      <c r="X245" s="154">
        <v>1.6256502601040416E-3</v>
      </c>
      <c r="Y245" s="154">
        <v>2.7294594720870869E-3</v>
      </c>
      <c r="Z245" s="154">
        <v>2.2389181071705816E-2</v>
      </c>
      <c r="AA245" s="154">
        <v>1.9156518564026476E-4</v>
      </c>
      <c r="AB245" s="154">
        <v>5.6825505825447255E-5</v>
      </c>
    </row>
    <row r="246" spans="1:28" x14ac:dyDescent="0.25">
      <c r="A246" s="155"/>
      <c r="B246" s="154" t="s">
        <v>345</v>
      </c>
      <c r="C246" s="154">
        <v>2.1696909640280381E-3</v>
      </c>
      <c r="D246" s="154">
        <v>-1.1028374067486764E-4</v>
      </c>
      <c r="E246" s="154">
        <v>1.0174917575636864E-3</v>
      </c>
      <c r="F246" s="154">
        <v>-5.0874587878184312E-5</v>
      </c>
      <c r="G246" s="154">
        <v>1.5506202480992397E-3</v>
      </c>
      <c r="H246" s="154">
        <v>3.235203975384487E-3</v>
      </c>
      <c r="I246" s="154">
        <v>1.6256502601040416E-3</v>
      </c>
      <c r="J246" s="154">
        <v>1.1195826150024461E-3</v>
      </c>
      <c r="K246" s="154">
        <v>2.2709554954657294E-2</v>
      </c>
      <c r="L246" s="154">
        <v>3.9310036574868694E-4</v>
      </c>
      <c r="M246" s="154">
        <v>2.8018723041708291E-5</v>
      </c>
      <c r="N246" s="154">
        <v>3.3687755535076573E-2</v>
      </c>
      <c r="P246" s="197"/>
      <c r="Q246" s="154" t="s">
        <v>347</v>
      </c>
      <c r="R246" s="154">
        <v>7.6317014160409149E-4</v>
      </c>
      <c r="S246" s="154">
        <v>-8.0920645629828101E-5</v>
      </c>
      <c r="T246" s="154">
        <v>5.087458787818432E-4</v>
      </c>
      <c r="U246" s="154">
        <v>-2.5437293939092156E-5</v>
      </c>
      <c r="V246" s="154">
        <v>1.525610244097639E-3</v>
      </c>
      <c r="W246" s="154">
        <v>2.6260504201680674E-3</v>
      </c>
      <c r="X246" s="154">
        <v>1.6256502601040416E-3</v>
      </c>
      <c r="Y246" s="154">
        <v>2.7715714285714288E-3</v>
      </c>
      <c r="Z246" s="154">
        <v>2.2740204146944967E-2</v>
      </c>
      <c r="AA246" s="154">
        <v>0</v>
      </c>
      <c r="AB246" s="154">
        <v>9.3595751810243634E-4</v>
      </c>
    </row>
    <row r="247" spans="1:28" x14ac:dyDescent="0.25">
      <c r="A247" s="155"/>
      <c r="B247" s="154" t="s">
        <v>355</v>
      </c>
      <c r="C247" s="154">
        <v>6.1053611328327313E-4</v>
      </c>
      <c r="D247" s="154">
        <v>-9.0774378764378309E-5</v>
      </c>
      <c r="E247" s="154">
        <v>5.0874587878184309E-4</v>
      </c>
      <c r="F247" s="154">
        <v>-2.5437293939092159E-5</v>
      </c>
      <c r="G247" s="154">
        <v>1.3005202080832333E-3</v>
      </c>
      <c r="H247" s="154">
        <v>2.1008403361344541E-3</v>
      </c>
      <c r="I247" s="154">
        <v>1.4005602240896359E-3</v>
      </c>
      <c r="J247" s="154">
        <v>2.217257142857143E-3</v>
      </c>
      <c r="K247" s="154">
        <v>2.5189959154702641E-2</v>
      </c>
      <c r="L247" s="154">
        <v>0</v>
      </c>
      <c r="M247" s="154">
        <v>5.9439000902027008E-4</v>
      </c>
      <c r="N247" s="154">
        <v>3.3806597394249023E-2</v>
      </c>
      <c r="P247" s="197"/>
      <c r="Q247" s="154" t="s">
        <v>331</v>
      </c>
      <c r="R247" s="154">
        <v>1.9812010201050753E-3</v>
      </c>
      <c r="S247" s="154">
        <v>-1.0568171698204363E-4</v>
      </c>
      <c r="T247" s="154">
        <v>3.4491498329926784E-4</v>
      </c>
      <c r="U247" s="154">
        <v>-3.4491498329926788E-5</v>
      </c>
      <c r="V247" s="154">
        <v>1.0654632223259673E-3</v>
      </c>
      <c r="W247" s="154">
        <v>2.9878618113912231E-4</v>
      </c>
      <c r="X247" s="154">
        <v>1.7869725535414797E-4</v>
      </c>
      <c r="Y247" s="154">
        <v>1.1074472868176938E-2</v>
      </c>
      <c r="Z247" s="154">
        <v>2.0026772808245816E-2</v>
      </c>
      <c r="AA247" s="154">
        <v>1.2947163246812589E-3</v>
      </c>
      <c r="AB247" s="154">
        <v>2.3557101727914492E-4</v>
      </c>
    </row>
    <row r="248" spans="1:28" x14ac:dyDescent="0.25">
      <c r="A248" s="155"/>
      <c r="B248" s="154" t="s">
        <v>343</v>
      </c>
      <c r="C248" s="154">
        <v>7.6317014160409149E-4</v>
      </c>
      <c r="D248" s="154">
        <v>-1.1346797345547289E-4</v>
      </c>
      <c r="E248" s="154">
        <v>1.0174917575636864E-3</v>
      </c>
      <c r="F248" s="154">
        <v>-5.0874587878184312E-5</v>
      </c>
      <c r="G248" s="154">
        <v>1.5506202480992397E-3</v>
      </c>
      <c r="H248" s="154">
        <v>2.6260504201680674E-3</v>
      </c>
      <c r="I248" s="154">
        <v>1.6256502601040416E-3</v>
      </c>
      <c r="J248" s="154">
        <v>2.7715714285714288E-3</v>
      </c>
      <c r="K248" s="154">
        <v>2.3449265311343285E-2</v>
      </c>
      <c r="L248" s="154">
        <v>0</v>
      </c>
      <c r="M248" s="154">
        <v>7.4298751127533757E-4</v>
      </c>
      <c r="N248" s="154">
        <v>3.4382464517395517E-2</v>
      </c>
      <c r="P248" s="197"/>
      <c r="Q248" s="154" t="s">
        <v>330</v>
      </c>
      <c r="R248" s="154">
        <v>1.9922371300663917E-3</v>
      </c>
      <c r="S248" s="154">
        <v>-1.067853279781753E-4</v>
      </c>
      <c r="T248" s="154">
        <v>3.4491498329926784E-4</v>
      </c>
      <c r="U248" s="154">
        <v>-3.4491498329926788E-5</v>
      </c>
      <c r="V248" s="154">
        <v>1.0654632223259673E-3</v>
      </c>
      <c r="W248" s="154">
        <v>2.9878618113912231E-4</v>
      </c>
      <c r="X248" s="154">
        <v>1.7869725535414797E-4</v>
      </c>
      <c r="Y248" s="154">
        <v>1.2176327875562188E-2</v>
      </c>
      <c r="Z248" s="154">
        <v>2.1494645782664312E-2</v>
      </c>
      <c r="AA248" s="154">
        <v>1.7590940957229288E-3</v>
      </c>
      <c r="AB248" s="154">
        <v>2.3112628110406671E-4</v>
      </c>
    </row>
    <row r="249" spans="1:28" x14ac:dyDescent="0.25">
      <c r="A249" s="155"/>
      <c r="B249" s="154" t="s">
        <v>336</v>
      </c>
      <c r="C249" s="154">
        <v>2.0678991054715748E-3</v>
      </c>
      <c r="D249" s="154">
        <v>-1.0354267188938173E-4</v>
      </c>
      <c r="E249" s="154">
        <v>6.8982996659853576E-5</v>
      </c>
      <c r="F249" s="154">
        <v>-6.8982996659853564E-6</v>
      </c>
      <c r="G249" s="154">
        <v>1.0654632223259673E-3</v>
      </c>
      <c r="H249" s="154">
        <v>2.9878618113912231E-4</v>
      </c>
      <c r="I249" s="154">
        <v>8.6011184229469056E-5</v>
      </c>
      <c r="J249" s="154">
        <v>1.3060247322593066E-2</v>
      </c>
      <c r="K249" s="154">
        <v>1.6149725145607221E-2</v>
      </c>
      <c r="L249" s="154">
        <v>1.8667438119986494E-3</v>
      </c>
      <c r="M249" s="154">
        <v>2.5815196033431064E-4</v>
      </c>
      <c r="N249" s="154">
        <v>3.481156995880387E-2</v>
      </c>
      <c r="P249" s="197"/>
      <c r="Q249" s="154" t="s">
        <v>332</v>
      </c>
      <c r="R249" s="154">
        <v>1.3120601049831952E-3</v>
      </c>
      <c r="S249" s="154">
        <v>-7.1121060229817985E-5</v>
      </c>
      <c r="T249" s="154">
        <v>3.4491498329926784E-4</v>
      </c>
      <c r="U249" s="154">
        <v>-3.4491498329926788E-5</v>
      </c>
      <c r="V249" s="154">
        <v>1.0654632223259673E-3</v>
      </c>
      <c r="W249" s="154">
        <v>4.305425874053325E-4</v>
      </c>
      <c r="X249" s="154">
        <v>1.7869725535414797E-4</v>
      </c>
      <c r="Y249" s="154">
        <v>2.4202354741507264E-2</v>
      </c>
      <c r="Z249" s="154">
        <v>3.6846422938026986E-2</v>
      </c>
      <c r="AA249" s="154">
        <v>1.1581843467362296E-3</v>
      </c>
      <c r="AB249" s="154">
        <v>2.9902098869419172E-4</v>
      </c>
    </row>
    <row r="250" spans="1:28" x14ac:dyDescent="0.25">
      <c r="A250" s="155"/>
      <c r="B250" s="154" t="s">
        <v>327</v>
      </c>
      <c r="C250" s="154">
        <v>2.0678991054715748E-3</v>
      </c>
      <c r="D250" s="154">
        <v>-1.0354267188938173E-4</v>
      </c>
      <c r="E250" s="154">
        <v>6.8982996659853576E-5</v>
      </c>
      <c r="F250" s="154">
        <v>-6.8982996659853564E-6</v>
      </c>
      <c r="G250" s="154">
        <v>1.0654632223259673E-3</v>
      </c>
      <c r="H250" s="154">
        <v>2.9878618113912231E-4</v>
      </c>
      <c r="I250" s="154">
        <v>8.9502842587904882E-5</v>
      </c>
      <c r="J250" s="154">
        <v>1.3060247322593066E-2</v>
      </c>
      <c r="K250" s="154">
        <v>1.6153079876186895E-2</v>
      </c>
      <c r="L250" s="154">
        <v>1.8671315847002927E-3</v>
      </c>
      <c r="M250" s="154">
        <v>2.5815196033431064E-4</v>
      </c>
      <c r="N250" s="154">
        <v>3.4818804120443622E-2</v>
      </c>
      <c r="P250" s="197"/>
      <c r="Q250" s="154" t="s">
        <v>366</v>
      </c>
      <c r="R250" s="154">
        <v>1.2195666695447615E-2</v>
      </c>
      <c r="S250" s="154">
        <v>-2.5312150332824808E-3</v>
      </c>
      <c r="T250" s="154">
        <v>1.552776665375814E-3</v>
      </c>
      <c r="U250" s="154">
        <v>-3.8819416634395349E-4</v>
      </c>
      <c r="V250" s="154">
        <v>2.6666666666666665E-2</v>
      </c>
      <c r="W250" s="154">
        <v>5.7142857142857143E-3</v>
      </c>
      <c r="X250" s="154">
        <v>4.4000000000000003E-3</v>
      </c>
      <c r="Y250" s="154">
        <v>4.13162426244334E-3</v>
      </c>
      <c r="Z250" s="154">
        <v>6.1799222420589786E-2</v>
      </c>
      <c r="AA250" s="154">
        <v>4.4545939822651093E-3</v>
      </c>
      <c r="AB250" s="154">
        <v>1.2578292470326314E-4</v>
      </c>
    </row>
    <row r="251" spans="1:28" x14ac:dyDescent="0.25">
      <c r="A251" s="155"/>
      <c r="B251" s="154" t="s">
        <v>331</v>
      </c>
      <c r="C251" s="154">
        <v>2.0676718491395704E-3</v>
      </c>
      <c r="D251" s="154">
        <v>-1.0351994625618128E-4</v>
      </c>
      <c r="E251" s="154">
        <v>3.4491498329926784E-4</v>
      </c>
      <c r="F251" s="154">
        <v>-3.4491498329926788E-5</v>
      </c>
      <c r="G251" s="154">
        <v>1.0654632223259673E-3</v>
      </c>
      <c r="H251" s="154">
        <v>2.9878618113912231E-4</v>
      </c>
      <c r="I251" s="154">
        <v>1.7869725535414797E-4</v>
      </c>
      <c r="J251" s="154">
        <v>1.1790342951953749E-2</v>
      </c>
      <c r="K251" s="154">
        <v>2.1129720272896415E-2</v>
      </c>
      <c r="L251" s="154">
        <v>1.3856702589881906E-3</v>
      </c>
      <c r="M251" s="154">
        <v>2.6311642110997044E-4</v>
      </c>
      <c r="N251" s="154">
        <v>3.8386371951620285E-2</v>
      </c>
      <c r="P251" s="197"/>
      <c r="Q251" s="154" t="s">
        <v>365</v>
      </c>
      <c r="R251" s="154">
        <v>6.7111667881585542E-3</v>
      </c>
      <c r="S251" s="154">
        <v>-1.3676032524712327E-3</v>
      </c>
      <c r="T251" s="154">
        <v>1.552776665375814E-3</v>
      </c>
      <c r="U251" s="154">
        <v>-3.8819416634395349E-4</v>
      </c>
      <c r="V251" s="154">
        <v>2.6666666666666665E-2</v>
      </c>
      <c r="W251" s="154">
        <v>7.619047619047619E-3</v>
      </c>
      <c r="X251" s="154">
        <v>4.4000000000000003E-3</v>
      </c>
      <c r="Y251" s="154">
        <v>1.0720644957616992E-2</v>
      </c>
      <c r="Z251" s="154">
        <v>7.091509669714792E-2</v>
      </c>
      <c r="AA251" s="154">
        <v>0</v>
      </c>
      <c r="AB251" s="154">
        <v>3.7182628349802355E-3</v>
      </c>
    </row>
    <row r="252" spans="1:28" x14ac:dyDescent="0.25">
      <c r="A252" s="155"/>
      <c r="B252" s="154" t="s">
        <v>350</v>
      </c>
      <c r="C252" s="154">
        <v>2.1632138711235615E-3</v>
      </c>
      <c r="D252" s="154">
        <v>-1.0931217673919614E-4</v>
      </c>
      <c r="E252" s="154">
        <v>5.087458787818432E-4</v>
      </c>
      <c r="F252" s="154">
        <v>-2.5437293939092156E-5</v>
      </c>
      <c r="G252" s="154">
        <v>1.525610244097639E-3</v>
      </c>
      <c r="H252" s="154">
        <v>3.4736649752972778E-3</v>
      </c>
      <c r="I252" s="154">
        <v>1.6256502601040416E-3</v>
      </c>
      <c r="J252" s="154">
        <v>3.7811888058906298E-3</v>
      </c>
      <c r="K252" s="154">
        <v>2.7747547230981169E-2</v>
      </c>
      <c r="L252" s="154">
        <v>2.3741216882122891E-4</v>
      </c>
      <c r="M252" s="154">
        <v>6.3470132672722201E-5</v>
      </c>
      <c r="N252" s="154">
        <v>4.0991754097091826E-2</v>
      </c>
      <c r="P252" s="197"/>
      <c r="Q252" s="154" t="s">
        <v>367</v>
      </c>
      <c r="R252" s="154">
        <v>1.3602217096595365E-2</v>
      </c>
      <c r="S252" s="154">
        <v>-2.721219397624406E-3</v>
      </c>
      <c r="T252" s="154">
        <v>1.552776665375814E-3</v>
      </c>
      <c r="U252" s="154">
        <v>-3.8819416634395349E-4</v>
      </c>
      <c r="V252" s="154">
        <v>2.6666666666666665E-2</v>
      </c>
      <c r="W252" s="154">
        <v>7.7224822441822839E-3</v>
      </c>
      <c r="X252" s="154">
        <v>4.4000000000000003E-3</v>
      </c>
      <c r="Y252" s="154">
        <v>1.3279381505411613E-2</v>
      </c>
      <c r="Z252" s="154">
        <v>7.6558564675540813E-2</v>
      </c>
      <c r="AA252" s="154">
        <v>2.4923424709268893E-3</v>
      </c>
      <c r="AB252" s="154">
        <v>3.2605614702792577E-4</v>
      </c>
    </row>
    <row r="253" spans="1:28" x14ac:dyDescent="0.25">
      <c r="A253" s="155"/>
      <c r="B253" s="154" t="s">
        <v>334</v>
      </c>
      <c r="C253" s="154">
        <v>2.0676718491395704E-3</v>
      </c>
      <c r="D253" s="154">
        <v>-1.0351994625618128E-4</v>
      </c>
      <c r="E253" s="154">
        <v>6.8982996659853576E-5</v>
      </c>
      <c r="F253" s="154">
        <v>-6.8982996659853564E-6</v>
      </c>
      <c r="G253" s="154">
        <v>1.0654632223259673E-3</v>
      </c>
      <c r="H253" s="154">
        <v>2.9878618113912231E-4</v>
      </c>
      <c r="I253" s="154">
        <v>8.6011184229469056E-5</v>
      </c>
      <c r="J253" s="154">
        <v>1.1790342951953749E-2</v>
      </c>
      <c r="K253" s="154">
        <v>2.4312024173282508E-2</v>
      </c>
      <c r="L253" s="154">
        <v>1.3512273869737464E-3</v>
      </c>
      <c r="M253" s="154">
        <v>2.6311642110997044E-4</v>
      </c>
      <c r="N253" s="154">
        <v>4.1193208120891792E-2</v>
      </c>
      <c r="P253" s="197">
        <v>2050</v>
      </c>
      <c r="Q253" s="154" t="s">
        <v>330</v>
      </c>
      <c r="R253" s="154">
        <v>1.3569040676564852E-3</v>
      </c>
      <c r="S253" s="154">
        <v>-1.3401388779574273E-4</v>
      </c>
      <c r="T253" s="154">
        <v>3.4491498329926784E-4</v>
      </c>
      <c r="U253" s="154">
        <v>-3.4491498329926788E-5</v>
      </c>
      <c r="V253" s="154">
        <v>1.0654632223259673E-3</v>
      </c>
      <c r="W253" s="154">
        <v>2.9878618113912231E-4</v>
      </c>
      <c r="X253" s="154">
        <v>1.7869725535414797E-4</v>
      </c>
      <c r="Y253" s="154">
        <v>5.4701451293849941E-3</v>
      </c>
      <c r="Z253" s="154">
        <v>1.1425955277411116E-2</v>
      </c>
      <c r="AA253" s="154">
        <v>7.528298969710686E-4</v>
      </c>
      <c r="AB253" s="154">
        <v>4.1918473001819709E-6</v>
      </c>
    </row>
    <row r="254" spans="1:28" x14ac:dyDescent="0.25">
      <c r="A254" s="155"/>
      <c r="B254" s="154" t="s">
        <v>330</v>
      </c>
      <c r="C254" s="154">
        <v>2.0678991054715748E-3</v>
      </c>
      <c r="D254" s="154">
        <v>-1.0354267188938173E-4</v>
      </c>
      <c r="E254" s="154">
        <v>3.4491498329926784E-4</v>
      </c>
      <c r="F254" s="154">
        <v>-3.4491498329926788E-5</v>
      </c>
      <c r="G254" s="154">
        <v>1.0654632223259673E-3</v>
      </c>
      <c r="H254" s="154">
        <v>2.9878618113912231E-4</v>
      </c>
      <c r="I254" s="154">
        <v>1.7869725535414797E-4</v>
      </c>
      <c r="J254" s="154">
        <v>1.3060247322593066E-2</v>
      </c>
      <c r="K254" s="154">
        <v>2.2806772205735022E-2</v>
      </c>
      <c r="L254" s="154">
        <v>1.9107458000384783E-3</v>
      </c>
      <c r="M254" s="154">
        <v>2.5815196033431064E-4</v>
      </c>
      <c r="N254" s="154">
        <v>4.1853643866071648E-2</v>
      </c>
      <c r="P254" s="197"/>
      <c r="Q254" s="154" t="s">
        <v>331</v>
      </c>
      <c r="R254" s="154">
        <v>1.2551060916366106E-3</v>
      </c>
      <c r="S254" s="154">
        <v>-1.2383409019375524E-4</v>
      </c>
      <c r="T254" s="154">
        <v>3.4491498329926784E-4</v>
      </c>
      <c r="U254" s="154">
        <v>-3.4491498329926788E-5</v>
      </c>
      <c r="V254" s="154">
        <v>1.0654632223259673E-3</v>
      </c>
      <c r="W254" s="154">
        <v>2.9878618113912231E-4</v>
      </c>
      <c r="X254" s="154">
        <v>1.7869725535414797E-4</v>
      </c>
      <c r="Y254" s="154">
        <v>5.6283132239921011E-3</v>
      </c>
      <c r="Z254" s="154">
        <v>1.151427946653498E-2</v>
      </c>
      <c r="AA254" s="154">
        <v>6.5542829345874992E-4</v>
      </c>
      <c r="AB254" s="154">
        <v>4.2724597482624145E-6</v>
      </c>
    </row>
    <row r="255" spans="1:28" x14ac:dyDescent="0.25">
      <c r="A255" s="155"/>
      <c r="B255" s="154" t="s">
        <v>358</v>
      </c>
      <c r="C255" s="154">
        <v>1.7305710968988492E-3</v>
      </c>
      <c r="D255" s="154">
        <v>-8.7449741391356912E-5</v>
      </c>
      <c r="E255" s="154">
        <v>5.0874587878184309E-4</v>
      </c>
      <c r="F255" s="154">
        <v>-2.5437293939092159E-5</v>
      </c>
      <c r="G255" s="154">
        <v>1.3005202080832333E-3</v>
      </c>
      <c r="H255" s="154">
        <v>2.7789319802378224E-3</v>
      </c>
      <c r="I255" s="154">
        <v>1.4005602240896359E-3</v>
      </c>
      <c r="J255" s="154">
        <v>3.0249510447125042E-3</v>
      </c>
      <c r="K255" s="154">
        <v>3.1192909390892233E-2</v>
      </c>
      <c r="L255" s="154">
        <v>1.5555136364477952E-4</v>
      </c>
      <c r="M255" s="154">
        <v>5.0776106138177758E-5</v>
      </c>
      <c r="N255" s="154">
        <v>4.2030630258148627E-2</v>
      </c>
      <c r="P255" s="197"/>
      <c r="Q255" s="154" t="s">
        <v>348</v>
      </c>
      <c r="R255" s="154">
        <v>1.0902430594344164E-3</v>
      </c>
      <c r="S255" s="154">
        <v>-1.6353645891516245E-4</v>
      </c>
      <c r="T255" s="154">
        <v>5.087458787818432E-4</v>
      </c>
      <c r="U255" s="154">
        <v>-2.5437293939092156E-5</v>
      </c>
      <c r="V255" s="154">
        <v>1.525610244097639E-3</v>
      </c>
      <c r="W255" s="154">
        <v>1.6256502601040416E-3</v>
      </c>
      <c r="X255" s="154">
        <v>1.6256502601040416E-3</v>
      </c>
      <c r="Y255" s="154">
        <v>8.3706989059071399E-4</v>
      </c>
      <c r="Z255" s="154">
        <v>1.5035009590579808E-2</v>
      </c>
      <c r="AA255" s="154">
        <v>0</v>
      </c>
      <c r="AB255" s="154">
        <v>4.2820272446309834E-7</v>
      </c>
    </row>
    <row r="256" spans="1:28" x14ac:dyDescent="0.25">
      <c r="A256" s="155"/>
      <c r="B256" s="154" t="s">
        <v>346</v>
      </c>
      <c r="C256" s="154">
        <v>2.1632138711235615E-3</v>
      </c>
      <c r="D256" s="154">
        <v>-1.0931217673919614E-4</v>
      </c>
      <c r="E256" s="154">
        <v>1.0174917575636864E-3</v>
      </c>
      <c r="F256" s="154">
        <v>-5.0874587878184312E-5</v>
      </c>
      <c r="G256" s="154">
        <v>1.5506202480992397E-3</v>
      </c>
      <c r="H256" s="154">
        <v>3.4736649752972778E-3</v>
      </c>
      <c r="I256" s="154">
        <v>1.6256502601040416E-3</v>
      </c>
      <c r="J256" s="154">
        <v>3.7811888058906298E-3</v>
      </c>
      <c r="K256" s="154">
        <v>2.8935832731516557E-2</v>
      </c>
      <c r="L256" s="154">
        <v>2.475793174889114E-4</v>
      </c>
      <c r="M256" s="154">
        <v>6.3470132672722201E-5</v>
      </c>
      <c r="N256" s="154">
        <v>4.2698525335139244E-2</v>
      </c>
      <c r="P256" s="197"/>
      <c r="Q256" s="154" t="s">
        <v>332</v>
      </c>
      <c r="R256" s="154">
        <v>1.0397745068075209E-3</v>
      </c>
      <c r="S256" s="154">
        <v>-1.0288771335031333E-4</v>
      </c>
      <c r="T256" s="154">
        <v>3.4491498329926784E-4</v>
      </c>
      <c r="U256" s="154">
        <v>-3.4491498329926788E-5</v>
      </c>
      <c r="V256" s="154">
        <v>1.0654632223259673E-3</v>
      </c>
      <c r="W256" s="154">
        <v>4.305425874053325E-4</v>
      </c>
      <c r="X256" s="154">
        <v>1.7869725535414797E-4</v>
      </c>
      <c r="Y256" s="154">
        <v>6.5837900060073855E-3</v>
      </c>
      <c r="Z256" s="154">
        <v>1.2699347573956049E-2</v>
      </c>
      <c r="AA256" s="154">
        <v>3.9917539888897034E-4</v>
      </c>
      <c r="AB256" s="154">
        <v>5.4232271560286516E-6</v>
      </c>
    </row>
    <row r="257" spans="1:28" x14ac:dyDescent="0.25">
      <c r="A257" s="155"/>
      <c r="B257" s="154" t="s">
        <v>333</v>
      </c>
      <c r="C257" s="154">
        <v>2.0678991054715748E-3</v>
      </c>
      <c r="D257" s="154">
        <v>-1.0354267188938173E-4</v>
      </c>
      <c r="E257" s="154">
        <v>6.8982996659853576E-5</v>
      </c>
      <c r="F257" s="154">
        <v>-6.8982996659853564E-6</v>
      </c>
      <c r="G257" s="154">
        <v>1.0654632223259673E-3</v>
      </c>
      <c r="H257" s="154">
        <v>2.9878618113912231E-4</v>
      </c>
      <c r="I257" s="154">
        <v>8.6011184229469056E-5</v>
      </c>
      <c r="J257" s="154">
        <v>1.3060247322593066E-2</v>
      </c>
      <c r="K257" s="154">
        <v>2.6290839836726355E-2</v>
      </c>
      <c r="L257" s="154">
        <v>1.8667438119986494E-3</v>
      </c>
      <c r="M257" s="154">
        <v>2.5815196033431064E-4</v>
      </c>
      <c r="N257" s="154">
        <v>4.4952684649922997E-2</v>
      </c>
      <c r="P257" s="197"/>
      <c r="Q257" s="154" t="s">
        <v>350</v>
      </c>
      <c r="R257" s="154">
        <v>8.7510622887057403E-4</v>
      </c>
      <c r="S257" s="154">
        <v>-1.3078063744341263E-4</v>
      </c>
      <c r="T257" s="154">
        <v>5.087458787818432E-4</v>
      </c>
      <c r="U257" s="154">
        <v>-2.5437293939092156E-5</v>
      </c>
      <c r="V257" s="154">
        <v>1.525610244097639E-3</v>
      </c>
      <c r="W257" s="154">
        <v>1.4052359304229719E-3</v>
      </c>
      <c r="X257" s="154">
        <v>1.6256502601040416E-3</v>
      </c>
      <c r="Y257" s="154">
        <v>1.5238870080703825E-3</v>
      </c>
      <c r="Z257" s="154">
        <v>1.5639836011412018E-2</v>
      </c>
      <c r="AA257" s="154">
        <v>1.3381677870726895E-4</v>
      </c>
      <c r="AB257" s="154">
        <v>1.0306220566436748E-6</v>
      </c>
    </row>
    <row r="258" spans="1:28" x14ac:dyDescent="0.25">
      <c r="A258" s="155"/>
      <c r="B258" s="154" t="s">
        <v>338</v>
      </c>
      <c r="C258" s="154">
        <v>1.3444866658711308E-3</v>
      </c>
      <c r="D258" s="154">
        <v>-6.7337961459558828E-5</v>
      </c>
      <c r="E258" s="154">
        <v>6.8982996659853576E-5</v>
      </c>
      <c r="F258" s="154">
        <v>-6.8982996659853564E-6</v>
      </c>
      <c r="G258" s="154">
        <v>1.0654632223259673E-3</v>
      </c>
      <c r="H258" s="154">
        <v>4.305425874053325E-4</v>
      </c>
      <c r="I258" s="154">
        <v>8.6011184229469056E-5</v>
      </c>
      <c r="J258" s="154">
        <v>2.6447470892304818E-2</v>
      </c>
      <c r="K258" s="154">
        <v>2.8551150428794473E-2</v>
      </c>
      <c r="L258" s="154">
        <v>1.2381876461467003E-3</v>
      </c>
      <c r="M258" s="154">
        <v>3.3398562051778328E-4</v>
      </c>
      <c r="N258" s="154">
        <v>5.9492044983129981E-2</v>
      </c>
      <c r="P258" s="197"/>
      <c r="Q258" s="154" t="s">
        <v>349</v>
      </c>
      <c r="R258" s="154">
        <v>1.364623687619921E-3</v>
      </c>
      <c r="S258" s="154">
        <v>-2.0420825625581466E-4</v>
      </c>
      <c r="T258" s="154">
        <v>5.087458787818432E-4</v>
      </c>
      <c r="U258" s="154">
        <v>-2.5437293939092156E-5</v>
      </c>
      <c r="V258" s="154">
        <v>1.525610244097639E-3</v>
      </c>
      <c r="W258" s="154">
        <v>2.0347764046985059E-3</v>
      </c>
      <c r="X258" s="154">
        <v>1.6256502601040416E-3</v>
      </c>
      <c r="Y258" s="154">
        <v>8.8938675875263335E-4</v>
      </c>
      <c r="Z258" s="154">
        <v>1.651226412890678E-2</v>
      </c>
      <c r="AA258" s="154">
        <v>1.4160157538674681E-4</v>
      </c>
      <c r="AB258" s="154">
        <v>4.5496539474204176E-7</v>
      </c>
    </row>
    <row r="259" spans="1:28" x14ac:dyDescent="0.25">
      <c r="A259" s="155"/>
      <c r="B259" s="154" t="s">
        <v>329</v>
      </c>
      <c r="C259" s="154">
        <v>1.3444866658711308E-3</v>
      </c>
      <c r="D259" s="154">
        <v>-6.7337961459558828E-5</v>
      </c>
      <c r="E259" s="154">
        <v>6.8982996659853576E-5</v>
      </c>
      <c r="F259" s="154">
        <v>-6.8982996659853564E-6</v>
      </c>
      <c r="G259" s="154">
        <v>1.0654632223259673E-3</v>
      </c>
      <c r="H259" s="154">
        <v>4.305425874053325E-4</v>
      </c>
      <c r="I259" s="154">
        <v>8.9502842587904882E-5</v>
      </c>
      <c r="J259" s="154">
        <v>2.6447470892304818E-2</v>
      </c>
      <c r="K259" s="154">
        <v>2.855450515937415E-2</v>
      </c>
      <c r="L259" s="154">
        <v>1.2383331319116356E-3</v>
      </c>
      <c r="M259" s="154">
        <v>3.3398562051778328E-4</v>
      </c>
      <c r="N259" s="154">
        <v>5.9499036857833032E-2</v>
      </c>
      <c r="P259" s="197"/>
      <c r="Q259" s="154" t="s">
        <v>379</v>
      </c>
      <c r="R259" s="154">
        <v>1.0347449498978036E-3</v>
      </c>
      <c r="S259" s="154">
        <v>-5.2575506979843073E-5</v>
      </c>
      <c r="T259" s="154">
        <v>3.4491498329926784E-4</v>
      </c>
      <c r="U259" s="154">
        <v>-3.4491498329926788E-5</v>
      </c>
      <c r="V259" s="154">
        <v>1.0654632223259673E-3</v>
      </c>
      <c r="W259" s="154">
        <v>4.305425874053325E-4</v>
      </c>
      <c r="X259" s="154">
        <v>1.7869725535414797E-4</v>
      </c>
      <c r="Y259" s="154">
        <v>1.9961810868829068E-3</v>
      </c>
      <c r="Z259" s="154">
        <v>1.4854151667962478E-2</v>
      </c>
      <c r="AA259" s="154">
        <v>0</v>
      </c>
      <c r="AB259" s="154">
        <v>6.1733034624737292E-3</v>
      </c>
    </row>
    <row r="260" spans="1:28" x14ac:dyDescent="0.25">
      <c r="A260" s="155"/>
      <c r="B260" s="154" t="s">
        <v>332</v>
      </c>
      <c r="C260" s="154">
        <v>1.3444866658711308E-3</v>
      </c>
      <c r="D260" s="154">
        <v>-6.7337961459558828E-5</v>
      </c>
      <c r="E260" s="154">
        <v>3.4491498329926784E-4</v>
      </c>
      <c r="F260" s="154">
        <v>-3.4491498329926788E-5</v>
      </c>
      <c r="G260" s="154">
        <v>1.0654632223259673E-3</v>
      </c>
      <c r="H260" s="154">
        <v>4.305425874053325E-4</v>
      </c>
      <c r="I260" s="154">
        <v>1.7869725535414797E-4</v>
      </c>
      <c r="J260" s="154">
        <v>2.6447470892304818E-2</v>
      </c>
      <c r="K260" s="154">
        <v>3.9916854454536799E-2</v>
      </c>
      <c r="L260" s="154">
        <v>1.2546964484978669E-3</v>
      </c>
      <c r="M260" s="154">
        <v>3.3398562051778328E-4</v>
      </c>
      <c r="N260" s="154">
        <v>7.1215282670323621E-2</v>
      </c>
      <c r="P260" s="197"/>
      <c r="Q260" s="154" t="s">
        <v>375</v>
      </c>
      <c r="R260" s="154">
        <v>1.0347449498978036E-3</v>
      </c>
      <c r="S260" s="154">
        <v>-5.2575506979843073E-5</v>
      </c>
      <c r="T260" s="154">
        <v>3.4491498329926784E-4</v>
      </c>
      <c r="U260" s="154">
        <v>-3.4491498329926788E-5</v>
      </c>
      <c r="V260" s="154">
        <v>1.0654632223259673E-3</v>
      </c>
      <c r="W260" s="154">
        <v>4.305425874053325E-4</v>
      </c>
      <c r="X260" s="154">
        <v>1.7869725535414797E-4</v>
      </c>
      <c r="Y260" s="154">
        <v>3.8143587647444083E-3</v>
      </c>
      <c r="Z260" s="154">
        <v>1.6846680868769288E-2</v>
      </c>
      <c r="AA260" s="154">
        <v>0</v>
      </c>
      <c r="AB260" s="154">
        <v>5.8582618483787648E-3</v>
      </c>
    </row>
    <row r="261" spans="1:28" x14ac:dyDescent="0.25">
      <c r="A261" s="155"/>
      <c r="B261" s="154" t="s">
        <v>335</v>
      </c>
      <c r="C261" s="154">
        <v>1.3444866658711308E-3</v>
      </c>
      <c r="D261" s="154">
        <v>-6.7337961459558828E-5</v>
      </c>
      <c r="E261" s="154">
        <v>6.8982996659853576E-5</v>
      </c>
      <c r="F261" s="154">
        <v>-6.8982996659853564E-6</v>
      </c>
      <c r="G261" s="154">
        <v>1.0654632223259673E-3</v>
      </c>
      <c r="H261" s="154">
        <v>4.305425874053325E-4</v>
      </c>
      <c r="I261" s="154">
        <v>8.6011184229469056E-5</v>
      </c>
      <c r="J261" s="154">
        <v>2.6447470892304818E-2</v>
      </c>
      <c r="K261" s="154">
        <v>4.6479659332276088E-2</v>
      </c>
      <c r="L261" s="154">
        <v>1.2381876461467003E-3</v>
      </c>
      <c r="M261" s="154">
        <v>3.3398562051778328E-4</v>
      </c>
      <c r="N261" s="154">
        <v>7.7420553886611593E-2</v>
      </c>
      <c r="P261" s="197"/>
      <c r="Q261" s="154" t="s">
        <v>347</v>
      </c>
      <c r="R261" s="154">
        <v>7.6317014160409149E-4</v>
      </c>
      <c r="S261" s="154">
        <v>-3.832836099071531E-5</v>
      </c>
      <c r="T261" s="154">
        <v>5.087458787818432E-4</v>
      </c>
      <c r="U261" s="154">
        <v>-2.5437293939092156E-5</v>
      </c>
      <c r="V261" s="154">
        <v>1.525610244097639E-3</v>
      </c>
      <c r="W261" s="154">
        <v>2.6260504201680674E-3</v>
      </c>
      <c r="X261" s="154">
        <v>1.6256502601040416E-3</v>
      </c>
      <c r="Y261" s="154">
        <v>2.7715714285714288E-3</v>
      </c>
      <c r="Z261" s="154">
        <v>2.6273994235799812E-2</v>
      </c>
      <c r="AA261" s="154">
        <v>0</v>
      </c>
      <c r="AB261" s="154">
        <v>2.5563252752773664E-3</v>
      </c>
    </row>
    <row r="262" spans="1:28" x14ac:dyDescent="0.25">
      <c r="A262" s="155"/>
      <c r="B262" s="154" t="s">
        <v>362</v>
      </c>
      <c r="C262" s="154">
        <v>6.1563760604058963E-3</v>
      </c>
      <c r="D262" s="154">
        <v>-1.5302033910025385E-3</v>
      </c>
      <c r="E262" s="154">
        <v>2.964391815717463E-3</v>
      </c>
      <c r="F262" s="154">
        <v>-7.4109795392936575E-4</v>
      </c>
      <c r="G262" s="154">
        <v>2.5454545454545455E-2</v>
      </c>
      <c r="H262" s="154">
        <v>7.2727272727272727E-3</v>
      </c>
      <c r="I262" s="154">
        <v>4.4000000000000003E-3</v>
      </c>
      <c r="J262" s="154">
        <v>1.1573595723149675E-2</v>
      </c>
      <c r="K262" s="154">
        <v>6.5149603783989984E-2</v>
      </c>
      <c r="L262" s="154">
        <v>0</v>
      </c>
      <c r="M262" s="154">
        <v>3.105564911133563E-3</v>
      </c>
      <c r="N262" s="154">
        <v>0.1238055036767374</v>
      </c>
      <c r="P262" s="197"/>
      <c r="Q262" s="154" t="s">
        <v>366</v>
      </c>
      <c r="R262" s="154">
        <v>8.9023613155393838E-3</v>
      </c>
      <c r="S262" s="154">
        <v>-2.2244856106439686E-3</v>
      </c>
      <c r="T262" s="154">
        <v>1.552776665375814E-3</v>
      </c>
      <c r="U262" s="154">
        <v>-3.8819416634395349E-4</v>
      </c>
      <c r="V262" s="154">
        <v>2.6666666666666665E-2</v>
      </c>
      <c r="W262" s="154">
        <v>5.7142857142857143E-3</v>
      </c>
      <c r="X262" s="154">
        <v>4.4000000000000003E-3</v>
      </c>
      <c r="Y262" s="154">
        <v>3.3744831090442877E-3</v>
      </c>
      <c r="Z262" s="154">
        <v>5.7259443876853541E-2</v>
      </c>
      <c r="AA262" s="154">
        <v>2.5732025895309971E-3</v>
      </c>
      <c r="AB262" s="154">
        <v>2.2812758930212777E-6</v>
      </c>
    </row>
    <row r="263" spans="1:28" x14ac:dyDescent="0.25">
      <c r="A263" s="155"/>
      <c r="B263" s="154" t="s">
        <v>365</v>
      </c>
      <c r="C263" s="154">
        <v>6.4495368251871292E-3</v>
      </c>
      <c r="D263" s="154">
        <v>-1.6030702191455165E-3</v>
      </c>
      <c r="E263" s="154">
        <v>1.552776665375814E-3</v>
      </c>
      <c r="F263" s="154">
        <v>-3.8819416634395349E-4</v>
      </c>
      <c r="G263" s="154">
        <v>2.6666666666666665E-2</v>
      </c>
      <c r="H263" s="154">
        <v>7.619047619047619E-3</v>
      </c>
      <c r="I263" s="154">
        <v>4.4000000000000003E-3</v>
      </c>
      <c r="J263" s="154">
        <v>1.1573595723149675E-2</v>
      </c>
      <c r="K263" s="154">
        <v>7.061358407215175E-2</v>
      </c>
      <c r="L263" s="154">
        <v>0</v>
      </c>
      <c r="M263" s="154">
        <v>3.1055649111335639E-3</v>
      </c>
      <c r="N263" s="154">
        <v>0.12998950809722276</v>
      </c>
      <c r="P263" s="197"/>
      <c r="Q263" s="154" t="s">
        <v>367</v>
      </c>
      <c r="R263" s="154">
        <v>9.5184690021196325E-3</v>
      </c>
      <c r="S263" s="154">
        <v>-2.3780107811737857E-3</v>
      </c>
      <c r="T263" s="154">
        <v>1.552776665375814E-3</v>
      </c>
      <c r="U263" s="154">
        <v>-3.8819416634395349E-4</v>
      </c>
      <c r="V263" s="154">
        <v>2.6666666666666665E-2</v>
      </c>
      <c r="W263" s="154">
        <v>6.8591891840075045E-3</v>
      </c>
      <c r="X263" s="154">
        <v>4.4000000000000003E-3</v>
      </c>
      <c r="Y263" s="154">
        <v>7.3102100315233995E-3</v>
      </c>
      <c r="Z263" s="154">
        <v>6.3770957790438648E-2</v>
      </c>
      <c r="AA263" s="154">
        <v>1.1124179278049692E-3</v>
      </c>
      <c r="AB263" s="154">
        <v>5.9135532882621105E-6</v>
      </c>
    </row>
    <row r="264" spans="1:28" x14ac:dyDescent="0.25">
      <c r="A264" s="155"/>
      <c r="B264" s="154" t="s">
        <v>371</v>
      </c>
      <c r="C264" s="154">
        <v>7.5244596293849832E-3</v>
      </c>
      <c r="D264" s="154">
        <v>-1.8702485890031025E-3</v>
      </c>
      <c r="E264" s="154">
        <v>2.1135015723170798E-3</v>
      </c>
      <c r="F264" s="154">
        <v>-5.2837539307926996E-4</v>
      </c>
      <c r="G264" s="154">
        <v>3.111111111111111E-2</v>
      </c>
      <c r="H264" s="154">
        <v>8.8888888888888889E-3</v>
      </c>
      <c r="I264" s="154">
        <v>4.4000000000000003E-3</v>
      </c>
      <c r="J264" s="154">
        <v>1.1573595723149675E-2</v>
      </c>
      <c r="K264" s="154">
        <v>6.9625490706338555E-2</v>
      </c>
      <c r="L264" s="154">
        <v>0</v>
      </c>
      <c r="M264" s="154">
        <v>3.1055649111335639E-3</v>
      </c>
      <c r="N264" s="154">
        <v>0.13594398856024148</v>
      </c>
      <c r="P264" s="197"/>
      <c r="Q264" s="154" t="s">
        <v>365</v>
      </c>
      <c r="R264" s="154">
        <v>7.0535426020101408E-3</v>
      </c>
      <c r="S264" s="154">
        <v>-1.0594650200048046E-3</v>
      </c>
      <c r="T264" s="154">
        <v>1.552776665375814E-3</v>
      </c>
      <c r="U264" s="154">
        <v>-3.8819416634395349E-4</v>
      </c>
      <c r="V264" s="154">
        <v>2.6666666666666665E-2</v>
      </c>
      <c r="W264" s="154">
        <v>7.619047619047619E-3</v>
      </c>
      <c r="X264" s="154">
        <v>4.4000000000000003E-3</v>
      </c>
      <c r="Y264" s="154">
        <v>9.604451272429336E-3</v>
      </c>
      <c r="Z264" s="154">
        <v>7.6408000661182016E-2</v>
      </c>
      <c r="AA264" s="154">
        <v>0</v>
      </c>
      <c r="AB264" s="154">
        <v>8.8630828876566786E-3</v>
      </c>
    </row>
    <row r="265" spans="1:28" x14ac:dyDescent="0.25">
      <c r="A265" s="155"/>
      <c r="B265" s="154" t="s">
        <v>363</v>
      </c>
      <c r="C265" s="154">
        <v>2.2614787309588272E-2</v>
      </c>
      <c r="D265" s="154">
        <v>-3.4381985932500987E-3</v>
      </c>
      <c r="E265" s="154">
        <v>2.964391815717463E-3</v>
      </c>
      <c r="F265" s="154">
        <v>-7.4109795392936575E-4</v>
      </c>
      <c r="G265" s="154">
        <v>2.5454545454545455E-2</v>
      </c>
      <c r="H265" s="154">
        <v>5.4545454545454541E-3</v>
      </c>
      <c r="I265" s="154">
        <v>4.4000000000000003E-3</v>
      </c>
      <c r="J265" s="154">
        <v>5.5397830482865063E-3</v>
      </c>
      <c r="K265" s="154">
        <v>6.9194063478279583E-2</v>
      </c>
      <c r="L265" s="154">
        <v>7.0448133436563226E-3</v>
      </c>
      <c r="M265" s="154">
        <v>1.4049076735721778E-4</v>
      </c>
      <c r="N265" s="154">
        <v>0.1386281241247968</v>
      </c>
    </row>
    <row r="266" spans="1:28" x14ac:dyDescent="0.25">
      <c r="A266" s="155"/>
      <c r="B266" s="154" t="s">
        <v>366</v>
      </c>
      <c r="C266" s="154">
        <v>2.3691681943378187E-2</v>
      </c>
      <c r="D266" s="154">
        <v>-3.6019223357858176E-3</v>
      </c>
      <c r="E266" s="154">
        <v>1.552776665375814E-3</v>
      </c>
      <c r="F266" s="154">
        <v>-3.8819416634395349E-4</v>
      </c>
      <c r="G266" s="154">
        <v>2.6666666666666665E-2</v>
      </c>
      <c r="H266" s="154">
        <v>5.7142857142857143E-3</v>
      </c>
      <c r="I266" s="154">
        <v>4.4000000000000003E-3</v>
      </c>
      <c r="J266" s="154">
        <v>5.5397830482865063E-3</v>
      </c>
      <c r="K266" s="154">
        <v>7.5707949094327057E-2</v>
      </c>
      <c r="L266" s="154">
        <v>7.1132539649722548E-3</v>
      </c>
      <c r="M266" s="154">
        <v>1.4049076735721778E-4</v>
      </c>
      <c r="N266" s="154">
        <v>0.14653677136251964</v>
      </c>
    </row>
    <row r="267" spans="1:28" x14ac:dyDescent="0.25">
      <c r="A267" s="155"/>
      <c r="B267" s="154" t="s">
        <v>372</v>
      </c>
      <c r="C267" s="154">
        <v>2.7640295600607889E-2</v>
      </c>
      <c r="D267" s="154">
        <v>-4.2022427250834543E-3</v>
      </c>
      <c r="E267" s="154">
        <v>2.1135015723170798E-3</v>
      </c>
      <c r="F267" s="154">
        <v>-5.2837539307926996E-4</v>
      </c>
      <c r="G267" s="154">
        <v>3.111111111111111E-2</v>
      </c>
      <c r="H267" s="154">
        <v>6.6666666666666662E-3</v>
      </c>
      <c r="I267" s="154">
        <v>4.4000000000000003E-3</v>
      </c>
      <c r="J267" s="154">
        <v>5.5397830482865063E-3</v>
      </c>
      <c r="K267" s="154">
        <v>8.0099479887204131E-2</v>
      </c>
      <c r="L267" s="154">
        <v>8.1551199100547145E-3</v>
      </c>
      <c r="M267" s="154">
        <v>1.4049076735721778E-4</v>
      </c>
      <c r="N267" s="154">
        <v>0.16113583044544258</v>
      </c>
    </row>
    <row r="268" spans="1:28" x14ac:dyDescent="0.25">
      <c r="A268" s="155"/>
      <c r="B268" s="154" t="s">
        <v>368</v>
      </c>
      <c r="C268" s="154">
        <v>8.6820688031365185E-3</v>
      </c>
      <c r="D268" s="154">
        <v>-2.157979141157426E-3</v>
      </c>
      <c r="E268" s="154">
        <v>2.7870350404181278E-3</v>
      </c>
      <c r="F268" s="154">
        <v>-6.9675876010453195E-4</v>
      </c>
      <c r="G268" s="154">
        <v>3.5897435897435902E-2</v>
      </c>
      <c r="H268" s="154">
        <v>1.0256410256410255E-2</v>
      </c>
      <c r="I268" s="154">
        <v>4.4000000000000003E-3</v>
      </c>
      <c r="J268" s="154">
        <v>1.1573595723149675E-2</v>
      </c>
      <c r="K268" s="154">
        <v>8.8326262468132202E-2</v>
      </c>
      <c r="L268" s="154">
        <v>0</v>
      </c>
      <c r="M268" s="154">
        <v>3.1055649111335639E-3</v>
      </c>
      <c r="N268" s="154">
        <v>0.16217363519855427</v>
      </c>
    </row>
    <row r="269" spans="1:28" x14ac:dyDescent="0.25">
      <c r="A269" s="155"/>
      <c r="B269" s="154" t="s">
        <v>364</v>
      </c>
      <c r="C269" s="154">
        <v>2.2311798507511204E-2</v>
      </c>
      <c r="D269" s="154">
        <v>-3.3814651137286521E-3</v>
      </c>
      <c r="E269" s="154">
        <v>2.964391815717463E-3</v>
      </c>
      <c r="F269" s="154">
        <v>-7.4109795392936575E-4</v>
      </c>
      <c r="G269" s="154">
        <v>2.5454545454545455E-2</v>
      </c>
      <c r="H269" s="154">
        <v>9.3433449937917901E-3</v>
      </c>
      <c r="I269" s="154">
        <v>4.4000000000000003E-3</v>
      </c>
      <c r="J269" s="154">
        <v>2.149698076693125E-2</v>
      </c>
      <c r="K269" s="154">
        <v>9.0669449420705039E-2</v>
      </c>
      <c r="L269" s="154">
        <v>4.3682791161508971E-3</v>
      </c>
      <c r="M269" s="154">
        <v>3.6418200964524684E-4</v>
      </c>
      <c r="N269" s="154">
        <v>0.17725040901734032</v>
      </c>
    </row>
    <row r="270" spans="1:28" x14ac:dyDescent="0.25">
      <c r="A270" s="155"/>
      <c r="B270" s="154" t="s">
        <v>367</v>
      </c>
      <c r="C270" s="154">
        <v>2.3374265103106976E-2</v>
      </c>
      <c r="D270" s="154">
        <v>-3.5424872620014453E-3</v>
      </c>
      <c r="E270" s="154">
        <v>1.552776665375814E-3</v>
      </c>
      <c r="F270" s="154">
        <v>-3.8819416634395349E-4</v>
      </c>
      <c r="G270" s="154">
        <v>2.6666666666666665E-2</v>
      </c>
      <c r="H270" s="154">
        <v>9.7882661839723516E-3</v>
      </c>
      <c r="I270" s="154">
        <v>4.4000000000000003E-3</v>
      </c>
      <c r="J270" s="154">
        <v>2.149698076693125E-2</v>
      </c>
      <c r="K270" s="154">
        <v>9.9182556352221826E-2</v>
      </c>
      <c r="L270" s="154">
        <v>4.409718611580335E-3</v>
      </c>
      <c r="M270" s="154">
        <v>3.6418200964524684E-4</v>
      </c>
      <c r="N270" s="154">
        <v>0.1873047309311551</v>
      </c>
    </row>
    <row r="271" spans="1:28" x14ac:dyDescent="0.25">
      <c r="A271" s="155"/>
      <c r="B271" s="154" t="s">
        <v>369</v>
      </c>
      <c r="C271" s="154">
        <v>3.1892648769932176E-2</v>
      </c>
      <c r="D271" s="154">
        <v>-4.8487416058655246E-3</v>
      </c>
      <c r="E271" s="154">
        <v>2.7870350404181278E-3</v>
      </c>
      <c r="F271" s="154">
        <v>-6.9675876010453195E-4</v>
      </c>
      <c r="G271" s="154">
        <v>3.5897435897435902E-2</v>
      </c>
      <c r="H271" s="154">
        <v>7.6923076923076927E-3</v>
      </c>
      <c r="I271" s="154">
        <v>4.4000000000000003E-3</v>
      </c>
      <c r="J271" s="154">
        <v>5.5397830482865063E-3</v>
      </c>
      <c r="K271" s="154">
        <v>9.8840799825624742E-2</v>
      </c>
      <c r="L271" s="154">
        <v>9.2867356687296315E-3</v>
      </c>
      <c r="M271" s="154">
        <v>1.4049076735721778E-4</v>
      </c>
      <c r="N271" s="154">
        <v>0.19093173634412192</v>
      </c>
    </row>
    <row r="272" spans="1:28" x14ac:dyDescent="0.25">
      <c r="A272" s="155"/>
      <c r="B272" s="154" t="s">
        <v>373</v>
      </c>
      <c r="C272" s="154">
        <v>2.7269975953624806E-2</v>
      </c>
      <c r="D272" s="154">
        <v>-4.1329018056683528E-3</v>
      </c>
      <c r="E272" s="154">
        <v>2.1135015723170798E-3</v>
      </c>
      <c r="F272" s="154">
        <v>-5.2837539307926996E-4</v>
      </c>
      <c r="G272" s="154">
        <v>3.111111111111111E-2</v>
      </c>
      <c r="H272" s="154">
        <v>1.1419643881301077E-2</v>
      </c>
      <c r="I272" s="154">
        <v>4.4000000000000003E-3</v>
      </c>
      <c r="J272" s="154">
        <v>2.149698076693125E-2</v>
      </c>
      <c r="K272" s="154">
        <v>0.1024517746225366</v>
      </c>
      <c r="L272" s="154">
        <v>4.9359288090485148E-3</v>
      </c>
      <c r="M272" s="154">
        <v>3.6418200964524684E-4</v>
      </c>
      <c r="N272" s="154">
        <v>0.20090182152776806</v>
      </c>
    </row>
    <row r="273" spans="1:28" x14ac:dyDescent="0.25">
      <c r="A273" s="155"/>
      <c r="B273" s="154" t="s">
        <v>359</v>
      </c>
      <c r="C273" s="154">
        <v>1.2312752120811793E-2</v>
      </c>
      <c r="D273" s="154">
        <v>-3.0604067820050769E-3</v>
      </c>
      <c r="E273" s="154">
        <v>3.9525224209566176E-3</v>
      </c>
      <c r="F273" s="154">
        <v>-9.8813060523915441E-4</v>
      </c>
      <c r="G273" s="154">
        <v>5.0909090909090911E-2</v>
      </c>
      <c r="H273" s="154">
        <v>1.4545454545454545E-2</v>
      </c>
      <c r="I273" s="154">
        <v>4.4000000000000003E-3</v>
      </c>
      <c r="J273" s="154">
        <v>1.1573595723149675E-2</v>
      </c>
      <c r="K273" s="154">
        <v>0.13633687757910018</v>
      </c>
      <c r="L273" s="154">
        <v>0</v>
      </c>
      <c r="M273" s="154">
        <v>3.105564911133563E-3</v>
      </c>
      <c r="N273" s="154">
        <v>0.23308732082245304</v>
      </c>
    </row>
    <row r="274" spans="1:28" x14ac:dyDescent="0.25">
      <c r="A274" s="155"/>
      <c r="B274" s="154" t="s">
        <v>370</v>
      </c>
      <c r="C274" s="154">
        <v>3.1465356869567078E-2</v>
      </c>
      <c r="D274" s="154">
        <v>-4.7687328526942532E-3</v>
      </c>
      <c r="E274" s="154">
        <v>2.7870350404181278E-3</v>
      </c>
      <c r="F274" s="154">
        <v>-6.9675876010453195E-4</v>
      </c>
      <c r="G274" s="154">
        <v>3.5897435897435902E-2</v>
      </c>
      <c r="H274" s="154">
        <v>1.3176512170732011E-2</v>
      </c>
      <c r="I274" s="154">
        <v>4.4000000000000003E-3</v>
      </c>
      <c r="J274" s="154">
        <v>2.149698076693125E-2</v>
      </c>
      <c r="K274" s="154">
        <v>0.12386605538599031</v>
      </c>
      <c r="L274" s="154">
        <v>5.5071624473854025E-3</v>
      </c>
      <c r="M274" s="154">
        <v>3.6418200964524684E-4</v>
      </c>
      <c r="N274" s="154">
        <v>0.23349522897530658</v>
      </c>
    </row>
    <row r="275" spans="1:28" x14ac:dyDescent="0.25">
      <c r="A275" s="155"/>
      <c r="B275" s="154" t="s">
        <v>360</v>
      </c>
      <c r="C275" s="154">
        <v>4.5229574619176545E-2</v>
      </c>
      <c r="D275" s="154">
        <v>-6.8763971865001975E-3</v>
      </c>
      <c r="E275" s="154">
        <v>3.9525224209566176E-3</v>
      </c>
      <c r="F275" s="154">
        <v>-9.8813060523915441E-4</v>
      </c>
      <c r="G275" s="154">
        <v>5.0909090909090911E-2</v>
      </c>
      <c r="H275" s="154">
        <v>1.0909090909090908E-2</v>
      </c>
      <c r="I275" s="154">
        <v>4.4000000000000003E-3</v>
      </c>
      <c r="J275" s="154">
        <v>5.5397830482865063E-3</v>
      </c>
      <c r="K275" s="154">
        <v>0.15907506174705863</v>
      </c>
      <c r="L275" s="154">
        <v>1.2705336115153232E-2</v>
      </c>
      <c r="M275" s="154">
        <v>1.4049076735721778E-4</v>
      </c>
      <c r="N275" s="154">
        <v>0.28499642274443121</v>
      </c>
    </row>
    <row r="276" spans="1:28" x14ac:dyDescent="0.25">
      <c r="A276" s="155"/>
      <c r="B276" s="154" t="s">
        <v>361</v>
      </c>
      <c r="C276" s="154">
        <v>4.4623597015022408E-2</v>
      </c>
      <c r="D276" s="154">
        <v>-6.7629302274573042E-3</v>
      </c>
      <c r="E276" s="154">
        <v>3.9525224209566176E-3</v>
      </c>
      <c r="F276" s="154">
        <v>-9.8813060523915441E-4</v>
      </c>
      <c r="G276" s="154">
        <v>5.0909090909090911E-2</v>
      </c>
      <c r="H276" s="154">
        <v>1.868668998758358E-2</v>
      </c>
      <c r="I276" s="154">
        <v>4.4000000000000003E-3</v>
      </c>
      <c r="J276" s="154">
        <v>2.149698076693125E-2</v>
      </c>
      <c r="K276" s="154">
        <v>0.19148045910111161</v>
      </c>
      <c r="L276" s="154">
        <v>7.2369782095337842E-3</v>
      </c>
      <c r="M276" s="154">
        <v>3.6418200964524684E-4</v>
      </c>
      <c r="N276" s="154">
        <v>0.33539943958717888</v>
      </c>
    </row>
    <row r="277" spans="1:28" x14ac:dyDescent="0.25">
      <c r="A277" s="155" t="s">
        <v>383</v>
      </c>
      <c r="B277" s="154" t="s">
        <v>384</v>
      </c>
      <c r="C277" s="154" t="s">
        <v>385</v>
      </c>
      <c r="D277" s="154" t="s">
        <v>386</v>
      </c>
      <c r="E277" s="154" t="s">
        <v>387</v>
      </c>
      <c r="F277" s="154" t="s">
        <v>388</v>
      </c>
      <c r="G277" s="154" t="s">
        <v>389</v>
      </c>
      <c r="H277" s="154" t="s">
        <v>390</v>
      </c>
      <c r="I277" s="154" t="s">
        <v>391</v>
      </c>
      <c r="J277" s="154" t="s">
        <v>392</v>
      </c>
      <c r="K277" s="154" t="s">
        <v>393</v>
      </c>
      <c r="L277" s="154" t="s">
        <v>394</v>
      </c>
      <c r="M277" s="154" t="s">
        <v>395</v>
      </c>
      <c r="N277" s="154" t="s">
        <v>396</v>
      </c>
    </row>
    <row r="278" spans="1:28" x14ac:dyDescent="0.25">
      <c r="A278" s="155">
        <v>2034</v>
      </c>
      <c r="B278" s="154" t="s">
        <v>381</v>
      </c>
      <c r="C278" s="154">
        <v>1.0347449498978036E-3</v>
      </c>
      <c r="D278" s="154">
        <v>-9.7956440009122124E-5</v>
      </c>
      <c r="E278" s="154">
        <v>6.8982996659853576E-5</v>
      </c>
      <c r="F278" s="154">
        <v>-6.8982996659853564E-6</v>
      </c>
      <c r="G278" s="154">
        <v>1.0654632223259673E-3</v>
      </c>
      <c r="H278" s="154">
        <v>4.305425874053325E-4</v>
      </c>
      <c r="I278" s="154">
        <v>8.6011184229469056E-5</v>
      </c>
      <c r="J278" s="154">
        <v>2.1331638109345504E-3</v>
      </c>
      <c r="K278" s="154">
        <v>6.8331995010663706E-3</v>
      </c>
      <c r="L278" s="154">
        <v>0</v>
      </c>
      <c r="M278" s="154">
        <v>2.3842549920408719E-3</v>
      </c>
      <c r="N278" s="154">
        <v>1.3931508504885112E-2</v>
      </c>
    </row>
    <row r="279" spans="1:28" x14ac:dyDescent="0.25">
      <c r="A279" s="155"/>
      <c r="B279" s="154" t="s">
        <v>378</v>
      </c>
      <c r="C279" s="154">
        <v>1.0347449498978036E-3</v>
      </c>
      <c r="D279" s="154">
        <v>-9.7956440009122124E-5</v>
      </c>
      <c r="E279" s="154">
        <v>6.8982996659853576E-5</v>
      </c>
      <c r="F279" s="154">
        <v>-6.8982996659853564E-6</v>
      </c>
      <c r="G279" s="154">
        <v>1.0654632223259673E-3</v>
      </c>
      <c r="H279" s="154">
        <v>4.305425874053325E-4</v>
      </c>
      <c r="I279" s="154">
        <v>8.9502842587904882E-5</v>
      </c>
      <c r="J279" s="154">
        <v>2.1331638109345504E-3</v>
      </c>
      <c r="K279" s="154">
        <v>6.8365542316460425E-3</v>
      </c>
      <c r="L279" s="154">
        <v>0</v>
      </c>
      <c r="M279" s="154">
        <v>2.3842549920408719E-3</v>
      </c>
      <c r="N279" s="154">
        <v>1.3938354893823219E-2</v>
      </c>
      <c r="R279" s="154" t="s">
        <v>18</v>
      </c>
      <c r="S279" s="154" t="s">
        <v>28</v>
      </c>
      <c r="T279" s="154" t="s">
        <v>14</v>
      </c>
      <c r="U279" s="154" t="s">
        <v>25</v>
      </c>
      <c r="V279" s="154" t="s">
        <v>37</v>
      </c>
      <c r="W279" s="154" t="s">
        <v>52</v>
      </c>
      <c r="X279" s="154" t="s">
        <v>262</v>
      </c>
      <c r="Y279" s="154" t="s">
        <v>67</v>
      </c>
      <c r="Z279" s="154" t="s">
        <v>56</v>
      </c>
      <c r="AA279" s="154" t="s">
        <v>73</v>
      </c>
      <c r="AB279" s="154" t="s">
        <v>206</v>
      </c>
    </row>
    <row r="280" spans="1:28" x14ac:dyDescent="0.25">
      <c r="A280" s="155"/>
      <c r="B280" s="154" t="s">
        <v>340</v>
      </c>
      <c r="C280" s="154">
        <v>1.0902430594344164E-3</v>
      </c>
      <c r="D280" s="154">
        <v>-1.6353645891516245E-4</v>
      </c>
      <c r="E280" s="154">
        <v>7.6311881817276459E-4</v>
      </c>
      <c r="F280" s="154">
        <v>-3.8155940908638231E-5</v>
      </c>
      <c r="G280" s="154">
        <v>1.6256502601040416E-3</v>
      </c>
      <c r="H280" s="154">
        <v>1.6256502601040416E-3</v>
      </c>
      <c r="I280" s="154">
        <v>1.7507002801120447E-3</v>
      </c>
      <c r="J280" s="154">
        <v>9.5987899046131133E-4</v>
      </c>
      <c r="K280" s="154">
        <v>8.3562602548806764E-3</v>
      </c>
      <c r="L280" s="154">
        <v>0</v>
      </c>
      <c r="M280" s="154">
        <v>2.360985412314249E-5</v>
      </c>
      <c r="N280" s="154">
        <v>1.5993419377568638E-2</v>
      </c>
      <c r="P280" s="197">
        <v>2023</v>
      </c>
      <c r="Q280" s="154" t="s">
        <v>375</v>
      </c>
      <c r="R280" s="154">
        <v>1.0347449498978036E-3</v>
      </c>
      <c r="S280" s="154">
        <v>-1.0336086682377807E-4</v>
      </c>
      <c r="T280" s="154">
        <v>3.4491498329926784E-4</v>
      </c>
      <c r="U280" s="154">
        <v>-3.4491498329926788E-5</v>
      </c>
      <c r="V280" s="154">
        <v>1.0654632223259673E-3</v>
      </c>
      <c r="W280" s="154">
        <v>4.305425874053325E-4</v>
      </c>
      <c r="X280" s="154">
        <v>1.7869725535414797E-4</v>
      </c>
      <c r="Y280" s="154">
        <v>4.1072811176853007E-3</v>
      </c>
      <c r="Z280" s="154">
        <v>1.1833655417796072E-2</v>
      </c>
      <c r="AA280" s="154">
        <v>0</v>
      </c>
      <c r="AB280" s="154">
        <v>1.8343688133195604E-3</v>
      </c>
    </row>
    <row r="281" spans="1:28" x14ac:dyDescent="0.25">
      <c r="A281" s="155"/>
      <c r="B281" s="154" t="s">
        <v>379</v>
      </c>
      <c r="C281" s="154">
        <v>1.0347449498978036E-3</v>
      </c>
      <c r="D281" s="154">
        <v>-9.7956440009122124E-5</v>
      </c>
      <c r="E281" s="154">
        <v>3.4491498329926784E-4</v>
      </c>
      <c r="F281" s="154">
        <v>-3.4491498329926788E-5</v>
      </c>
      <c r="G281" s="154">
        <v>1.0654632223259673E-3</v>
      </c>
      <c r="H281" s="154">
        <v>4.305425874053325E-4</v>
      </c>
      <c r="I281" s="154">
        <v>1.7869725535414797E-4</v>
      </c>
      <c r="J281" s="154">
        <v>2.1331638109345504E-3</v>
      </c>
      <c r="K281" s="154">
        <v>9.9528851394415953E-3</v>
      </c>
      <c r="L281" s="154">
        <v>0</v>
      </c>
      <c r="M281" s="154">
        <v>2.3842549920408719E-3</v>
      </c>
      <c r="N281" s="154">
        <v>1.7392219002360487E-2</v>
      </c>
      <c r="P281" s="197"/>
      <c r="Q281" s="154" t="s">
        <v>331</v>
      </c>
      <c r="R281" s="154">
        <v>2.0676718491395704E-3</v>
      </c>
      <c r="S281" s="154">
        <v>-1.0351994625618128E-4</v>
      </c>
      <c r="T281" s="154">
        <v>3.4491498329926784E-4</v>
      </c>
      <c r="U281" s="154">
        <v>-3.4491498329926788E-5</v>
      </c>
      <c r="V281" s="154">
        <v>1.0654632223259673E-3</v>
      </c>
      <c r="W281" s="154">
        <v>2.9878618113912231E-4</v>
      </c>
      <c r="X281" s="154">
        <v>1.7869725535414797E-4</v>
      </c>
      <c r="Y281" s="154">
        <v>1.1790342951953749E-2</v>
      </c>
      <c r="Z281" s="154">
        <v>2.1129720272896415E-2</v>
      </c>
      <c r="AA281" s="154">
        <v>1.3856702589881906E-3</v>
      </c>
      <c r="AB281" s="154">
        <v>2.6311642110997044E-4</v>
      </c>
    </row>
    <row r="282" spans="1:28" x14ac:dyDescent="0.25">
      <c r="A282" s="155"/>
      <c r="B282" s="154" t="s">
        <v>377</v>
      </c>
      <c r="C282" s="154">
        <v>1.0347449498978036E-3</v>
      </c>
      <c r="D282" s="154">
        <v>-9.7956440009122124E-5</v>
      </c>
      <c r="E282" s="154">
        <v>6.8982996659853576E-5</v>
      </c>
      <c r="F282" s="154">
        <v>-6.8982996659853564E-6</v>
      </c>
      <c r="G282" s="154">
        <v>1.0654632223259673E-3</v>
      </c>
      <c r="H282" s="154">
        <v>4.305425874053325E-4</v>
      </c>
      <c r="I282" s="154">
        <v>8.6011184229469056E-5</v>
      </c>
      <c r="J282" s="154">
        <v>4.076109192868568E-3</v>
      </c>
      <c r="K282" s="154">
        <v>8.583047072717457E-3</v>
      </c>
      <c r="L282" s="154">
        <v>0</v>
      </c>
      <c r="M282" s="154">
        <v>2.2625795316212503E-3</v>
      </c>
      <c r="N282" s="154">
        <v>1.7502625998050594E-2</v>
      </c>
      <c r="P282" s="197"/>
      <c r="Q282" s="154" t="s">
        <v>330</v>
      </c>
      <c r="R282" s="154">
        <v>2.0678991054715748E-3</v>
      </c>
      <c r="S282" s="154">
        <v>-1.0354267188938173E-4</v>
      </c>
      <c r="T282" s="154">
        <v>3.4491498329926784E-4</v>
      </c>
      <c r="U282" s="154">
        <v>-3.4491498329926788E-5</v>
      </c>
      <c r="V282" s="154">
        <v>1.0654632223259673E-3</v>
      </c>
      <c r="W282" s="154">
        <v>2.9878618113912231E-4</v>
      </c>
      <c r="X282" s="154">
        <v>1.7869725535414797E-4</v>
      </c>
      <c r="Y282" s="154">
        <v>1.3060247322593066E-2</v>
      </c>
      <c r="Z282" s="154">
        <v>2.2806772205735022E-2</v>
      </c>
      <c r="AA282" s="154">
        <v>1.9107458000384783E-3</v>
      </c>
      <c r="AB282" s="154">
        <v>2.5815196033431064E-4</v>
      </c>
    </row>
    <row r="283" spans="1:28" x14ac:dyDescent="0.25">
      <c r="A283" s="155"/>
      <c r="B283" s="154" t="s">
        <v>374</v>
      </c>
      <c r="C283" s="154">
        <v>1.0347449498978036E-3</v>
      </c>
      <c r="D283" s="154">
        <v>-9.7956440009122124E-5</v>
      </c>
      <c r="E283" s="154">
        <v>6.8982996659853576E-5</v>
      </c>
      <c r="F283" s="154">
        <v>-6.8982996659853564E-6</v>
      </c>
      <c r="G283" s="154">
        <v>1.0654632223259673E-3</v>
      </c>
      <c r="H283" s="154">
        <v>4.305425874053325E-4</v>
      </c>
      <c r="I283" s="154">
        <v>8.9502842587904882E-5</v>
      </c>
      <c r="J283" s="154">
        <v>4.076109192868568E-3</v>
      </c>
      <c r="K283" s="154">
        <v>8.5864018032971289E-3</v>
      </c>
      <c r="L283" s="154">
        <v>0</v>
      </c>
      <c r="M283" s="154">
        <v>2.2625795316212503E-3</v>
      </c>
      <c r="N283" s="154">
        <v>1.7509472386988703E-2</v>
      </c>
      <c r="P283" s="197"/>
      <c r="Q283" s="154" t="s">
        <v>332</v>
      </c>
      <c r="R283" s="154">
        <v>1.3444866658711308E-3</v>
      </c>
      <c r="S283" s="154">
        <v>-6.7337961459558828E-5</v>
      </c>
      <c r="T283" s="154">
        <v>3.4491498329926784E-4</v>
      </c>
      <c r="U283" s="154">
        <v>-3.4491498329926788E-5</v>
      </c>
      <c r="V283" s="154">
        <v>1.0654632223259673E-3</v>
      </c>
      <c r="W283" s="154">
        <v>4.305425874053325E-4</v>
      </c>
      <c r="X283" s="154">
        <v>1.7869725535414797E-4</v>
      </c>
      <c r="Y283" s="154">
        <v>2.6447470892304818E-2</v>
      </c>
      <c r="Z283" s="154">
        <v>3.9916854454536799E-2</v>
      </c>
      <c r="AA283" s="154">
        <v>1.2546964484978669E-3</v>
      </c>
      <c r="AB283" s="154">
        <v>3.3398562051778328E-4</v>
      </c>
    </row>
    <row r="284" spans="1:28" x14ac:dyDescent="0.25">
      <c r="A284" s="155"/>
      <c r="B284" s="154" t="s">
        <v>380</v>
      </c>
      <c r="C284" s="154">
        <v>1.0347449498978036E-3</v>
      </c>
      <c r="D284" s="154">
        <v>-9.7956440009122124E-5</v>
      </c>
      <c r="E284" s="154">
        <v>6.8982996659853576E-5</v>
      </c>
      <c r="F284" s="154">
        <v>-6.8982996659853564E-6</v>
      </c>
      <c r="G284" s="154">
        <v>1.0654632223259673E-3</v>
      </c>
      <c r="H284" s="154">
        <v>4.305425874053325E-4</v>
      </c>
      <c r="I284" s="154">
        <v>8.6011184229469056E-5</v>
      </c>
      <c r="J284" s="154">
        <v>2.1331638109345504E-3</v>
      </c>
      <c r="K284" s="154">
        <v>1.112406261005624E-2</v>
      </c>
      <c r="L284" s="154">
        <v>0</v>
      </c>
      <c r="M284" s="154">
        <v>2.3842549920408719E-3</v>
      </c>
      <c r="N284" s="154">
        <v>1.8222371613874983E-2</v>
      </c>
      <c r="P284" s="197">
        <v>2034</v>
      </c>
      <c r="Q284" s="154" t="s">
        <v>375</v>
      </c>
      <c r="R284" s="154">
        <v>1.0347449498978036E-3</v>
      </c>
      <c r="S284" s="154">
        <v>-9.7956440009122124E-5</v>
      </c>
      <c r="T284" s="154">
        <v>3.4491498329926784E-4</v>
      </c>
      <c r="U284" s="154">
        <v>-3.4491498329926788E-5</v>
      </c>
      <c r="V284" s="154">
        <v>1.0654632223259673E-3</v>
      </c>
      <c r="W284" s="154">
        <v>4.305425874053325E-4</v>
      </c>
      <c r="X284" s="154">
        <v>1.7869725535414797E-4</v>
      </c>
      <c r="Y284" s="154">
        <v>4.076109192868568E-3</v>
      </c>
      <c r="Z284" s="154">
        <v>1.2367126663309516E-2</v>
      </c>
      <c r="AA284" s="154">
        <v>0</v>
      </c>
      <c r="AB284" s="154">
        <v>2.2625795316212503E-3</v>
      </c>
    </row>
    <row r="285" spans="1:28" x14ac:dyDescent="0.25">
      <c r="A285" s="155"/>
      <c r="B285" s="154" t="s">
        <v>341</v>
      </c>
      <c r="C285" s="154">
        <v>1.8209695944675583E-3</v>
      </c>
      <c r="D285" s="154">
        <v>-1.5096790045692366E-4</v>
      </c>
      <c r="E285" s="154">
        <v>7.6311881817276459E-4</v>
      </c>
      <c r="F285" s="154">
        <v>-3.8155940908638231E-5</v>
      </c>
      <c r="G285" s="154">
        <v>1.6256502601040416E-3</v>
      </c>
      <c r="H285" s="154">
        <v>2.7152291126929309E-3</v>
      </c>
      <c r="I285" s="154">
        <v>1.7507002801120447E-3</v>
      </c>
      <c r="J285" s="154">
        <v>1.0198714273651432E-3</v>
      </c>
      <c r="K285" s="154">
        <v>1.040846408698637E-2</v>
      </c>
      <c r="L285" s="154">
        <v>2.7537427266196256E-4</v>
      </c>
      <c r="M285" s="154">
        <v>2.5085470005838896E-5</v>
      </c>
      <c r="N285" s="154">
        <v>2.0215339481203094E-2</v>
      </c>
      <c r="P285" s="197"/>
      <c r="Q285" s="154" t="s">
        <v>331</v>
      </c>
      <c r="R285" s="154">
        <v>1.9812010201050753E-3</v>
      </c>
      <c r="S285" s="154">
        <v>-1.0568171698204363E-4</v>
      </c>
      <c r="T285" s="154">
        <v>3.4491498329926784E-4</v>
      </c>
      <c r="U285" s="154">
        <v>-3.4491498329926788E-5</v>
      </c>
      <c r="V285" s="154">
        <v>1.0654632223259673E-3</v>
      </c>
      <c r="W285" s="154">
        <v>2.9878618113912231E-4</v>
      </c>
      <c r="X285" s="154">
        <v>1.7869725535414797E-4</v>
      </c>
      <c r="Y285" s="154">
        <v>1.1074472868176938E-2</v>
      </c>
      <c r="Z285" s="154">
        <v>2.0026772808245816E-2</v>
      </c>
      <c r="AA285" s="154">
        <v>1.2947163246812589E-3</v>
      </c>
      <c r="AB285" s="154">
        <v>2.3557101727914492E-4</v>
      </c>
    </row>
    <row r="286" spans="1:28" x14ac:dyDescent="0.25">
      <c r="A286" s="155"/>
      <c r="B286" s="154" t="s">
        <v>375</v>
      </c>
      <c r="C286" s="154">
        <v>1.0347449498978036E-3</v>
      </c>
      <c r="D286" s="154">
        <v>-9.7956440009122124E-5</v>
      </c>
      <c r="E286" s="154">
        <v>3.4491498329926784E-4</v>
      </c>
      <c r="F286" s="154">
        <v>-3.4491498329926788E-5</v>
      </c>
      <c r="G286" s="154">
        <v>1.0654632223259673E-3</v>
      </c>
      <c r="H286" s="154">
        <v>4.305425874053325E-4</v>
      </c>
      <c r="I286" s="154">
        <v>1.7869725535414797E-4</v>
      </c>
      <c r="J286" s="154">
        <v>4.076109192868568E-3</v>
      </c>
      <c r="K286" s="154">
        <v>1.2367126663309516E-2</v>
      </c>
      <c r="L286" s="154">
        <v>0</v>
      </c>
      <c r="M286" s="154">
        <v>2.2625795316212503E-3</v>
      </c>
      <c r="N286" s="154">
        <v>2.1627730447742806E-2</v>
      </c>
      <c r="P286" s="197"/>
      <c r="Q286" s="154" t="s">
        <v>330</v>
      </c>
      <c r="R286" s="154">
        <v>1.9922371300663917E-3</v>
      </c>
      <c r="S286" s="154">
        <v>-1.067853279781753E-4</v>
      </c>
      <c r="T286" s="154">
        <v>3.4491498329926784E-4</v>
      </c>
      <c r="U286" s="154">
        <v>-3.4491498329926788E-5</v>
      </c>
      <c r="V286" s="154">
        <v>1.0654632223259673E-3</v>
      </c>
      <c r="W286" s="154">
        <v>2.9878618113912231E-4</v>
      </c>
      <c r="X286" s="154">
        <v>1.7869725535414797E-4</v>
      </c>
      <c r="Y286" s="154">
        <v>1.2176327875562188E-2</v>
      </c>
      <c r="Z286" s="154">
        <v>2.1494645782664312E-2</v>
      </c>
      <c r="AA286" s="154">
        <v>1.7590940957229288E-3</v>
      </c>
      <c r="AB286" s="154">
        <v>2.3112628110406671E-4</v>
      </c>
    </row>
    <row r="287" spans="1:28" x14ac:dyDescent="0.25">
      <c r="A287" s="155"/>
      <c r="B287" s="154" t="s">
        <v>352</v>
      </c>
      <c r="C287" s="154">
        <v>1.0902430594344164E-3</v>
      </c>
      <c r="D287" s="154">
        <v>-1.6353645891516245E-4</v>
      </c>
      <c r="E287" s="154">
        <v>7.6311881817276459E-4</v>
      </c>
      <c r="F287" s="154">
        <v>-3.8155940908638231E-5</v>
      </c>
      <c r="G287" s="154">
        <v>3.6264505802320927E-3</v>
      </c>
      <c r="H287" s="154">
        <v>1.6256502601040416E-3</v>
      </c>
      <c r="I287" s="154">
        <v>4.0016006402561026E-3</v>
      </c>
      <c r="J287" s="154">
        <v>9.5987899046131133E-4</v>
      </c>
      <c r="K287" s="154">
        <v>1.0192553657402922E-2</v>
      </c>
      <c r="L287" s="154">
        <v>0</v>
      </c>
      <c r="M287" s="154">
        <v>2.360985412314249E-5</v>
      </c>
      <c r="N287" s="154">
        <v>2.2081413460362992E-2</v>
      </c>
      <c r="P287" s="197"/>
      <c r="Q287" s="154" t="s">
        <v>332</v>
      </c>
      <c r="R287" s="154">
        <v>1.3120601049831952E-3</v>
      </c>
      <c r="S287" s="154">
        <v>-7.1121060229817985E-5</v>
      </c>
      <c r="T287" s="154">
        <v>3.4491498329926784E-4</v>
      </c>
      <c r="U287" s="154">
        <v>-3.4491498329926788E-5</v>
      </c>
      <c r="V287" s="154">
        <v>1.0654632223259673E-3</v>
      </c>
      <c r="W287" s="154">
        <v>4.305425874053325E-4</v>
      </c>
      <c r="X287" s="154">
        <v>1.7869725535414797E-4</v>
      </c>
      <c r="Y287" s="154">
        <v>2.4202354741507264E-2</v>
      </c>
      <c r="Z287" s="154">
        <v>3.6846422938026986E-2</v>
      </c>
      <c r="AA287" s="154">
        <v>1.1581843467362296E-3</v>
      </c>
      <c r="AB287" s="154">
        <v>2.9902098869419172E-4</v>
      </c>
    </row>
    <row r="288" spans="1:28" x14ac:dyDescent="0.25">
      <c r="A288" s="155"/>
      <c r="B288" s="154" t="s">
        <v>348</v>
      </c>
      <c r="C288" s="154">
        <v>1.0902430594344164E-3</v>
      </c>
      <c r="D288" s="154">
        <v>-1.6353645891516245E-4</v>
      </c>
      <c r="E288" s="154">
        <v>5.087458787818432E-4</v>
      </c>
      <c r="F288" s="154">
        <v>-2.5437293939092156E-5</v>
      </c>
      <c r="G288" s="154">
        <v>1.525610244097639E-3</v>
      </c>
      <c r="H288" s="154">
        <v>1.6256502601040416E-3</v>
      </c>
      <c r="I288" s="154">
        <v>1.6256502601040416E-3</v>
      </c>
      <c r="J288" s="154">
        <v>9.5987899046131133E-4</v>
      </c>
      <c r="K288" s="154">
        <v>1.5345239937027022E-2</v>
      </c>
      <c r="L288" s="154">
        <v>0</v>
      </c>
      <c r="M288" s="154">
        <v>2.360985412314249E-5</v>
      </c>
      <c r="N288" s="154">
        <v>2.25156547312792E-2</v>
      </c>
      <c r="P288" s="197">
        <v>2050</v>
      </c>
      <c r="Q288" s="154" t="s">
        <v>330</v>
      </c>
      <c r="R288" s="154">
        <v>1.3569040676564852E-3</v>
      </c>
      <c r="S288" s="154">
        <v>-1.3401388779574273E-4</v>
      </c>
      <c r="T288" s="154">
        <v>3.4491498329926784E-4</v>
      </c>
      <c r="U288" s="154">
        <v>-3.4491498329926788E-5</v>
      </c>
      <c r="V288" s="154">
        <v>1.0654632223259673E-3</v>
      </c>
      <c r="W288" s="154">
        <v>2.9878618113912231E-4</v>
      </c>
      <c r="X288" s="154">
        <v>1.7869725535414797E-4</v>
      </c>
      <c r="Y288" s="154">
        <v>5.4701451293849941E-3</v>
      </c>
      <c r="Z288" s="154">
        <v>1.1425955277411116E-2</v>
      </c>
      <c r="AA288" s="154">
        <v>7.528298969710686E-4</v>
      </c>
      <c r="AB288" s="154">
        <v>4.1918473001819709E-6</v>
      </c>
    </row>
    <row r="289" spans="1:28" x14ac:dyDescent="0.25">
      <c r="A289" s="155"/>
      <c r="B289" s="154" t="s">
        <v>376</v>
      </c>
      <c r="C289" s="154">
        <v>1.0347449498978036E-3</v>
      </c>
      <c r="D289" s="154">
        <v>-9.7956440009122124E-5</v>
      </c>
      <c r="E289" s="154">
        <v>6.8982996659853576E-5</v>
      </c>
      <c r="F289" s="154">
        <v>-6.8982996659853564E-6</v>
      </c>
      <c r="G289" s="154">
        <v>1.0654632223259673E-3</v>
      </c>
      <c r="H289" s="154">
        <v>4.305425874053325E-4</v>
      </c>
      <c r="I289" s="154">
        <v>8.6011184229469056E-5</v>
      </c>
      <c r="J289" s="154">
        <v>4.076109192868568E-3</v>
      </c>
      <c r="K289" s="154">
        <v>1.3972715564219782E-2</v>
      </c>
      <c r="L289" s="154">
        <v>0</v>
      </c>
      <c r="M289" s="154">
        <v>2.2625795316212503E-3</v>
      </c>
      <c r="N289" s="154">
        <v>2.289229448955292E-2</v>
      </c>
      <c r="P289" s="197"/>
      <c r="Q289" s="154" t="s">
        <v>331</v>
      </c>
      <c r="R289" s="154">
        <v>1.2551060916366106E-3</v>
      </c>
      <c r="S289" s="154">
        <v>-1.2383409019375524E-4</v>
      </c>
      <c r="T289" s="154">
        <v>3.4491498329926784E-4</v>
      </c>
      <c r="U289" s="154">
        <v>-3.4491498329926788E-5</v>
      </c>
      <c r="V289" s="154">
        <v>1.0654632223259673E-3</v>
      </c>
      <c r="W289" s="154">
        <v>2.9878618113912231E-4</v>
      </c>
      <c r="X289" s="154">
        <v>1.7869725535414797E-4</v>
      </c>
      <c r="Y289" s="154">
        <v>5.6283132239921011E-3</v>
      </c>
      <c r="Z289" s="154">
        <v>1.151427946653498E-2</v>
      </c>
      <c r="AA289" s="154">
        <v>6.5542829345874992E-4</v>
      </c>
      <c r="AB289" s="154">
        <v>4.2724597482624145E-6</v>
      </c>
    </row>
    <row r="290" spans="1:28" x14ac:dyDescent="0.25">
      <c r="A290" s="155"/>
      <c r="B290" s="154" t="s">
        <v>342</v>
      </c>
      <c r="C290" s="154">
        <v>1.6052596798267933E-3</v>
      </c>
      <c r="D290" s="154">
        <v>-1.1861141326080898E-4</v>
      </c>
      <c r="E290" s="154">
        <v>7.6311881817276459E-4</v>
      </c>
      <c r="F290" s="154">
        <v>-3.8155940908638231E-5</v>
      </c>
      <c r="G290" s="154">
        <v>1.6256502601040416E-3</v>
      </c>
      <c r="H290" s="154">
        <v>2.5777082888133671E-3</v>
      </c>
      <c r="I290" s="154">
        <v>1.7507002801120447E-3</v>
      </c>
      <c r="J290" s="154">
        <v>2.7294594720870869E-3</v>
      </c>
      <c r="K290" s="154">
        <v>1.1947289068638487E-2</v>
      </c>
      <c r="L290" s="154">
        <v>2.0051394241071656E-4</v>
      </c>
      <c r="M290" s="154">
        <v>5.6825505825447255E-5</v>
      </c>
      <c r="N290" s="154">
        <v>2.3099757961821302E-2</v>
      </c>
      <c r="P290" s="197"/>
      <c r="Q290" s="154" t="s">
        <v>332</v>
      </c>
      <c r="R290" s="154">
        <v>1.0397745068075209E-3</v>
      </c>
      <c r="S290" s="154">
        <v>-1.0288771335031333E-4</v>
      </c>
      <c r="T290" s="154">
        <v>3.4491498329926784E-4</v>
      </c>
      <c r="U290" s="154">
        <v>-3.4491498329926788E-5</v>
      </c>
      <c r="V290" s="154">
        <v>1.0654632223259673E-3</v>
      </c>
      <c r="W290" s="154">
        <v>4.305425874053325E-4</v>
      </c>
      <c r="X290" s="154">
        <v>1.7869725535414797E-4</v>
      </c>
      <c r="Y290" s="154">
        <v>6.5837900060073855E-3</v>
      </c>
      <c r="Z290" s="154">
        <v>1.2699347573956049E-2</v>
      </c>
      <c r="AA290" s="154">
        <v>3.9917539888897034E-4</v>
      </c>
      <c r="AB290" s="154">
        <v>5.4232271560286516E-6</v>
      </c>
    </row>
    <row r="291" spans="1:28" x14ac:dyDescent="0.25">
      <c r="A291" s="155"/>
      <c r="B291" s="154" t="s">
        <v>339</v>
      </c>
      <c r="C291" s="154">
        <v>7.6317014160409149E-4</v>
      </c>
      <c r="D291" s="154">
        <v>-8.0920645629828101E-5</v>
      </c>
      <c r="E291" s="154">
        <v>7.6311881817276459E-4</v>
      </c>
      <c r="F291" s="154">
        <v>-3.8155940908638231E-5</v>
      </c>
      <c r="G291" s="154">
        <v>1.6256502601040416E-3</v>
      </c>
      <c r="H291" s="154">
        <v>2.6260504201680674E-3</v>
      </c>
      <c r="I291" s="154">
        <v>1.7507002801120447E-3</v>
      </c>
      <c r="J291" s="154">
        <v>2.7715714285714288E-3</v>
      </c>
      <c r="K291" s="154">
        <v>1.2126242008956489E-2</v>
      </c>
      <c r="L291" s="154">
        <v>0</v>
      </c>
      <c r="M291" s="154">
        <v>9.3595751810243634E-4</v>
      </c>
      <c r="N291" s="154">
        <v>2.3243384289252898E-2</v>
      </c>
      <c r="P291" s="197"/>
      <c r="Q291" s="154" t="s">
        <v>375</v>
      </c>
      <c r="R291" s="154">
        <v>1.0347449498978036E-3</v>
      </c>
      <c r="S291" s="154">
        <v>-5.2575506979843073E-5</v>
      </c>
      <c r="T291" s="154">
        <v>3.4491498329926784E-4</v>
      </c>
      <c r="U291" s="154">
        <v>-3.4491498329926788E-5</v>
      </c>
      <c r="V291" s="154">
        <v>1.0654632223259673E-3</v>
      </c>
      <c r="W291" s="154">
        <v>4.305425874053325E-4</v>
      </c>
      <c r="X291" s="154">
        <v>1.7869725535414797E-4</v>
      </c>
      <c r="Y291" s="154">
        <v>3.8143587647444083E-3</v>
      </c>
      <c r="Z291" s="154">
        <v>1.6846680868769288E-2</v>
      </c>
      <c r="AA291" s="154">
        <v>0</v>
      </c>
      <c r="AB291" s="154">
        <v>5.8582618483787648E-3</v>
      </c>
    </row>
    <row r="292" spans="1:28" x14ac:dyDescent="0.25">
      <c r="A292" s="155"/>
      <c r="B292" s="154" t="s">
        <v>356</v>
      </c>
      <c r="C292" s="154">
        <v>8.7219444754753307E-4</v>
      </c>
      <c r="D292" s="154">
        <v>-1.3082916713212997E-4</v>
      </c>
      <c r="E292" s="154">
        <v>5.0874587878184309E-4</v>
      </c>
      <c r="F292" s="154">
        <v>-2.5437293939092159E-5</v>
      </c>
      <c r="G292" s="154">
        <v>1.3005202080832333E-3</v>
      </c>
      <c r="H292" s="154">
        <v>1.3005202080832333E-3</v>
      </c>
      <c r="I292" s="154">
        <v>1.4005602240896359E-3</v>
      </c>
      <c r="J292" s="154">
        <v>7.6790319236904909E-4</v>
      </c>
      <c r="K292" s="154">
        <v>1.7623326116330634E-2</v>
      </c>
      <c r="L292" s="154">
        <v>0</v>
      </c>
      <c r="M292" s="154">
        <v>1.8887883298513993E-5</v>
      </c>
      <c r="N292" s="154">
        <v>2.3636391697512454E-2</v>
      </c>
    </row>
    <row r="293" spans="1:28" x14ac:dyDescent="0.25">
      <c r="A293" s="155"/>
      <c r="B293" s="154" t="s">
        <v>344</v>
      </c>
      <c r="C293" s="154">
        <v>1.0902430594344164E-3</v>
      </c>
      <c r="D293" s="154">
        <v>-1.6353645891516245E-4</v>
      </c>
      <c r="E293" s="154">
        <v>1.0174917575636864E-3</v>
      </c>
      <c r="F293" s="154">
        <v>-5.0874587878184312E-5</v>
      </c>
      <c r="G293" s="154">
        <v>1.5506202480992397E-3</v>
      </c>
      <c r="H293" s="154">
        <v>1.6256502601040416E-3</v>
      </c>
      <c r="I293" s="154">
        <v>1.6256502601040416E-3</v>
      </c>
      <c r="J293" s="154">
        <v>9.5987899046131133E-4</v>
      </c>
      <c r="K293" s="154">
        <v>1.6533525437562417E-2</v>
      </c>
      <c r="L293" s="154">
        <v>0</v>
      </c>
      <c r="M293" s="154">
        <v>2.360985412314249E-5</v>
      </c>
      <c r="N293" s="154">
        <v>2.4212258820658947E-2</v>
      </c>
    </row>
    <row r="294" spans="1:28" x14ac:dyDescent="0.25">
      <c r="A294" s="155"/>
      <c r="B294" s="154" t="s">
        <v>353</v>
      </c>
      <c r="C294" s="154">
        <v>1.8209695944675583E-3</v>
      </c>
      <c r="D294" s="154">
        <v>-1.5096790045692366E-4</v>
      </c>
      <c r="E294" s="154">
        <v>7.6311881817276459E-4</v>
      </c>
      <c r="F294" s="154">
        <v>-3.8155940908638231E-5</v>
      </c>
      <c r="G294" s="154">
        <v>3.6264505802320927E-3</v>
      </c>
      <c r="H294" s="154">
        <v>2.7152291126929309E-3</v>
      </c>
      <c r="I294" s="154">
        <v>4.0016006402561026E-3</v>
      </c>
      <c r="J294" s="154">
        <v>1.0198714273651432E-3</v>
      </c>
      <c r="K294" s="154">
        <v>1.1806252397178342E-2</v>
      </c>
      <c r="L294" s="154">
        <v>3.9723436527569315E-4</v>
      </c>
      <c r="M294" s="154">
        <v>2.5085470005838896E-5</v>
      </c>
      <c r="N294" s="154">
        <v>2.5986688564280904E-2</v>
      </c>
    </row>
    <row r="295" spans="1:28" x14ac:dyDescent="0.25">
      <c r="A295" s="155"/>
      <c r="B295" s="154" t="s">
        <v>354</v>
      </c>
      <c r="C295" s="154">
        <v>1.6052596798267933E-3</v>
      </c>
      <c r="D295" s="154">
        <v>-1.1861141326080898E-4</v>
      </c>
      <c r="E295" s="154">
        <v>7.6311881817276459E-4</v>
      </c>
      <c r="F295" s="154">
        <v>-3.8155940908638231E-5</v>
      </c>
      <c r="G295" s="154">
        <v>3.6264505802320927E-3</v>
      </c>
      <c r="H295" s="154">
        <v>2.5777082888133671E-3</v>
      </c>
      <c r="I295" s="154">
        <v>4.0016006402561026E-3</v>
      </c>
      <c r="J295" s="154">
        <v>2.7294594720870869E-3</v>
      </c>
      <c r="K295" s="154">
        <v>1.3016268622067189E-2</v>
      </c>
      <c r="L295" s="154">
        <v>2.7781759114293633E-4</v>
      </c>
      <c r="M295" s="154">
        <v>5.6825505825447255E-5</v>
      </c>
      <c r="N295" s="154">
        <v>2.849774184425433E-2</v>
      </c>
    </row>
    <row r="296" spans="1:28" x14ac:dyDescent="0.25">
      <c r="A296" s="155"/>
      <c r="B296" s="154" t="s">
        <v>351</v>
      </c>
      <c r="C296" s="154">
        <v>7.6317014160409149E-4</v>
      </c>
      <c r="D296" s="154">
        <v>-8.0920645629828101E-5</v>
      </c>
      <c r="E296" s="154">
        <v>7.6311881817276459E-4</v>
      </c>
      <c r="F296" s="154">
        <v>-3.8155940908638231E-5</v>
      </c>
      <c r="G296" s="154">
        <v>3.6264505802320927E-3</v>
      </c>
      <c r="H296" s="154">
        <v>2.6260504201680674E-3</v>
      </c>
      <c r="I296" s="154">
        <v>4.0016006402561026E-3</v>
      </c>
      <c r="J296" s="154">
        <v>2.7715714285714288E-3</v>
      </c>
      <c r="K296" s="154">
        <v>1.3156983754624931E-2</v>
      </c>
      <c r="L296" s="154">
        <v>0</v>
      </c>
      <c r="M296" s="154">
        <v>9.3595751810243634E-4</v>
      </c>
      <c r="N296" s="154">
        <v>2.852582671519345E-2</v>
      </c>
    </row>
    <row r="297" spans="1:28" x14ac:dyDescent="0.25">
      <c r="A297" s="155"/>
      <c r="B297" s="154" t="s">
        <v>349</v>
      </c>
      <c r="C297" s="154">
        <v>1.8209695944675583E-3</v>
      </c>
      <c r="D297" s="154">
        <v>-1.5096790045692366E-4</v>
      </c>
      <c r="E297" s="154">
        <v>5.087458787818432E-4</v>
      </c>
      <c r="F297" s="154">
        <v>-2.5437293939092156E-5</v>
      </c>
      <c r="G297" s="154">
        <v>1.525610244097639E-3</v>
      </c>
      <c r="H297" s="154">
        <v>2.7152291126929309E-3</v>
      </c>
      <c r="I297" s="154">
        <v>1.6256502601040416E-3</v>
      </c>
      <c r="J297" s="154">
        <v>1.0198714273651432E-3</v>
      </c>
      <c r="K297" s="154">
        <v>1.9370716684618969E-2</v>
      </c>
      <c r="L297" s="154">
        <v>2.6126761215228105E-4</v>
      </c>
      <c r="M297" s="154">
        <v>2.5085470005838896E-5</v>
      </c>
      <c r="N297" s="154">
        <v>2.8696741089890229E-2</v>
      </c>
    </row>
    <row r="298" spans="1:28" x14ac:dyDescent="0.25">
      <c r="A298" s="155"/>
      <c r="B298" s="154" t="s">
        <v>357</v>
      </c>
      <c r="C298" s="154">
        <v>1.4567756755740466E-3</v>
      </c>
      <c r="D298" s="154">
        <v>-1.2077432036553891E-4</v>
      </c>
      <c r="E298" s="154">
        <v>5.0874587878184309E-4</v>
      </c>
      <c r="F298" s="154">
        <v>-2.5437293939092159E-5</v>
      </c>
      <c r="G298" s="154">
        <v>1.3005202080832333E-3</v>
      </c>
      <c r="H298" s="154">
        <v>2.1721832901543448E-3</v>
      </c>
      <c r="I298" s="154">
        <v>1.4005602240896359E-3</v>
      </c>
      <c r="J298" s="154">
        <v>8.1589714189211459E-4</v>
      </c>
      <c r="K298" s="154">
        <v>2.2027671263695939E-2</v>
      </c>
      <c r="L298" s="154">
        <v>1.7279931915194311E-4</v>
      </c>
      <c r="M298" s="154">
        <v>2.0068376004671116E-5</v>
      </c>
      <c r="N298" s="154">
        <v>2.9729009763123138E-2</v>
      </c>
    </row>
    <row r="299" spans="1:28" x14ac:dyDescent="0.25">
      <c r="A299" s="155"/>
      <c r="B299" s="154" t="s">
        <v>337</v>
      </c>
      <c r="C299" s="154">
        <v>1.9812010201050753E-3</v>
      </c>
      <c r="D299" s="154">
        <v>-1.0568171698204363E-4</v>
      </c>
      <c r="E299" s="154">
        <v>6.8982996659853576E-5</v>
      </c>
      <c r="F299" s="154">
        <v>-6.8982996659853564E-6</v>
      </c>
      <c r="G299" s="154">
        <v>1.0654632223259673E-3</v>
      </c>
      <c r="H299" s="154">
        <v>2.9878618113912231E-4</v>
      </c>
      <c r="I299" s="154">
        <v>8.6011184229469056E-5</v>
      </c>
      <c r="J299" s="154">
        <v>1.1074472868176938E-2</v>
      </c>
      <c r="K299" s="154">
        <v>1.4134775461909336E-2</v>
      </c>
      <c r="L299" s="154">
        <v>1.2607618619646342E-3</v>
      </c>
      <c r="M299" s="154">
        <v>2.3557101727914492E-4</v>
      </c>
      <c r="N299" s="154">
        <v>3.0093445797141509E-2</v>
      </c>
    </row>
    <row r="300" spans="1:28" x14ac:dyDescent="0.25">
      <c r="A300" s="155"/>
      <c r="B300" s="154" t="s">
        <v>328</v>
      </c>
      <c r="C300" s="154">
        <v>1.9812010201050753E-3</v>
      </c>
      <c r="D300" s="154">
        <v>-1.0568171698204363E-4</v>
      </c>
      <c r="E300" s="154">
        <v>6.8982996659853576E-5</v>
      </c>
      <c r="F300" s="154">
        <v>-6.8982996659853564E-6</v>
      </c>
      <c r="G300" s="154">
        <v>1.0654632223259673E-3</v>
      </c>
      <c r="H300" s="154">
        <v>2.9878618113912231E-4</v>
      </c>
      <c r="I300" s="154">
        <v>8.9502842587904882E-5</v>
      </c>
      <c r="J300" s="154">
        <v>1.1074472868176938E-2</v>
      </c>
      <c r="K300" s="154">
        <v>1.413813019248901E-2</v>
      </c>
      <c r="L300" s="154">
        <v>1.2610610896660879E-3</v>
      </c>
      <c r="M300" s="154">
        <v>2.3557101727914492E-4</v>
      </c>
      <c r="N300" s="154">
        <v>3.0100591413781075E-2</v>
      </c>
    </row>
    <row r="301" spans="1:28" x14ac:dyDescent="0.25">
      <c r="A301" s="155"/>
      <c r="B301" s="154" t="s">
        <v>345</v>
      </c>
      <c r="C301" s="154">
        <v>1.8209695944675583E-3</v>
      </c>
      <c r="D301" s="154">
        <v>-1.5096790045692366E-4</v>
      </c>
      <c r="E301" s="154">
        <v>1.0174917575636864E-3</v>
      </c>
      <c r="F301" s="154">
        <v>-5.0874587878184312E-5</v>
      </c>
      <c r="G301" s="154">
        <v>1.5506202480992397E-3</v>
      </c>
      <c r="H301" s="154">
        <v>2.7152291126929309E-3</v>
      </c>
      <c r="I301" s="154">
        <v>1.6256502601040416E-3</v>
      </c>
      <c r="J301" s="154">
        <v>1.0198714273651432E-3</v>
      </c>
      <c r="K301" s="154">
        <v>2.0559002185154357E-2</v>
      </c>
      <c r="L301" s="154">
        <v>2.7729492391027032E-4</v>
      </c>
      <c r="M301" s="154">
        <v>2.5085470005838896E-5</v>
      </c>
      <c r="N301" s="154">
        <v>3.0409372491027955E-2</v>
      </c>
      <c r="R301" s="154" t="s">
        <v>18</v>
      </c>
      <c r="S301" s="154" t="s">
        <v>28</v>
      </c>
      <c r="T301" s="154" t="s">
        <v>14</v>
      </c>
      <c r="U301" s="154" t="s">
        <v>25</v>
      </c>
      <c r="V301" s="154" t="s">
        <v>37</v>
      </c>
      <c r="W301" s="154" t="s">
        <v>52</v>
      </c>
      <c r="X301" s="154" t="s">
        <v>262</v>
      </c>
      <c r="Y301" s="154" t="s">
        <v>67</v>
      </c>
      <c r="Z301" s="154" t="s">
        <v>56</v>
      </c>
      <c r="AA301" s="154" t="s">
        <v>73</v>
      </c>
      <c r="AB301" s="154" t="s">
        <v>206</v>
      </c>
    </row>
    <row r="302" spans="1:28" x14ac:dyDescent="0.25">
      <c r="A302" s="155"/>
      <c r="B302" s="154" t="s">
        <v>336</v>
      </c>
      <c r="C302" s="154">
        <v>1.9922371300663917E-3</v>
      </c>
      <c r="D302" s="154">
        <v>-1.067853279781753E-4</v>
      </c>
      <c r="E302" s="154">
        <v>6.8982996659853576E-5</v>
      </c>
      <c r="F302" s="154">
        <v>-6.8982996659853564E-6</v>
      </c>
      <c r="G302" s="154">
        <v>1.0654632223259673E-3</v>
      </c>
      <c r="H302" s="154">
        <v>2.9878618113912231E-4</v>
      </c>
      <c r="I302" s="154">
        <v>8.6011184229469056E-5</v>
      </c>
      <c r="J302" s="154">
        <v>1.2176327875562188E-2</v>
      </c>
      <c r="K302" s="154">
        <v>1.5198693025411145E-2</v>
      </c>
      <c r="L302" s="154">
        <v>1.7161115644184627E-3</v>
      </c>
      <c r="M302" s="154">
        <v>2.3112628110406671E-4</v>
      </c>
      <c r="N302" s="154">
        <v>3.2720055833272504E-2</v>
      </c>
      <c r="P302" s="197">
        <v>2023</v>
      </c>
      <c r="Q302" s="154" t="s">
        <v>379</v>
      </c>
      <c r="R302" s="154">
        <v>1.0347449498978036E-3</v>
      </c>
      <c r="S302" s="154">
        <v>-1.0336086682377807E-4</v>
      </c>
      <c r="T302" s="154">
        <v>3.4491498329926784E-4</v>
      </c>
      <c r="U302" s="154">
        <v>-3.4491498329926788E-5</v>
      </c>
      <c r="V302" s="154">
        <v>1.0654632223259673E-3</v>
      </c>
      <c r="W302" s="154">
        <v>4.305425874053325E-4</v>
      </c>
      <c r="X302" s="154">
        <v>1.7869725535414797E-4</v>
      </c>
      <c r="Y302" s="154">
        <v>2.1494771182553069E-3</v>
      </c>
      <c r="Z302" s="154">
        <v>9.3691920665066718E-3</v>
      </c>
      <c r="AA302" s="154">
        <v>0</v>
      </c>
      <c r="AB302" s="154">
        <v>1.9330162494961441E-3</v>
      </c>
    </row>
    <row r="303" spans="1:28" x14ac:dyDescent="0.25">
      <c r="A303" s="155"/>
      <c r="B303" s="154" t="s">
        <v>327</v>
      </c>
      <c r="C303" s="154">
        <v>1.9922371300663917E-3</v>
      </c>
      <c r="D303" s="154">
        <v>-1.067853279781753E-4</v>
      </c>
      <c r="E303" s="154">
        <v>6.8982996659853576E-5</v>
      </c>
      <c r="F303" s="154">
        <v>-6.8982996659853564E-6</v>
      </c>
      <c r="G303" s="154">
        <v>1.0654632223259673E-3</v>
      </c>
      <c r="H303" s="154">
        <v>2.9878618113912231E-4</v>
      </c>
      <c r="I303" s="154">
        <v>8.9502842587904882E-5</v>
      </c>
      <c r="J303" s="154">
        <v>1.2176327875562188E-2</v>
      </c>
      <c r="K303" s="154">
        <v>1.5202047755990818E-2</v>
      </c>
      <c r="L303" s="154">
        <v>1.7164903530375655E-3</v>
      </c>
      <c r="M303" s="154">
        <v>2.3112628110406671E-4</v>
      </c>
      <c r="N303" s="154">
        <v>3.2727281010829723E-2</v>
      </c>
      <c r="P303" s="197"/>
      <c r="Q303" s="154" t="s">
        <v>375</v>
      </c>
      <c r="R303" s="154">
        <v>1.0347449498978036E-3</v>
      </c>
      <c r="S303" s="154">
        <v>-1.0336086682377807E-4</v>
      </c>
      <c r="T303" s="154">
        <v>3.4491498329926784E-4</v>
      </c>
      <c r="U303" s="154">
        <v>-3.4491498329926788E-5</v>
      </c>
      <c r="V303" s="154">
        <v>1.0654632223259673E-3</v>
      </c>
      <c r="W303" s="154">
        <v>4.305425874053325E-4</v>
      </c>
      <c r="X303" s="154">
        <v>1.7869725535414797E-4</v>
      </c>
      <c r="Y303" s="154">
        <v>4.1072811176853007E-3</v>
      </c>
      <c r="Z303" s="154">
        <v>1.1833655417796072E-2</v>
      </c>
      <c r="AA303" s="154">
        <v>0</v>
      </c>
      <c r="AB303" s="154">
        <v>1.8343688133195604E-3</v>
      </c>
    </row>
    <row r="304" spans="1:28" x14ac:dyDescent="0.25">
      <c r="A304" s="155"/>
      <c r="B304" s="154" t="s">
        <v>350</v>
      </c>
      <c r="C304" s="154">
        <v>1.6052596798267933E-3</v>
      </c>
      <c r="D304" s="154">
        <v>-1.1861141326080898E-4</v>
      </c>
      <c r="E304" s="154">
        <v>5.087458787818432E-4</v>
      </c>
      <c r="F304" s="154">
        <v>-2.5437293939092156E-5</v>
      </c>
      <c r="G304" s="154">
        <v>1.525610244097639E-3</v>
      </c>
      <c r="H304" s="154">
        <v>2.5777082888133671E-3</v>
      </c>
      <c r="I304" s="154">
        <v>1.6256502601040416E-3</v>
      </c>
      <c r="J304" s="154">
        <v>2.7294594720870869E-3</v>
      </c>
      <c r="K304" s="154">
        <v>2.2389181071705816E-2</v>
      </c>
      <c r="L304" s="154">
        <v>1.9156518564026476E-4</v>
      </c>
      <c r="M304" s="154">
        <v>5.6825505825447255E-5</v>
      </c>
      <c r="N304" s="154">
        <v>3.3065956879682397E-2</v>
      </c>
      <c r="P304" s="197"/>
      <c r="Q304" s="154" t="s">
        <v>347</v>
      </c>
      <c r="R304" s="154">
        <v>7.6317014160409149E-4</v>
      </c>
      <c r="S304" s="154">
        <v>-1.1346797345547289E-4</v>
      </c>
      <c r="T304" s="154">
        <v>5.087458787818432E-4</v>
      </c>
      <c r="U304" s="154">
        <v>-2.5437293939092156E-5</v>
      </c>
      <c r="V304" s="154">
        <v>1.525610244097639E-3</v>
      </c>
      <c r="W304" s="154">
        <v>2.6260504201680674E-3</v>
      </c>
      <c r="X304" s="154">
        <v>1.6256502601040416E-3</v>
      </c>
      <c r="Y304" s="154">
        <v>2.7715714285714288E-3</v>
      </c>
      <c r="Z304" s="154">
        <v>2.2260979810807893E-2</v>
      </c>
      <c r="AA304" s="154">
        <v>0</v>
      </c>
      <c r="AB304" s="154">
        <v>7.4298751127533757E-4</v>
      </c>
    </row>
    <row r="305" spans="1:28" x14ac:dyDescent="0.25">
      <c r="A305" s="155"/>
      <c r="B305" s="154" t="s">
        <v>347</v>
      </c>
      <c r="C305" s="154">
        <v>7.6317014160409149E-4</v>
      </c>
      <c r="D305" s="154">
        <v>-8.0920645629828101E-5</v>
      </c>
      <c r="E305" s="154">
        <v>5.087458787818432E-4</v>
      </c>
      <c r="F305" s="154">
        <v>-2.5437293939092156E-5</v>
      </c>
      <c r="G305" s="154">
        <v>1.525610244097639E-3</v>
      </c>
      <c r="H305" s="154">
        <v>2.6260504201680674E-3</v>
      </c>
      <c r="I305" s="154">
        <v>1.6256502601040416E-3</v>
      </c>
      <c r="J305" s="154">
        <v>2.7715714285714288E-3</v>
      </c>
      <c r="K305" s="154">
        <v>2.2740204146944967E-2</v>
      </c>
      <c r="L305" s="154">
        <v>0</v>
      </c>
      <c r="M305" s="154">
        <v>9.3595751810243634E-4</v>
      </c>
      <c r="N305" s="154">
        <v>3.3390602098805594E-2</v>
      </c>
      <c r="P305" s="197"/>
      <c r="Q305" s="154" t="s">
        <v>365</v>
      </c>
      <c r="R305" s="154">
        <v>6.4495368251871292E-3</v>
      </c>
      <c r="S305" s="154">
        <v>-1.6030702191455165E-3</v>
      </c>
      <c r="T305" s="154">
        <v>1.552776665375814E-3</v>
      </c>
      <c r="U305" s="154">
        <v>-3.8819416634395349E-4</v>
      </c>
      <c r="V305" s="154">
        <v>2.6666666666666665E-2</v>
      </c>
      <c r="W305" s="154">
        <v>7.619047619047619E-3</v>
      </c>
      <c r="X305" s="154">
        <v>4.4000000000000003E-3</v>
      </c>
      <c r="Y305" s="154">
        <v>1.1573595723149675E-2</v>
      </c>
      <c r="Z305" s="154">
        <v>7.061358407215175E-2</v>
      </c>
      <c r="AA305" s="154">
        <v>0</v>
      </c>
      <c r="AB305" s="154">
        <v>3.1055649111335639E-3</v>
      </c>
    </row>
    <row r="306" spans="1:28" x14ac:dyDescent="0.25">
      <c r="A306" s="155"/>
      <c r="B306" s="154" t="s">
        <v>358</v>
      </c>
      <c r="C306" s="154">
        <v>1.2842077438614348E-3</v>
      </c>
      <c r="D306" s="154">
        <v>-9.4889130608647181E-5</v>
      </c>
      <c r="E306" s="154">
        <v>5.0874587878184309E-4</v>
      </c>
      <c r="F306" s="154">
        <v>-2.5437293939092159E-5</v>
      </c>
      <c r="G306" s="154">
        <v>1.3005202080832333E-3</v>
      </c>
      <c r="H306" s="154">
        <v>2.0621666310506933E-3</v>
      </c>
      <c r="I306" s="154">
        <v>1.4005602240896359E-3</v>
      </c>
      <c r="J306" s="154">
        <v>2.1835675776696695E-3</v>
      </c>
      <c r="K306" s="154">
        <v>2.5330226416626245E-2</v>
      </c>
      <c r="L306" s="154">
        <v>1.2631560625401932E-4</v>
      </c>
      <c r="M306" s="154">
        <v>4.5460404660357809E-5</v>
      </c>
      <c r="N306" s="154">
        <v>3.4121444266529397E-2</v>
      </c>
      <c r="P306" s="197"/>
    </row>
    <row r="307" spans="1:28" x14ac:dyDescent="0.25">
      <c r="A307" s="155"/>
      <c r="B307" s="154" t="s">
        <v>355</v>
      </c>
      <c r="C307" s="154">
        <v>6.1053611328327313E-4</v>
      </c>
      <c r="D307" s="154">
        <v>-6.4736516503862478E-5</v>
      </c>
      <c r="E307" s="154">
        <v>5.0874587878184309E-4</v>
      </c>
      <c r="F307" s="154">
        <v>-2.5437293939092159E-5</v>
      </c>
      <c r="G307" s="154">
        <v>1.3005202080832333E-3</v>
      </c>
      <c r="H307" s="154">
        <v>2.1008403361344541E-3</v>
      </c>
      <c r="I307" s="154">
        <v>1.4005602240896359E-3</v>
      </c>
      <c r="J307" s="154">
        <v>2.217257142857143E-3</v>
      </c>
      <c r="K307" s="154">
        <v>2.5714286957770269E-2</v>
      </c>
      <c r="L307" s="154">
        <v>0</v>
      </c>
      <c r="M307" s="154">
        <v>7.4876601448194905E-4</v>
      </c>
      <c r="N307" s="154">
        <v>3.4511339065038844E-2</v>
      </c>
      <c r="P307" s="197"/>
    </row>
    <row r="308" spans="1:28" x14ac:dyDescent="0.25">
      <c r="A308" s="155"/>
      <c r="B308" s="154" t="s">
        <v>346</v>
      </c>
      <c r="C308" s="154">
        <v>1.6052596798267933E-3</v>
      </c>
      <c r="D308" s="154">
        <v>-1.1861141326080898E-4</v>
      </c>
      <c r="E308" s="154">
        <v>1.0174917575636864E-3</v>
      </c>
      <c r="F308" s="154">
        <v>-5.0874587878184312E-5</v>
      </c>
      <c r="G308" s="154">
        <v>1.5506202480992397E-3</v>
      </c>
      <c r="H308" s="154">
        <v>2.5777082888133671E-3</v>
      </c>
      <c r="I308" s="154">
        <v>1.6256502601040416E-3</v>
      </c>
      <c r="J308" s="154">
        <v>2.7294594720870869E-3</v>
      </c>
      <c r="K308" s="154">
        <v>2.3577466572241201E-2</v>
      </c>
      <c r="L308" s="154">
        <v>2.0173233430794725E-4</v>
      </c>
      <c r="M308" s="154">
        <v>5.6825505825447255E-5</v>
      </c>
      <c r="N308" s="154">
        <v>3.4772728117729815E-2</v>
      </c>
      <c r="P308" s="197"/>
    </row>
    <row r="309" spans="1:28" x14ac:dyDescent="0.25">
      <c r="A309" s="155"/>
      <c r="B309" s="154" t="s">
        <v>343</v>
      </c>
      <c r="C309" s="154">
        <v>7.6317014160409149E-4</v>
      </c>
      <c r="D309" s="154">
        <v>-8.0920645629828101E-5</v>
      </c>
      <c r="E309" s="154">
        <v>1.0174917575636864E-3</v>
      </c>
      <c r="F309" s="154">
        <v>-5.0874587878184312E-5</v>
      </c>
      <c r="G309" s="154">
        <v>1.5506202480992397E-3</v>
      </c>
      <c r="H309" s="154">
        <v>2.6260504201680674E-3</v>
      </c>
      <c r="I309" s="154">
        <v>1.6256502601040416E-3</v>
      </c>
      <c r="J309" s="154">
        <v>2.7715714285714288E-3</v>
      </c>
      <c r="K309" s="154">
        <v>2.3928489647480365E-2</v>
      </c>
      <c r="L309" s="154">
        <v>0</v>
      </c>
      <c r="M309" s="154">
        <v>9.3595751810243634E-4</v>
      </c>
      <c r="N309" s="154">
        <v>3.5087206188185345E-2</v>
      </c>
      <c r="P309" s="197"/>
    </row>
    <row r="310" spans="1:28" x14ac:dyDescent="0.25">
      <c r="A310" s="155"/>
      <c r="B310" s="154" t="s">
        <v>331</v>
      </c>
      <c r="C310" s="154">
        <v>1.9812010201050753E-3</v>
      </c>
      <c r="D310" s="154">
        <v>-1.0568171698204363E-4</v>
      </c>
      <c r="E310" s="154">
        <v>3.4491498329926784E-4</v>
      </c>
      <c r="F310" s="154">
        <v>-3.4491498329926788E-5</v>
      </c>
      <c r="G310" s="154">
        <v>1.0654632223259673E-3</v>
      </c>
      <c r="H310" s="154">
        <v>2.9878618113912231E-4</v>
      </c>
      <c r="I310" s="154">
        <v>1.7869725535414797E-4</v>
      </c>
      <c r="J310" s="154">
        <v>1.1074472868176938E-2</v>
      </c>
      <c r="K310" s="154">
        <v>2.0026772808245816E-2</v>
      </c>
      <c r="L310" s="154">
        <v>1.2947163246812589E-3</v>
      </c>
      <c r="M310" s="154">
        <v>2.3557101727914492E-4</v>
      </c>
      <c r="N310" s="154">
        <v>3.6360422465294771E-2</v>
      </c>
      <c r="P310" s="197"/>
    </row>
    <row r="311" spans="1:28" x14ac:dyDescent="0.25">
      <c r="A311" s="155"/>
      <c r="B311" s="154" t="s">
        <v>334</v>
      </c>
      <c r="C311" s="154">
        <v>1.9812010201050753E-3</v>
      </c>
      <c r="D311" s="154">
        <v>-1.0568171698204363E-4</v>
      </c>
      <c r="E311" s="154">
        <v>6.8982996659853576E-5</v>
      </c>
      <c r="F311" s="154">
        <v>-6.8982996659853564E-6</v>
      </c>
      <c r="G311" s="154">
        <v>1.0654632223259673E-3</v>
      </c>
      <c r="H311" s="154">
        <v>2.9878618113912231E-4</v>
      </c>
      <c r="I311" s="154">
        <v>8.6011184229469056E-5</v>
      </c>
      <c r="J311" s="154">
        <v>1.1074472868176938E-2</v>
      </c>
      <c r="K311" s="154">
        <v>2.3010615626373594E-2</v>
      </c>
      <c r="L311" s="154">
        <v>1.2607618619646342E-3</v>
      </c>
      <c r="M311" s="154">
        <v>2.3557101727914492E-4</v>
      </c>
      <c r="N311" s="154">
        <v>3.8969285961605767E-2</v>
      </c>
      <c r="P311" s="197"/>
    </row>
    <row r="312" spans="1:28" x14ac:dyDescent="0.25">
      <c r="A312" s="155"/>
      <c r="B312" s="154" t="s">
        <v>330</v>
      </c>
      <c r="C312" s="154">
        <v>1.9922371300663917E-3</v>
      </c>
      <c r="D312" s="154">
        <v>-1.067853279781753E-4</v>
      </c>
      <c r="E312" s="154">
        <v>3.4491498329926784E-4</v>
      </c>
      <c r="F312" s="154">
        <v>-3.4491498329926788E-5</v>
      </c>
      <c r="G312" s="154">
        <v>1.0654632223259673E-3</v>
      </c>
      <c r="H312" s="154">
        <v>2.9878618113912231E-4</v>
      </c>
      <c r="I312" s="154">
        <v>1.7869725535414797E-4</v>
      </c>
      <c r="J312" s="154">
        <v>1.2176327875562188E-2</v>
      </c>
      <c r="K312" s="154">
        <v>2.1494645782664312E-2</v>
      </c>
      <c r="L312" s="154">
        <v>1.7590940957229288E-3</v>
      </c>
      <c r="M312" s="154">
        <v>2.3112628110406671E-4</v>
      </c>
      <c r="N312" s="154">
        <v>3.9400015980930292E-2</v>
      </c>
      <c r="P312" s="197"/>
    </row>
    <row r="313" spans="1:28" x14ac:dyDescent="0.25">
      <c r="A313" s="155"/>
      <c r="B313" s="154" t="s">
        <v>333</v>
      </c>
      <c r="C313" s="154">
        <v>1.9922371300663917E-3</v>
      </c>
      <c r="D313" s="154">
        <v>-1.067853279781753E-4</v>
      </c>
      <c r="E313" s="154">
        <v>6.8982996659853576E-5</v>
      </c>
      <c r="F313" s="154">
        <v>-6.8982996659853564E-6</v>
      </c>
      <c r="G313" s="154">
        <v>1.0654632223259673E-3</v>
      </c>
      <c r="H313" s="154">
        <v>2.9878618113912231E-4</v>
      </c>
      <c r="I313" s="154">
        <v>8.6011184229469056E-5</v>
      </c>
      <c r="J313" s="154">
        <v>1.2176327875562188E-2</v>
      </c>
      <c r="K313" s="154">
        <v>2.4742613292545308E-2</v>
      </c>
      <c r="L313" s="154">
        <v>1.7161115644184627E-3</v>
      </c>
      <c r="M313" s="154">
        <v>2.3112628110406671E-4</v>
      </c>
      <c r="N313" s="154">
        <v>4.2263976100406671E-2</v>
      </c>
      <c r="P313" s="197"/>
    </row>
    <row r="314" spans="1:28" x14ac:dyDescent="0.25">
      <c r="A314" s="155"/>
      <c r="B314" s="154" t="s">
        <v>338</v>
      </c>
      <c r="C314" s="154">
        <v>1.3120601049831952E-3</v>
      </c>
      <c r="D314" s="154">
        <v>-7.1121060229817985E-5</v>
      </c>
      <c r="E314" s="154">
        <v>6.8982996659853576E-5</v>
      </c>
      <c r="F314" s="154">
        <v>-6.8982996659853564E-6</v>
      </c>
      <c r="G314" s="154">
        <v>1.0654632223259673E-3</v>
      </c>
      <c r="H314" s="154">
        <v>4.305425874053325E-4</v>
      </c>
      <c r="I314" s="154">
        <v>8.6011184229469056E-5</v>
      </c>
      <c r="J314" s="154">
        <v>2.4202354741507264E-2</v>
      </c>
      <c r="K314" s="154">
        <v>2.6325694905820204E-2</v>
      </c>
      <c r="L314" s="154">
        <v>1.1416755443850596E-3</v>
      </c>
      <c r="M314" s="154">
        <v>2.9902098869419172E-4</v>
      </c>
      <c r="N314" s="154">
        <v>5.4853786916114734E-2</v>
      </c>
    </row>
    <row r="315" spans="1:28" x14ac:dyDescent="0.25">
      <c r="A315" s="155"/>
      <c r="B315" s="154" t="s">
        <v>329</v>
      </c>
      <c r="C315" s="154">
        <v>1.3120601049831952E-3</v>
      </c>
      <c r="D315" s="154">
        <v>-7.1121060229817985E-5</v>
      </c>
      <c r="E315" s="154">
        <v>6.8982996659853576E-5</v>
      </c>
      <c r="F315" s="154">
        <v>-6.8982996659853564E-6</v>
      </c>
      <c r="G315" s="154">
        <v>1.0654632223259673E-3</v>
      </c>
      <c r="H315" s="154">
        <v>4.305425874053325E-4</v>
      </c>
      <c r="I315" s="154">
        <v>8.9502842587904882E-5</v>
      </c>
      <c r="J315" s="154">
        <v>2.4202354741507264E-2</v>
      </c>
      <c r="K315" s="154">
        <v>2.6329049636399881E-2</v>
      </c>
      <c r="L315" s="154">
        <v>1.1418210301499948E-3</v>
      </c>
      <c r="M315" s="154">
        <v>2.9902098869419172E-4</v>
      </c>
      <c r="N315" s="154">
        <v>5.4860778790817785E-2</v>
      </c>
    </row>
    <row r="316" spans="1:28" x14ac:dyDescent="0.25">
      <c r="A316" s="155"/>
      <c r="B316" s="154" t="s">
        <v>332</v>
      </c>
      <c r="C316" s="154">
        <v>1.3120601049831952E-3</v>
      </c>
      <c r="D316" s="154">
        <v>-7.1121060229817985E-5</v>
      </c>
      <c r="E316" s="154">
        <v>3.4491498329926784E-4</v>
      </c>
      <c r="F316" s="154">
        <v>-3.4491498329926788E-5</v>
      </c>
      <c r="G316" s="154">
        <v>1.0654632223259673E-3</v>
      </c>
      <c r="H316" s="154">
        <v>4.305425874053325E-4</v>
      </c>
      <c r="I316" s="154">
        <v>1.7869725535414797E-4</v>
      </c>
      <c r="J316" s="154">
        <v>2.4202354741507264E-2</v>
      </c>
      <c r="K316" s="154">
        <v>3.6846422938026986E-2</v>
      </c>
      <c r="L316" s="154">
        <v>1.1581843467362296E-3</v>
      </c>
      <c r="M316" s="154">
        <v>2.9902098869419172E-4</v>
      </c>
      <c r="N316" s="154">
        <v>6.5732048609772831E-2</v>
      </c>
    </row>
    <row r="317" spans="1:28" x14ac:dyDescent="0.25">
      <c r="A317" s="155"/>
      <c r="B317" s="154" t="s">
        <v>335</v>
      </c>
      <c r="C317" s="154">
        <v>1.3120601049831952E-3</v>
      </c>
      <c r="D317" s="154">
        <v>-7.1121060229817985E-5</v>
      </c>
      <c r="E317" s="154">
        <v>6.8982996659853576E-5</v>
      </c>
      <c r="F317" s="154">
        <v>-6.8982996659853564E-6</v>
      </c>
      <c r="G317" s="154">
        <v>1.0654632223259673E-3</v>
      </c>
      <c r="H317" s="154">
        <v>4.305425874053325E-4</v>
      </c>
      <c r="I317" s="154">
        <v>8.6011184229469056E-5</v>
      </c>
      <c r="J317" s="154">
        <v>2.4202354741507264E-2</v>
      </c>
      <c r="K317" s="154">
        <v>4.2856743512300705E-2</v>
      </c>
      <c r="L317" s="154">
        <v>1.1416755443850596E-3</v>
      </c>
      <c r="M317" s="154">
        <v>2.9902098869419172E-4</v>
      </c>
      <c r="N317" s="154">
        <v>7.1384835522595239E-2</v>
      </c>
    </row>
    <row r="318" spans="1:28" x14ac:dyDescent="0.25">
      <c r="A318" s="155"/>
      <c r="B318" s="154" t="s">
        <v>363</v>
      </c>
      <c r="C318" s="154">
        <v>1.1641318209290907E-2</v>
      </c>
      <c r="D318" s="154">
        <v>-2.4161598044969133E-3</v>
      </c>
      <c r="E318" s="154">
        <v>2.964391815717463E-3</v>
      </c>
      <c r="F318" s="154">
        <v>-7.4109795392936575E-4</v>
      </c>
      <c r="G318" s="154">
        <v>2.5454545454545455E-2</v>
      </c>
      <c r="H318" s="154">
        <v>5.4545454545454541E-3</v>
      </c>
      <c r="I318" s="154">
        <v>4.4000000000000003E-3</v>
      </c>
      <c r="J318" s="154">
        <v>4.13162426244334E-3</v>
      </c>
      <c r="K318" s="154">
        <v>5.6871908459901539E-2</v>
      </c>
      <c r="L318" s="154">
        <v>4.4421860038116392E-3</v>
      </c>
      <c r="M318" s="154">
        <v>1.2578292470326314E-4</v>
      </c>
      <c r="N318" s="154">
        <v>0.11232904482653279</v>
      </c>
    </row>
    <row r="319" spans="1:28" x14ac:dyDescent="0.25">
      <c r="A319" s="155"/>
      <c r="B319" s="154" t="s">
        <v>366</v>
      </c>
      <c r="C319" s="154">
        <v>1.2195666695447615E-2</v>
      </c>
      <c r="D319" s="154">
        <v>-2.5312150332824808E-3</v>
      </c>
      <c r="E319" s="154">
        <v>1.552776665375814E-3</v>
      </c>
      <c r="F319" s="154">
        <v>-3.8819416634395349E-4</v>
      </c>
      <c r="G319" s="154">
        <v>2.6666666666666665E-2</v>
      </c>
      <c r="H319" s="154">
        <v>5.7142857142857143E-3</v>
      </c>
      <c r="I319" s="154">
        <v>4.4000000000000003E-3</v>
      </c>
      <c r="J319" s="154">
        <v>4.13162426244334E-3</v>
      </c>
      <c r="K319" s="154">
        <v>6.1799222420589786E-2</v>
      </c>
      <c r="L319" s="154">
        <v>4.4545939822651093E-3</v>
      </c>
      <c r="M319" s="154">
        <v>1.2578292470326314E-4</v>
      </c>
      <c r="N319" s="154">
        <v>0.11812121013215086</v>
      </c>
    </row>
    <row r="320" spans="1:28" x14ac:dyDescent="0.25">
      <c r="A320" s="155"/>
      <c r="B320" s="154" t="s">
        <v>362</v>
      </c>
      <c r="C320" s="154">
        <v>6.406113752333166E-3</v>
      </c>
      <c r="D320" s="154">
        <v>-1.3054394682679949E-3</v>
      </c>
      <c r="E320" s="154">
        <v>2.964391815717463E-3</v>
      </c>
      <c r="F320" s="154">
        <v>-7.4109795392936575E-4</v>
      </c>
      <c r="G320" s="154">
        <v>2.5454545454545455E-2</v>
      </c>
      <c r="H320" s="154">
        <v>7.2727272727272727E-3</v>
      </c>
      <c r="I320" s="154">
        <v>4.4000000000000003E-3</v>
      </c>
      <c r="J320" s="154">
        <v>1.0720644957616992E-2</v>
      </c>
      <c r="K320" s="154">
        <v>6.5403373288047129E-2</v>
      </c>
      <c r="L320" s="154">
        <v>0</v>
      </c>
      <c r="M320" s="154">
        <v>3.7182628349802355E-3</v>
      </c>
      <c r="N320" s="154">
        <v>0.12429352195377036</v>
      </c>
    </row>
    <row r="321" spans="1:14" x14ac:dyDescent="0.25">
      <c r="A321" s="155"/>
      <c r="B321" s="154" t="s">
        <v>372</v>
      </c>
      <c r="C321" s="154">
        <v>1.4228277811355551E-2</v>
      </c>
      <c r="D321" s="154">
        <v>-2.9530842054962272E-3</v>
      </c>
      <c r="E321" s="154">
        <v>2.1135015723170798E-3</v>
      </c>
      <c r="F321" s="154">
        <v>-5.2837539307926996E-4</v>
      </c>
      <c r="G321" s="154">
        <v>3.111111111111111E-2</v>
      </c>
      <c r="H321" s="154">
        <v>6.6666666666666662E-3</v>
      </c>
      <c r="I321" s="154">
        <v>4.4000000000000003E-3</v>
      </c>
      <c r="J321" s="154">
        <v>4.13162426244334E-3</v>
      </c>
      <c r="K321" s="154">
        <v>6.5381610164195081E-2</v>
      </c>
      <c r="L321" s="154">
        <v>5.1068670182368367E-3</v>
      </c>
      <c r="M321" s="154">
        <v>1.2578292470326314E-4</v>
      </c>
      <c r="N321" s="154">
        <v>0.12978398193245341</v>
      </c>
    </row>
    <row r="322" spans="1:14" x14ac:dyDescent="0.25">
      <c r="A322" s="155"/>
      <c r="B322" s="154" t="s">
        <v>365</v>
      </c>
      <c r="C322" s="154">
        <v>6.7111667881585542E-3</v>
      </c>
      <c r="D322" s="154">
        <v>-1.3676032524712327E-3</v>
      </c>
      <c r="E322" s="154">
        <v>1.552776665375814E-3</v>
      </c>
      <c r="F322" s="154">
        <v>-3.8819416634395349E-4</v>
      </c>
      <c r="G322" s="154">
        <v>2.6666666666666665E-2</v>
      </c>
      <c r="H322" s="154">
        <v>7.619047619047619E-3</v>
      </c>
      <c r="I322" s="154">
        <v>4.4000000000000003E-3</v>
      </c>
      <c r="J322" s="154">
        <v>1.0720644957616992E-2</v>
      </c>
      <c r="K322" s="154">
        <v>7.091509669714792E-2</v>
      </c>
      <c r="L322" s="154">
        <v>0</v>
      </c>
      <c r="M322" s="154">
        <v>3.7182628349802355E-3</v>
      </c>
      <c r="N322" s="154">
        <v>0.1305478648101786</v>
      </c>
    </row>
    <row r="323" spans="1:14" x14ac:dyDescent="0.25">
      <c r="A323" s="155"/>
      <c r="B323" s="154" t="s">
        <v>371</v>
      </c>
      <c r="C323" s="154">
        <v>7.8296945861849807E-3</v>
      </c>
      <c r="D323" s="154">
        <v>-1.5955371278831049E-3</v>
      </c>
      <c r="E323" s="154">
        <v>2.1135015723170798E-3</v>
      </c>
      <c r="F323" s="154">
        <v>-5.2837539307926996E-4</v>
      </c>
      <c r="G323" s="154">
        <v>3.111111111111111E-2</v>
      </c>
      <c r="H323" s="154">
        <v>8.8888888888888889E-3</v>
      </c>
      <c r="I323" s="154">
        <v>4.4000000000000003E-3</v>
      </c>
      <c r="J323" s="154">
        <v>1.0720644957616992E-2</v>
      </c>
      <c r="K323" s="154">
        <v>6.9329735996424835E-2</v>
      </c>
      <c r="L323" s="154">
        <v>0</v>
      </c>
      <c r="M323" s="154">
        <v>3.718262834980236E-3</v>
      </c>
      <c r="N323" s="154">
        <v>0.13598792742656174</v>
      </c>
    </row>
    <row r="324" spans="1:14" x14ac:dyDescent="0.25">
      <c r="A324" s="155"/>
      <c r="B324" s="154" t="s">
        <v>364</v>
      </c>
      <c r="C324" s="154">
        <v>1.2983934501295575E-2</v>
      </c>
      <c r="D324" s="154">
        <v>-2.5975276068232966E-3</v>
      </c>
      <c r="E324" s="154">
        <v>2.964391815717463E-3</v>
      </c>
      <c r="F324" s="154">
        <v>-7.4109795392936575E-4</v>
      </c>
      <c r="G324" s="154">
        <v>2.5454545454545455E-2</v>
      </c>
      <c r="H324" s="154">
        <v>7.3714603239921801E-3</v>
      </c>
      <c r="I324" s="154">
        <v>4.4000000000000003E-3</v>
      </c>
      <c r="J324" s="154">
        <v>1.3279381505411613E-2</v>
      </c>
      <c r="K324" s="154">
        <v>7.03336184363543E-2</v>
      </c>
      <c r="L324" s="154">
        <v>2.4811368469288692E-3</v>
      </c>
      <c r="M324" s="154">
        <v>3.2605614702792577E-4</v>
      </c>
      <c r="N324" s="154">
        <v>0.13625589947052072</v>
      </c>
    </row>
    <row r="325" spans="1:14" x14ac:dyDescent="0.25">
      <c r="A325" s="155"/>
      <c r="B325" s="154" t="s">
        <v>367</v>
      </c>
      <c r="C325" s="154">
        <v>1.3602217096595365E-2</v>
      </c>
      <c r="D325" s="154">
        <v>-2.721219397624406E-3</v>
      </c>
      <c r="E325" s="154">
        <v>1.552776665375814E-3</v>
      </c>
      <c r="F325" s="154">
        <v>-3.8819416634395349E-4</v>
      </c>
      <c r="G325" s="154">
        <v>2.6666666666666665E-2</v>
      </c>
      <c r="H325" s="154">
        <v>7.7224822441822839E-3</v>
      </c>
      <c r="I325" s="154">
        <v>4.4000000000000003E-3</v>
      </c>
      <c r="J325" s="154">
        <v>1.3279381505411613E-2</v>
      </c>
      <c r="K325" s="154">
        <v>7.6558564675540813E-2</v>
      </c>
      <c r="L325" s="154">
        <v>2.4923424709268893E-3</v>
      </c>
      <c r="M325" s="154">
        <v>3.2605614702792577E-4</v>
      </c>
      <c r="N325" s="154">
        <v>0.14349107390775903</v>
      </c>
    </row>
    <row r="326" spans="1:14" x14ac:dyDescent="0.25">
      <c r="A326" s="155"/>
      <c r="B326" s="154" t="s">
        <v>369</v>
      </c>
      <c r="C326" s="154">
        <v>1.6417243628487177E-2</v>
      </c>
      <c r="D326" s="154">
        <v>-3.4074048524956467E-3</v>
      </c>
      <c r="E326" s="154">
        <v>2.7870350404181278E-3</v>
      </c>
      <c r="F326" s="154">
        <v>-6.9675876010453195E-4</v>
      </c>
      <c r="G326" s="154">
        <v>3.5897435897435902E-2</v>
      </c>
      <c r="H326" s="154">
        <v>7.6923076923076927E-3</v>
      </c>
      <c r="I326" s="154">
        <v>4.4000000000000003E-3</v>
      </c>
      <c r="J326" s="154">
        <v>4.13162426244334E-3</v>
      </c>
      <c r="K326" s="154">
        <v>8.0695702197474711E-2</v>
      </c>
      <c r="L326" s="154">
        <v>5.8166846656595439E-3</v>
      </c>
      <c r="M326" s="154">
        <v>1.2578292470326314E-4</v>
      </c>
      <c r="N326" s="154">
        <v>0.15385965269632956</v>
      </c>
    </row>
    <row r="327" spans="1:14" x14ac:dyDescent="0.25">
      <c r="A327" s="155"/>
      <c r="B327" s="154" t="s">
        <v>373</v>
      </c>
      <c r="C327" s="154">
        <v>1.586925327936126E-2</v>
      </c>
      <c r="D327" s="154">
        <v>-3.1747559638951399E-3</v>
      </c>
      <c r="E327" s="154">
        <v>2.1135015723170798E-3</v>
      </c>
      <c r="F327" s="154">
        <v>-5.2837539307926996E-4</v>
      </c>
      <c r="G327" s="154">
        <v>3.111111111111111E-2</v>
      </c>
      <c r="H327" s="154">
        <v>9.0095626182126638E-3</v>
      </c>
      <c r="I327" s="154">
        <v>4.4000000000000003E-3</v>
      </c>
      <c r="J327" s="154">
        <v>1.3279381505411613E-2</v>
      </c>
      <c r="K327" s="154">
        <v>7.9584359467844631E-2</v>
      </c>
      <c r="L327" s="154">
        <v>2.8074723170056493E-3</v>
      </c>
      <c r="M327" s="154">
        <v>3.2605614702792577E-4</v>
      </c>
      <c r="N327" s="154">
        <v>0.15479756666131753</v>
      </c>
    </row>
    <row r="328" spans="1:14" x14ac:dyDescent="0.25">
      <c r="A328" s="155"/>
      <c r="B328" s="154" t="s">
        <v>368</v>
      </c>
      <c r="C328" s="154">
        <v>9.034262984059592E-3</v>
      </c>
      <c r="D328" s="154">
        <v>-1.8410043783266593E-3</v>
      </c>
      <c r="E328" s="154">
        <v>2.7870350404181278E-3</v>
      </c>
      <c r="F328" s="154">
        <v>-6.9675876010453195E-4</v>
      </c>
      <c r="G328" s="154">
        <v>3.5897435897435902E-2</v>
      </c>
      <c r="H328" s="154">
        <v>1.0256410256410255E-2</v>
      </c>
      <c r="I328" s="154">
        <v>4.4000000000000003E-3</v>
      </c>
      <c r="J328" s="154">
        <v>1.0720644957616992E-2</v>
      </c>
      <c r="K328" s="154">
        <v>8.8829772674907492E-2</v>
      </c>
      <c r="L328" s="154">
        <v>0</v>
      </c>
      <c r="M328" s="154">
        <v>3.7182628349802355E-3</v>
      </c>
      <c r="N328" s="154">
        <v>0.1631060615073974</v>
      </c>
    </row>
    <row r="329" spans="1:14" x14ac:dyDescent="0.25">
      <c r="A329" s="155"/>
      <c r="B329" s="154" t="s">
        <v>370</v>
      </c>
      <c r="C329" s="154">
        <v>1.8310676860801452E-2</v>
      </c>
      <c r="D329" s="154">
        <v>-3.6631799583405462E-3</v>
      </c>
      <c r="E329" s="154">
        <v>2.7870350404181278E-3</v>
      </c>
      <c r="F329" s="154">
        <v>-6.9675876010453195E-4</v>
      </c>
      <c r="G329" s="154">
        <v>3.5897435897435902E-2</v>
      </c>
      <c r="H329" s="154">
        <v>1.0395649174860766E-2</v>
      </c>
      <c r="I329" s="154">
        <v>4.4000000000000003E-3</v>
      </c>
      <c r="J329" s="154">
        <v>1.3279381505411613E-2</v>
      </c>
      <c r="K329" s="154">
        <v>9.6765433154279712E-2</v>
      </c>
      <c r="L329" s="154">
        <v>3.1501713725975572E-3</v>
      </c>
      <c r="M329" s="154">
        <v>3.2605614702792577E-4</v>
      </c>
      <c r="N329" s="154">
        <v>0.180951900434388</v>
      </c>
    </row>
    <row r="330" spans="1:14" x14ac:dyDescent="0.25">
      <c r="A330" s="155"/>
      <c r="B330" s="154" t="s">
        <v>360</v>
      </c>
      <c r="C330" s="154">
        <v>2.3282636418581814E-2</v>
      </c>
      <c r="D330" s="154">
        <v>-4.8323196089938266E-3</v>
      </c>
      <c r="E330" s="154">
        <v>3.9525224209566176E-3</v>
      </c>
      <c r="F330" s="154">
        <v>-9.8813060523915441E-4</v>
      </c>
      <c r="G330" s="154">
        <v>5.0909090909090911E-2</v>
      </c>
      <c r="H330" s="154">
        <v>1.0909090909090908E-2</v>
      </c>
      <c r="I330" s="154">
        <v>4.4000000000000003E-3</v>
      </c>
      <c r="J330" s="154">
        <v>4.13162426244334E-3</v>
      </c>
      <c r="K330" s="154">
        <v>0.12962524792344063</v>
      </c>
      <c r="L330" s="154">
        <v>7.9427691509175447E-3</v>
      </c>
      <c r="M330" s="154">
        <v>1.2578292470326314E-4</v>
      </c>
      <c r="N330" s="154">
        <v>0.22945831470499203</v>
      </c>
    </row>
    <row r="331" spans="1:14" x14ac:dyDescent="0.25">
      <c r="A331" s="155"/>
      <c r="B331" s="154" t="s">
        <v>359</v>
      </c>
      <c r="C331" s="154">
        <v>1.2812227504666332E-2</v>
      </c>
      <c r="D331" s="154">
        <v>-2.6108789365359899E-3</v>
      </c>
      <c r="E331" s="154">
        <v>3.9525224209566176E-3</v>
      </c>
      <c r="F331" s="154">
        <v>-9.8813060523915441E-4</v>
      </c>
      <c r="G331" s="154">
        <v>5.0909090909090911E-2</v>
      </c>
      <c r="H331" s="154">
        <v>1.4545454545454545E-2</v>
      </c>
      <c r="I331" s="154">
        <v>4.4000000000000003E-3</v>
      </c>
      <c r="J331" s="154">
        <v>1.0720644957616992E-2</v>
      </c>
      <c r="K331" s="154">
        <v>0.13731562811440928</v>
      </c>
      <c r="L331" s="154">
        <v>0</v>
      </c>
      <c r="M331" s="154">
        <v>3.7182628349802355E-3</v>
      </c>
      <c r="N331" s="154">
        <v>0.23477482174539976</v>
      </c>
    </row>
    <row r="332" spans="1:14" x14ac:dyDescent="0.25">
      <c r="A332" s="155"/>
      <c r="B332" s="154" t="s">
        <v>361</v>
      </c>
      <c r="C332" s="154">
        <v>2.5967869002591151E-2</v>
      </c>
      <c r="D332" s="154">
        <v>-5.1950552136465931E-3</v>
      </c>
      <c r="E332" s="154">
        <v>3.9525224209566176E-3</v>
      </c>
      <c r="F332" s="154">
        <v>-9.8813060523915441E-4</v>
      </c>
      <c r="G332" s="154">
        <v>5.0909090909090911E-2</v>
      </c>
      <c r="H332" s="154">
        <v>1.474292064798436E-2</v>
      </c>
      <c r="I332" s="154">
        <v>4.4000000000000003E-3</v>
      </c>
      <c r="J332" s="154">
        <v>1.3279381505411613E-2</v>
      </c>
      <c r="K332" s="154">
        <v>0.15103602689119042</v>
      </c>
      <c r="L332" s="154">
        <v>4.1797635385618787E-3</v>
      </c>
      <c r="M332" s="154">
        <v>3.2605614702792577E-4</v>
      </c>
      <c r="N332" s="154">
        <v>0.26261044524392907</v>
      </c>
    </row>
    <row r="333" spans="1:14" x14ac:dyDescent="0.25">
      <c r="A333" s="155" t="s">
        <v>383</v>
      </c>
      <c r="B333" s="154" t="s">
        <v>384</v>
      </c>
      <c r="C333" s="154" t="s">
        <v>385</v>
      </c>
      <c r="D333" s="154" t="s">
        <v>386</v>
      </c>
      <c r="E333" s="154" t="s">
        <v>387</v>
      </c>
      <c r="F333" s="154" t="s">
        <v>388</v>
      </c>
      <c r="G333" s="154" t="s">
        <v>389</v>
      </c>
      <c r="H333" s="154" t="s">
        <v>390</v>
      </c>
      <c r="I333" s="154" t="s">
        <v>391</v>
      </c>
      <c r="J333" s="154" t="s">
        <v>392</v>
      </c>
      <c r="K333" s="154" t="s">
        <v>393</v>
      </c>
      <c r="L333" s="154" t="s">
        <v>394</v>
      </c>
      <c r="M333" s="154" t="s">
        <v>395</v>
      </c>
      <c r="N333" s="154" t="s">
        <v>396</v>
      </c>
    </row>
    <row r="334" spans="1:14" x14ac:dyDescent="0.25">
      <c r="A334" s="155">
        <v>2050</v>
      </c>
      <c r="B334" s="154" t="s">
        <v>340</v>
      </c>
      <c r="C334" s="154">
        <v>1.0902430594344164E-3</v>
      </c>
      <c r="D334" s="154">
        <v>-1.6353645891516245E-4</v>
      </c>
      <c r="E334" s="154">
        <v>7.6311881817276459E-4</v>
      </c>
      <c r="F334" s="154">
        <v>-3.8155940908638231E-5</v>
      </c>
      <c r="G334" s="154">
        <v>1.6256502601040416E-3</v>
      </c>
      <c r="H334" s="154">
        <v>1.6256502601040416E-3</v>
      </c>
      <c r="I334" s="154">
        <v>1.7507002801120447E-3</v>
      </c>
      <c r="J334" s="154">
        <v>8.3706989059071399E-4</v>
      </c>
      <c r="K334" s="154">
        <v>8.1981036076722927E-3</v>
      </c>
      <c r="L334" s="154">
        <v>0</v>
      </c>
      <c r="M334" s="154">
        <v>4.2820272446309834E-7</v>
      </c>
      <c r="N334" s="154">
        <v>1.5689271979090976E-2</v>
      </c>
    </row>
    <row r="335" spans="1:14" x14ac:dyDescent="0.25">
      <c r="A335" s="155"/>
      <c r="B335" s="154" t="s">
        <v>342</v>
      </c>
      <c r="C335" s="154">
        <v>8.7510622887057403E-4</v>
      </c>
      <c r="D335" s="154">
        <v>-1.3078063744341263E-4</v>
      </c>
      <c r="E335" s="154">
        <v>7.6311881817276459E-4</v>
      </c>
      <c r="F335" s="154">
        <v>-3.8155940908638231E-5</v>
      </c>
      <c r="G335" s="154">
        <v>1.6256502601040416E-3</v>
      </c>
      <c r="H335" s="154">
        <v>1.4052359304229719E-3</v>
      </c>
      <c r="I335" s="154">
        <v>1.7507002801120447E-3</v>
      </c>
      <c r="J335" s="154">
        <v>1.5238870080703825E-3</v>
      </c>
      <c r="K335" s="154">
        <v>8.5064464888808689E-3</v>
      </c>
      <c r="L335" s="154">
        <v>1.4276553547772075E-4</v>
      </c>
      <c r="M335" s="154">
        <v>1.0306220566436748E-6</v>
      </c>
      <c r="N335" s="154">
        <v>1.6425004593815962E-2</v>
      </c>
    </row>
    <row r="336" spans="1:14" x14ac:dyDescent="0.25">
      <c r="A336" s="155"/>
      <c r="B336" s="154" t="s">
        <v>336</v>
      </c>
      <c r="C336" s="154">
        <v>1.3569040676564852E-3</v>
      </c>
      <c r="D336" s="154">
        <v>-1.3401388779574273E-4</v>
      </c>
      <c r="E336" s="154">
        <v>6.8982996659853576E-5</v>
      </c>
      <c r="F336" s="154">
        <v>-6.8982996659853564E-6</v>
      </c>
      <c r="G336" s="154">
        <v>1.0654632223259673E-3</v>
      </c>
      <c r="H336" s="154">
        <v>2.9878618113912231E-4</v>
      </c>
      <c r="I336" s="154">
        <v>8.6011184229469056E-5</v>
      </c>
      <c r="J336" s="154">
        <v>5.4701451293849941E-3</v>
      </c>
      <c r="K336" s="154">
        <v>7.9008839801519501E-3</v>
      </c>
      <c r="L336" s="154">
        <v>7.1822500101581012E-4</v>
      </c>
      <c r="M336" s="154">
        <v>4.1918473001819709E-6</v>
      </c>
      <c r="N336" s="154">
        <v>1.6828681422402104E-2</v>
      </c>
    </row>
    <row r="337" spans="1:14" x14ac:dyDescent="0.25">
      <c r="A337" s="155"/>
      <c r="B337" s="154" t="s">
        <v>327</v>
      </c>
      <c r="C337" s="154">
        <v>1.3569040676564852E-3</v>
      </c>
      <c r="D337" s="154">
        <v>-1.3401388779574273E-4</v>
      </c>
      <c r="E337" s="154">
        <v>6.8982996659853576E-5</v>
      </c>
      <c r="F337" s="154">
        <v>-6.8982996659853564E-6</v>
      </c>
      <c r="G337" s="154">
        <v>1.0654632223259673E-3</v>
      </c>
      <c r="H337" s="154">
        <v>2.9878618113912231E-4</v>
      </c>
      <c r="I337" s="154">
        <v>8.9502842587904882E-5</v>
      </c>
      <c r="J337" s="154">
        <v>5.4701451293849941E-3</v>
      </c>
      <c r="K337" s="154">
        <v>7.9042387107316255E-3</v>
      </c>
      <c r="L337" s="154">
        <v>7.1852996073677906E-4</v>
      </c>
      <c r="M337" s="154">
        <v>4.1918473001819709E-6</v>
      </c>
      <c r="N337" s="154">
        <v>1.6835832771061182E-2</v>
      </c>
    </row>
    <row r="338" spans="1:14" x14ac:dyDescent="0.25">
      <c r="A338" s="155"/>
      <c r="B338" s="154" t="s">
        <v>337</v>
      </c>
      <c r="C338" s="154">
        <v>1.2551060916366106E-3</v>
      </c>
      <c r="D338" s="154">
        <v>-1.2383409019375524E-4</v>
      </c>
      <c r="E338" s="154">
        <v>6.8982996659853576E-5</v>
      </c>
      <c r="F338" s="154">
        <v>-6.8982996659853564E-6</v>
      </c>
      <c r="G338" s="154">
        <v>1.0654632223259673E-3</v>
      </c>
      <c r="H338" s="154">
        <v>2.9878618113912231E-4</v>
      </c>
      <c r="I338" s="154">
        <v>8.6011184229469056E-5</v>
      </c>
      <c r="J338" s="154">
        <v>5.6283132239921011E-3</v>
      </c>
      <c r="K338" s="154">
        <v>7.9649015468819025E-3</v>
      </c>
      <c r="L338" s="154">
        <v>6.2553170530739097E-4</v>
      </c>
      <c r="M338" s="154">
        <v>4.2724597482624145E-6</v>
      </c>
      <c r="N338" s="154">
        <v>1.686663622206094E-2</v>
      </c>
    </row>
    <row r="339" spans="1:14" x14ac:dyDescent="0.25">
      <c r="A339" s="155"/>
      <c r="B339" s="154" t="s">
        <v>328</v>
      </c>
      <c r="C339" s="154">
        <v>1.2551060916366106E-3</v>
      </c>
      <c r="D339" s="154">
        <v>-1.2383409019375524E-4</v>
      </c>
      <c r="E339" s="154">
        <v>6.8982996659853576E-5</v>
      </c>
      <c r="F339" s="154">
        <v>-6.8982996659853564E-6</v>
      </c>
      <c r="G339" s="154">
        <v>1.0654632223259673E-3</v>
      </c>
      <c r="H339" s="154">
        <v>2.9878618113912231E-4</v>
      </c>
      <c r="I339" s="154">
        <v>8.9502842587904882E-5</v>
      </c>
      <c r="J339" s="154">
        <v>5.6283132239921011E-3</v>
      </c>
      <c r="K339" s="154">
        <v>7.968256277461578E-3</v>
      </c>
      <c r="L339" s="154">
        <v>6.2579517251134739E-4</v>
      </c>
      <c r="M339" s="154">
        <v>4.2724597482624145E-6</v>
      </c>
      <c r="N339" s="154">
        <v>1.6873746078203009E-2</v>
      </c>
    </row>
    <row r="340" spans="1:14" x14ac:dyDescent="0.25">
      <c r="A340" s="155"/>
      <c r="B340" s="154" t="s">
        <v>341</v>
      </c>
      <c r="C340" s="154">
        <v>1.364623687619921E-3</v>
      </c>
      <c r="D340" s="154">
        <v>-2.0420825625581466E-4</v>
      </c>
      <c r="E340" s="154">
        <v>7.6311881817276459E-4</v>
      </c>
      <c r="F340" s="154">
        <v>-3.8155940908638231E-5</v>
      </c>
      <c r="G340" s="154">
        <v>1.6256502601040416E-3</v>
      </c>
      <c r="H340" s="154">
        <v>2.0347764046985059E-3</v>
      </c>
      <c r="I340" s="154">
        <v>1.7507002801120447E-3</v>
      </c>
      <c r="J340" s="154">
        <v>8.8938675875263335E-4</v>
      </c>
      <c r="K340" s="154">
        <v>8.9512137644664324E-3</v>
      </c>
      <c r="L340" s="154">
        <v>1.5057061177638394E-4</v>
      </c>
      <c r="M340" s="154">
        <v>4.5496539474204176E-7</v>
      </c>
      <c r="N340" s="154">
        <v>1.7288131353933017E-2</v>
      </c>
    </row>
    <row r="341" spans="1:14" x14ac:dyDescent="0.25">
      <c r="A341" s="155"/>
      <c r="B341" s="154" t="s">
        <v>338</v>
      </c>
      <c r="C341" s="154">
        <v>1.0397745068075209E-3</v>
      </c>
      <c r="D341" s="154">
        <v>-1.0288771335031333E-4</v>
      </c>
      <c r="E341" s="154">
        <v>6.8982996659853576E-5</v>
      </c>
      <c r="F341" s="154">
        <v>-6.8982996659853564E-6</v>
      </c>
      <c r="G341" s="154">
        <v>1.0654632223259673E-3</v>
      </c>
      <c r="H341" s="154">
        <v>4.305425874053325E-4</v>
      </c>
      <c r="I341" s="154">
        <v>8.6011184229469056E-5</v>
      </c>
      <c r="J341" s="154">
        <v>6.5837900060073855E-3</v>
      </c>
      <c r="K341" s="154">
        <v>8.823841520165767E-3</v>
      </c>
      <c r="L341" s="154">
        <v>3.8266659653780032E-4</v>
      </c>
      <c r="M341" s="154">
        <v>5.4232271560286516E-6</v>
      </c>
      <c r="N341" s="154">
        <v>1.8376709834278825E-2</v>
      </c>
    </row>
    <row r="342" spans="1:14" x14ac:dyDescent="0.25">
      <c r="A342" s="155"/>
      <c r="B342" s="154" t="s">
        <v>329</v>
      </c>
      <c r="C342" s="154">
        <v>1.0397745068075209E-3</v>
      </c>
      <c r="D342" s="154">
        <v>-1.0288771335031333E-4</v>
      </c>
      <c r="E342" s="154">
        <v>6.8982996659853576E-5</v>
      </c>
      <c r="F342" s="154">
        <v>-6.8982996659853564E-6</v>
      </c>
      <c r="G342" s="154">
        <v>1.0654632223259673E-3</v>
      </c>
      <c r="H342" s="154">
        <v>4.305425874053325E-4</v>
      </c>
      <c r="I342" s="154">
        <v>8.9502842587904882E-5</v>
      </c>
      <c r="J342" s="154">
        <v>6.5837900060073855E-3</v>
      </c>
      <c r="K342" s="154">
        <v>8.8271962507454425E-3</v>
      </c>
      <c r="L342" s="154">
        <v>3.8281208230273554E-4</v>
      </c>
      <c r="M342" s="154">
        <v>5.4232271560286516E-6</v>
      </c>
      <c r="N342" s="154">
        <v>1.8383701708981876E-2</v>
      </c>
    </row>
    <row r="343" spans="1:14" x14ac:dyDescent="0.25">
      <c r="A343" s="155"/>
      <c r="B343" s="154" t="s">
        <v>330</v>
      </c>
      <c r="C343" s="154">
        <v>1.3569040676564852E-3</v>
      </c>
      <c r="D343" s="154">
        <v>-1.3401388779574273E-4</v>
      </c>
      <c r="E343" s="154">
        <v>3.4491498329926784E-4</v>
      </c>
      <c r="F343" s="154">
        <v>-3.4491498329926788E-5</v>
      </c>
      <c r="G343" s="154">
        <v>1.0654632223259673E-3</v>
      </c>
      <c r="H343" s="154">
        <v>2.9878618113912231E-4</v>
      </c>
      <c r="I343" s="154">
        <v>1.7869725535414797E-4</v>
      </c>
      <c r="J343" s="154">
        <v>5.4701451293849941E-3</v>
      </c>
      <c r="K343" s="154">
        <v>1.1425955277411116E-2</v>
      </c>
      <c r="L343" s="154">
        <v>7.528298969710686E-4</v>
      </c>
      <c r="M343" s="154">
        <v>4.1918473001819709E-6</v>
      </c>
      <c r="N343" s="154">
        <v>2.072938247471668E-2</v>
      </c>
    </row>
    <row r="344" spans="1:14" x14ac:dyDescent="0.25">
      <c r="A344" s="155"/>
      <c r="B344" s="154" t="s">
        <v>331</v>
      </c>
      <c r="C344" s="154">
        <v>1.2551060916366106E-3</v>
      </c>
      <c r="D344" s="154">
        <v>-1.2383409019375524E-4</v>
      </c>
      <c r="E344" s="154">
        <v>3.4491498329926784E-4</v>
      </c>
      <c r="F344" s="154">
        <v>-3.4491498329926788E-5</v>
      </c>
      <c r="G344" s="154">
        <v>1.0654632223259673E-3</v>
      </c>
      <c r="H344" s="154">
        <v>2.9878618113912231E-4</v>
      </c>
      <c r="I344" s="154">
        <v>1.7869725535414797E-4</v>
      </c>
      <c r="J344" s="154">
        <v>5.6283132239921011E-3</v>
      </c>
      <c r="K344" s="154">
        <v>1.151427946653498E-2</v>
      </c>
      <c r="L344" s="154">
        <v>6.5542829345874992E-4</v>
      </c>
      <c r="M344" s="154">
        <v>4.2724597482624145E-6</v>
      </c>
      <c r="N344" s="154">
        <v>2.0786935588965529E-2</v>
      </c>
    </row>
    <row r="345" spans="1:14" x14ac:dyDescent="0.25">
      <c r="A345" s="155"/>
      <c r="B345" s="154" t="s">
        <v>381</v>
      </c>
      <c r="C345" s="154">
        <v>1.0347449498978036E-3</v>
      </c>
      <c r="D345" s="154">
        <v>-5.2575506979843073E-5</v>
      </c>
      <c r="E345" s="154">
        <v>6.8982996659853576E-5</v>
      </c>
      <c r="F345" s="154">
        <v>-6.8982996659853564E-6</v>
      </c>
      <c r="G345" s="154">
        <v>1.0654632223259673E-3</v>
      </c>
      <c r="H345" s="154">
        <v>4.305425874053325E-4</v>
      </c>
      <c r="I345" s="154">
        <v>8.6011184229469056E-5</v>
      </c>
      <c r="J345" s="154">
        <v>1.9961810868829068E-3</v>
      </c>
      <c r="K345" s="154">
        <v>1.0385648271480374E-2</v>
      </c>
      <c r="L345" s="154">
        <v>0</v>
      </c>
      <c r="M345" s="154">
        <v>6.1733034624737292E-3</v>
      </c>
      <c r="N345" s="154">
        <v>2.1181403954709604E-2</v>
      </c>
    </row>
    <row r="346" spans="1:14" x14ac:dyDescent="0.25">
      <c r="A346" s="155"/>
      <c r="B346" s="154" t="s">
        <v>378</v>
      </c>
      <c r="C346" s="154">
        <v>1.0347449498978036E-3</v>
      </c>
      <c r="D346" s="154">
        <v>-5.2575506979843073E-5</v>
      </c>
      <c r="E346" s="154">
        <v>6.8982996659853576E-5</v>
      </c>
      <c r="F346" s="154">
        <v>-6.8982996659853564E-6</v>
      </c>
      <c r="G346" s="154">
        <v>1.0654632223259673E-3</v>
      </c>
      <c r="H346" s="154">
        <v>4.305425874053325E-4</v>
      </c>
      <c r="I346" s="154">
        <v>8.9502842587904882E-5</v>
      </c>
      <c r="J346" s="154">
        <v>1.9961810868829068E-3</v>
      </c>
      <c r="K346" s="154">
        <v>1.0389003002060049E-2</v>
      </c>
      <c r="L346" s="154">
        <v>0</v>
      </c>
      <c r="M346" s="154">
        <v>6.1733034624737292E-3</v>
      </c>
      <c r="N346" s="154">
        <v>2.118825034364772E-2</v>
      </c>
    </row>
    <row r="347" spans="1:14" x14ac:dyDescent="0.25">
      <c r="A347" s="155"/>
      <c r="B347" s="154" t="s">
        <v>333</v>
      </c>
      <c r="C347" s="154">
        <v>1.3569040676564852E-3</v>
      </c>
      <c r="D347" s="154">
        <v>-1.3401388779574273E-4</v>
      </c>
      <c r="E347" s="154">
        <v>6.8982996659853576E-5</v>
      </c>
      <c r="F347" s="154">
        <v>-6.8982996659853564E-6</v>
      </c>
      <c r="G347" s="154">
        <v>1.0654632223259673E-3</v>
      </c>
      <c r="H347" s="154">
        <v>2.9878618113912231E-4</v>
      </c>
      <c r="I347" s="154">
        <v>8.6011184229469056E-5</v>
      </c>
      <c r="J347" s="154">
        <v>5.4701451293849941E-3</v>
      </c>
      <c r="K347" s="154">
        <v>1.2862192601911418E-2</v>
      </c>
      <c r="L347" s="154">
        <v>7.1822500101581012E-4</v>
      </c>
      <c r="M347" s="154">
        <v>4.1918473001819709E-6</v>
      </c>
      <c r="N347" s="154">
        <v>2.1789990044161572E-2</v>
      </c>
    </row>
    <row r="348" spans="1:14" x14ac:dyDescent="0.25">
      <c r="A348" s="155"/>
      <c r="B348" s="154" t="s">
        <v>352</v>
      </c>
      <c r="C348" s="154">
        <v>1.0902430594344164E-3</v>
      </c>
      <c r="D348" s="154">
        <v>-1.6353645891516245E-4</v>
      </c>
      <c r="E348" s="154">
        <v>7.6311881817276459E-4</v>
      </c>
      <c r="F348" s="154">
        <v>-3.8155940908638231E-5</v>
      </c>
      <c r="G348" s="154">
        <v>3.6264505802320927E-3</v>
      </c>
      <c r="H348" s="154">
        <v>1.6256502601040416E-3</v>
      </c>
      <c r="I348" s="154">
        <v>4.0016006402561026E-3</v>
      </c>
      <c r="J348" s="154">
        <v>8.3706989059071399E-4</v>
      </c>
      <c r="K348" s="154">
        <v>1.0068191165580947E-2</v>
      </c>
      <c r="L348" s="154">
        <v>0</v>
      </c>
      <c r="M348" s="154">
        <v>4.2820272446309834E-7</v>
      </c>
      <c r="N348" s="154">
        <v>2.1811060217271739E-2</v>
      </c>
    </row>
    <row r="349" spans="1:14" x14ac:dyDescent="0.25">
      <c r="A349" s="155"/>
      <c r="B349" s="154" t="s">
        <v>334</v>
      </c>
      <c r="C349" s="154">
        <v>1.2551060916366106E-3</v>
      </c>
      <c r="D349" s="154">
        <v>-1.2383409019375524E-4</v>
      </c>
      <c r="E349" s="154">
        <v>6.8982996659853576E-5</v>
      </c>
      <c r="F349" s="154">
        <v>-6.8982996659853564E-6</v>
      </c>
      <c r="G349" s="154">
        <v>1.0654632223259673E-3</v>
      </c>
      <c r="H349" s="154">
        <v>2.9878618113912231E-4</v>
      </c>
      <c r="I349" s="154">
        <v>8.6011184229469056E-5</v>
      </c>
      <c r="J349" s="154">
        <v>5.6283132239921011E-3</v>
      </c>
      <c r="K349" s="154">
        <v>1.2966409582600527E-2</v>
      </c>
      <c r="L349" s="154">
        <v>6.2553170530739097E-4</v>
      </c>
      <c r="M349" s="154">
        <v>4.2724597482624145E-6</v>
      </c>
      <c r="N349" s="154">
        <v>2.1868144257779564E-2</v>
      </c>
    </row>
    <row r="350" spans="1:14" x14ac:dyDescent="0.25">
      <c r="A350" s="155"/>
      <c r="B350" s="154" t="s">
        <v>348</v>
      </c>
      <c r="C350" s="154">
        <v>1.0902430594344164E-3</v>
      </c>
      <c r="D350" s="154">
        <v>-1.6353645891516245E-4</v>
      </c>
      <c r="E350" s="154">
        <v>5.087458787818432E-4</v>
      </c>
      <c r="F350" s="154">
        <v>-2.5437293939092156E-5</v>
      </c>
      <c r="G350" s="154">
        <v>1.525610244097639E-3</v>
      </c>
      <c r="H350" s="154">
        <v>1.6256502601040416E-3</v>
      </c>
      <c r="I350" s="154">
        <v>1.6256502601040416E-3</v>
      </c>
      <c r="J350" s="154">
        <v>8.3706989059071399E-4</v>
      </c>
      <c r="K350" s="154">
        <v>1.5035009590579808E-2</v>
      </c>
      <c r="L350" s="154">
        <v>0</v>
      </c>
      <c r="M350" s="154">
        <v>4.2820272446309834E-7</v>
      </c>
      <c r="N350" s="154">
        <v>2.2059433633562713E-2</v>
      </c>
    </row>
    <row r="351" spans="1:14" x14ac:dyDescent="0.25">
      <c r="A351" s="155"/>
      <c r="B351" s="154" t="s">
        <v>354</v>
      </c>
      <c r="C351" s="154">
        <v>8.7510622887057403E-4</v>
      </c>
      <c r="D351" s="154">
        <v>-1.3078063744341263E-4</v>
      </c>
      <c r="E351" s="154">
        <v>7.6311881817276459E-4</v>
      </c>
      <c r="F351" s="154">
        <v>-3.8155940908638231E-5</v>
      </c>
      <c r="G351" s="154">
        <v>3.6264505802320927E-3</v>
      </c>
      <c r="H351" s="154">
        <v>1.4052359304229719E-3</v>
      </c>
      <c r="I351" s="154">
        <v>4.0016006402561026E-3</v>
      </c>
      <c r="J351" s="154">
        <v>1.5238870080703825E-3</v>
      </c>
      <c r="K351" s="154">
        <v>1.0310648815762049E-2</v>
      </c>
      <c r="L351" s="154">
        <v>2.2006918420994052E-4</v>
      </c>
      <c r="M351" s="154">
        <v>1.0306220566436748E-6</v>
      </c>
      <c r="N351" s="154">
        <v>2.2558211249701473E-2</v>
      </c>
    </row>
    <row r="352" spans="1:14" x14ac:dyDescent="0.25">
      <c r="A352" s="155"/>
      <c r="B352" s="154" t="s">
        <v>332</v>
      </c>
      <c r="C352" s="154">
        <v>1.0397745068075209E-3</v>
      </c>
      <c r="D352" s="154">
        <v>-1.0288771335031333E-4</v>
      </c>
      <c r="E352" s="154">
        <v>3.4491498329926784E-4</v>
      </c>
      <c r="F352" s="154">
        <v>-3.4491498329926788E-5</v>
      </c>
      <c r="G352" s="154">
        <v>1.0654632223259673E-3</v>
      </c>
      <c r="H352" s="154">
        <v>4.305425874053325E-4</v>
      </c>
      <c r="I352" s="154">
        <v>1.7869725535414797E-4</v>
      </c>
      <c r="J352" s="154">
        <v>6.5837900060073855E-3</v>
      </c>
      <c r="K352" s="154">
        <v>1.2699347573956049E-2</v>
      </c>
      <c r="L352" s="154">
        <v>3.9917539888897034E-4</v>
      </c>
      <c r="M352" s="154">
        <v>5.4232271560286516E-6</v>
      </c>
      <c r="N352" s="154">
        <v>2.2609749549520428E-2</v>
      </c>
    </row>
    <row r="353" spans="1:14" x14ac:dyDescent="0.25">
      <c r="A353" s="155"/>
      <c r="B353" s="154" t="s">
        <v>350</v>
      </c>
      <c r="C353" s="154">
        <v>8.7510622887057403E-4</v>
      </c>
      <c r="D353" s="154">
        <v>-1.3078063744341263E-4</v>
      </c>
      <c r="E353" s="154">
        <v>5.087458787818432E-4</v>
      </c>
      <c r="F353" s="154">
        <v>-2.5437293939092156E-5</v>
      </c>
      <c r="G353" s="154">
        <v>1.525610244097639E-3</v>
      </c>
      <c r="H353" s="154">
        <v>1.4052359304229719E-3</v>
      </c>
      <c r="I353" s="154">
        <v>1.6256502601040416E-3</v>
      </c>
      <c r="J353" s="154">
        <v>1.5238870080703825E-3</v>
      </c>
      <c r="K353" s="154">
        <v>1.5639836011412018E-2</v>
      </c>
      <c r="L353" s="154">
        <v>1.3381677870726895E-4</v>
      </c>
      <c r="M353" s="154">
        <v>1.0306220566436748E-6</v>
      </c>
      <c r="N353" s="154">
        <v>2.3082701031140882E-2</v>
      </c>
    </row>
    <row r="354" spans="1:14" x14ac:dyDescent="0.25">
      <c r="A354" s="155"/>
      <c r="B354" s="154" t="s">
        <v>356</v>
      </c>
      <c r="C354" s="154">
        <v>8.7219444754753307E-4</v>
      </c>
      <c r="D354" s="154">
        <v>-1.3082916713212997E-4</v>
      </c>
      <c r="E354" s="154">
        <v>5.0874587878184309E-4</v>
      </c>
      <c r="F354" s="154">
        <v>-2.5437293939092159E-5</v>
      </c>
      <c r="G354" s="154">
        <v>1.3005202080832333E-3</v>
      </c>
      <c r="H354" s="154">
        <v>1.3005202080832333E-3</v>
      </c>
      <c r="I354" s="154">
        <v>1.4005602240896359E-3</v>
      </c>
      <c r="J354" s="154">
        <v>6.6965591247257115E-4</v>
      </c>
      <c r="K354" s="154">
        <v>1.7283897619629562E-2</v>
      </c>
      <c r="L354" s="154">
        <v>0</v>
      </c>
      <c r="M354" s="154">
        <v>3.4256217957047868E-7</v>
      </c>
      <c r="N354" s="154">
        <v>2.3180170599795959E-2</v>
      </c>
    </row>
    <row r="355" spans="1:14" x14ac:dyDescent="0.25">
      <c r="A355" s="155"/>
      <c r="B355" s="154" t="s">
        <v>353</v>
      </c>
      <c r="C355" s="154">
        <v>1.364623687619921E-3</v>
      </c>
      <c r="D355" s="154">
        <v>-2.0420825625581466E-4</v>
      </c>
      <c r="E355" s="154">
        <v>7.6311881817276459E-4</v>
      </c>
      <c r="F355" s="154">
        <v>-3.8155940908638231E-5</v>
      </c>
      <c r="G355" s="154">
        <v>3.6264505802320927E-3</v>
      </c>
      <c r="H355" s="154">
        <v>2.0347764046985059E-3</v>
      </c>
      <c r="I355" s="154">
        <v>4.0016006402561026E-3</v>
      </c>
      <c r="J355" s="154">
        <v>8.8938675875263335E-4</v>
      </c>
      <c r="K355" s="154">
        <v>1.0660380348701126E-2</v>
      </c>
      <c r="L355" s="154">
        <v>2.280494455759903E-4</v>
      </c>
      <c r="M355" s="154">
        <v>4.5496539474204176E-7</v>
      </c>
      <c r="N355" s="154">
        <v>2.3326477452239425E-2</v>
      </c>
    </row>
    <row r="356" spans="1:14" x14ac:dyDescent="0.25">
      <c r="A356" s="155"/>
      <c r="B356" s="154" t="s">
        <v>344</v>
      </c>
      <c r="C356" s="154">
        <v>1.0902430594344164E-3</v>
      </c>
      <c r="D356" s="154">
        <v>-1.6353645891516245E-4</v>
      </c>
      <c r="E356" s="154">
        <v>1.0174917575636864E-3</v>
      </c>
      <c r="F356" s="154">
        <v>-5.0874587878184312E-5</v>
      </c>
      <c r="G356" s="154">
        <v>1.5506202480992397E-3</v>
      </c>
      <c r="H356" s="154">
        <v>1.6256502601040416E-3</v>
      </c>
      <c r="I356" s="154">
        <v>1.6256502601040416E-3</v>
      </c>
      <c r="J356" s="154">
        <v>8.3706989059071399E-4</v>
      </c>
      <c r="K356" s="154">
        <v>1.6223295091115197E-2</v>
      </c>
      <c r="L356" s="154">
        <v>0</v>
      </c>
      <c r="M356" s="154">
        <v>4.2820272446309834E-7</v>
      </c>
      <c r="N356" s="154">
        <v>2.3756037722942453E-2</v>
      </c>
    </row>
    <row r="357" spans="1:14" x14ac:dyDescent="0.25">
      <c r="A357" s="155"/>
      <c r="B357" s="154" t="s">
        <v>335</v>
      </c>
      <c r="C357" s="154">
        <v>1.0397745068075209E-3</v>
      </c>
      <c r="D357" s="154">
        <v>-1.0288771335031333E-4</v>
      </c>
      <c r="E357" s="154">
        <v>6.8982996659853576E-5</v>
      </c>
      <c r="F357" s="154">
        <v>-6.8982996659853564E-6</v>
      </c>
      <c r="G357" s="154">
        <v>1.0654632223259673E-3</v>
      </c>
      <c r="H357" s="154">
        <v>4.305425874053325E-4</v>
      </c>
      <c r="I357" s="154">
        <v>8.6011184229469056E-5</v>
      </c>
      <c r="J357" s="154">
        <v>6.5837900060073855E-3</v>
      </c>
      <c r="K357" s="154">
        <v>1.4364715316188228E-2</v>
      </c>
      <c r="L357" s="154">
        <v>3.8266659653780032E-4</v>
      </c>
      <c r="M357" s="154">
        <v>5.4232271560286516E-6</v>
      </c>
      <c r="N357" s="154">
        <v>2.391758363030129E-2</v>
      </c>
    </row>
    <row r="358" spans="1:14" x14ac:dyDescent="0.25">
      <c r="A358" s="155"/>
      <c r="B358" s="154" t="s">
        <v>377</v>
      </c>
      <c r="C358" s="154">
        <v>1.0347449498978036E-3</v>
      </c>
      <c r="D358" s="154">
        <v>-5.2575506979843073E-5</v>
      </c>
      <c r="E358" s="154">
        <v>6.8982996659853576E-5</v>
      </c>
      <c r="F358" s="154">
        <v>-6.8982996659853564E-6</v>
      </c>
      <c r="G358" s="154">
        <v>1.0654632223259673E-3</v>
      </c>
      <c r="H358" s="154">
        <v>4.305425874053325E-4</v>
      </c>
      <c r="I358" s="154">
        <v>8.6011184229469056E-5</v>
      </c>
      <c r="J358" s="154">
        <v>3.8143587647444083E-3</v>
      </c>
      <c r="K358" s="154">
        <v>1.1829837822942339E-2</v>
      </c>
      <c r="L358" s="154">
        <v>0</v>
      </c>
      <c r="M358" s="154">
        <v>5.8582618483787648E-3</v>
      </c>
      <c r="N358" s="154">
        <v>2.4128729569938112E-2</v>
      </c>
    </row>
    <row r="359" spans="1:14" x14ac:dyDescent="0.25">
      <c r="A359" s="155"/>
      <c r="B359" s="154" t="s">
        <v>374</v>
      </c>
      <c r="C359" s="154">
        <v>1.0347449498978036E-3</v>
      </c>
      <c r="D359" s="154">
        <v>-5.2575506979843073E-5</v>
      </c>
      <c r="E359" s="154">
        <v>6.8982996659853576E-5</v>
      </c>
      <c r="F359" s="154">
        <v>-6.8982996659853564E-6</v>
      </c>
      <c r="G359" s="154">
        <v>1.0654632223259673E-3</v>
      </c>
      <c r="H359" s="154">
        <v>4.305425874053325E-4</v>
      </c>
      <c r="I359" s="154">
        <v>8.9502842587904882E-5</v>
      </c>
      <c r="J359" s="154">
        <v>3.8143587647444083E-3</v>
      </c>
      <c r="K359" s="154">
        <v>1.1833192553522012E-2</v>
      </c>
      <c r="L359" s="154">
        <v>0</v>
      </c>
      <c r="M359" s="154">
        <v>5.8582618483787648E-3</v>
      </c>
      <c r="N359" s="154">
        <v>2.4135575958876221E-2</v>
      </c>
    </row>
    <row r="360" spans="1:14" x14ac:dyDescent="0.25">
      <c r="A360" s="155"/>
      <c r="B360" s="154" t="s">
        <v>358</v>
      </c>
      <c r="C360" s="154">
        <v>7.0008498309645929E-4</v>
      </c>
      <c r="D360" s="154">
        <v>-1.046245099547301E-4</v>
      </c>
      <c r="E360" s="154">
        <v>5.0874587878184309E-4</v>
      </c>
      <c r="F360" s="154">
        <v>-2.5437293939092159E-5</v>
      </c>
      <c r="G360" s="154">
        <v>1.3005202080832333E-3</v>
      </c>
      <c r="H360" s="154">
        <v>1.1241887443383775E-3</v>
      </c>
      <c r="I360" s="154">
        <v>1.4005602240896359E-3</v>
      </c>
      <c r="J360" s="154">
        <v>1.2191096064563059E-3</v>
      </c>
      <c r="K360" s="154">
        <v>1.7945648880069512E-2</v>
      </c>
      <c r="L360" s="154">
        <v>8.9490535166311669E-5</v>
      </c>
      <c r="M360" s="154">
        <v>8.2449764531493981E-7</v>
      </c>
      <c r="N360" s="154">
        <v>2.415911175383317E-2</v>
      </c>
    </row>
    <row r="361" spans="1:14" x14ac:dyDescent="0.25">
      <c r="A361" s="155"/>
      <c r="B361" s="154" t="s">
        <v>349</v>
      </c>
      <c r="C361" s="154">
        <v>1.364623687619921E-3</v>
      </c>
      <c r="D361" s="154">
        <v>-2.0420825625581466E-4</v>
      </c>
      <c r="E361" s="154">
        <v>5.087458787818432E-4</v>
      </c>
      <c r="F361" s="154">
        <v>-2.5437293939092156E-5</v>
      </c>
      <c r="G361" s="154">
        <v>1.525610244097639E-3</v>
      </c>
      <c r="H361" s="154">
        <v>2.0347764046985059E-3</v>
      </c>
      <c r="I361" s="154">
        <v>1.6256502601040416E-3</v>
      </c>
      <c r="J361" s="154">
        <v>8.8938675875263335E-4</v>
      </c>
      <c r="K361" s="154">
        <v>1.651226412890678E-2</v>
      </c>
      <c r="L361" s="154">
        <v>1.4160157538674681E-4</v>
      </c>
      <c r="M361" s="154">
        <v>4.5496539474204176E-7</v>
      </c>
      <c r="N361" s="154">
        <v>2.4373468353547947E-2</v>
      </c>
    </row>
    <row r="362" spans="1:14" x14ac:dyDescent="0.25">
      <c r="A362" s="155"/>
      <c r="B362" s="154" t="s">
        <v>346</v>
      </c>
      <c r="C362" s="154">
        <v>8.7510622887057403E-4</v>
      </c>
      <c r="D362" s="154">
        <v>-1.3078063744341263E-4</v>
      </c>
      <c r="E362" s="154">
        <v>1.0174917575636864E-3</v>
      </c>
      <c r="F362" s="154">
        <v>-5.0874587878184312E-5</v>
      </c>
      <c r="G362" s="154">
        <v>1.5506202480992397E-3</v>
      </c>
      <c r="H362" s="154">
        <v>1.4052359304229719E-3</v>
      </c>
      <c r="I362" s="154">
        <v>1.6256502601040416E-3</v>
      </c>
      <c r="J362" s="154">
        <v>1.5238870080703825E-3</v>
      </c>
      <c r="K362" s="154">
        <v>1.682812151194741E-2</v>
      </c>
      <c r="L362" s="154">
        <v>1.4398392737494971E-4</v>
      </c>
      <c r="M362" s="154">
        <v>1.0306220566436748E-6</v>
      </c>
      <c r="N362" s="154">
        <v>2.47894722691883E-2</v>
      </c>
    </row>
    <row r="363" spans="1:14" x14ac:dyDescent="0.25">
      <c r="A363" s="155"/>
      <c r="B363" s="154" t="s">
        <v>357</v>
      </c>
      <c r="C363" s="154">
        <v>1.0916989500959369E-3</v>
      </c>
      <c r="D363" s="154">
        <v>-1.6336660500465173E-4</v>
      </c>
      <c r="E363" s="154">
        <v>5.0874587878184309E-4</v>
      </c>
      <c r="F363" s="154">
        <v>-2.5437293939092159E-5</v>
      </c>
      <c r="G363" s="154">
        <v>1.3005202080832333E-3</v>
      </c>
      <c r="H363" s="154">
        <v>1.6278211237588046E-3</v>
      </c>
      <c r="I363" s="154">
        <v>1.4005602240896359E-3</v>
      </c>
      <c r="J363" s="154">
        <v>7.1150940700210675E-4</v>
      </c>
      <c r="K363" s="154">
        <v>1.8900187879210835E-2</v>
      </c>
      <c r="L363" s="154">
        <v>9.4463400767744003E-5</v>
      </c>
      <c r="M363" s="154">
        <v>3.6397231579363343E-7</v>
      </c>
      <c r="N363" s="154">
        <v>2.5447067145162188E-2</v>
      </c>
    </row>
    <row r="364" spans="1:14" x14ac:dyDescent="0.25">
      <c r="A364" s="155"/>
      <c r="B364" s="154" t="s">
        <v>379</v>
      </c>
      <c r="C364" s="154">
        <v>1.0347449498978036E-3</v>
      </c>
      <c r="D364" s="154">
        <v>-5.2575506979843073E-5</v>
      </c>
      <c r="E364" s="154">
        <v>3.4491498329926784E-4</v>
      </c>
      <c r="F364" s="154">
        <v>-3.4491498329926788E-5</v>
      </c>
      <c r="G364" s="154">
        <v>1.0654632223259673E-3</v>
      </c>
      <c r="H364" s="154">
        <v>4.305425874053325E-4</v>
      </c>
      <c r="I364" s="154">
        <v>1.7869725535414797E-4</v>
      </c>
      <c r="J364" s="154">
        <v>1.9961810868829068E-3</v>
      </c>
      <c r="K364" s="154">
        <v>1.4854151667962478E-2</v>
      </c>
      <c r="L364" s="154">
        <v>0</v>
      </c>
      <c r="M364" s="154">
        <v>6.1733034624737292E-3</v>
      </c>
      <c r="N364" s="154">
        <v>2.5990932210291862E-2</v>
      </c>
    </row>
    <row r="365" spans="1:14" x14ac:dyDescent="0.25">
      <c r="A365" s="155"/>
      <c r="B365" s="154" t="s">
        <v>345</v>
      </c>
      <c r="C365" s="154">
        <v>1.364623687619921E-3</v>
      </c>
      <c r="D365" s="154">
        <v>-2.0420825625581466E-4</v>
      </c>
      <c r="E365" s="154">
        <v>1.0174917575636864E-3</v>
      </c>
      <c r="F365" s="154">
        <v>-5.0874587878184312E-5</v>
      </c>
      <c r="G365" s="154">
        <v>1.5506202480992397E-3</v>
      </c>
      <c r="H365" s="154">
        <v>2.0347764046985059E-3</v>
      </c>
      <c r="I365" s="154">
        <v>1.6256502601040416E-3</v>
      </c>
      <c r="J365" s="154">
        <v>8.8938675875263335E-4</v>
      </c>
      <c r="K365" s="154">
        <v>1.7700549629442175E-2</v>
      </c>
      <c r="L365" s="154">
        <v>1.5179176478605921E-4</v>
      </c>
      <c r="M365" s="154">
        <v>4.5496539474204176E-7</v>
      </c>
      <c r="N365" s="154">
        <v>2.6080262632327007E-2</v>
      </c>
    </row>
    <row r="366" spans="1:14" x14ac:dyDescent="0.25">
      <c r="A366" s="155"/>
      <c r="B366" s="154" t="s">
        <v>339</v>
      </c>
      <c r="C366" s="154">
        <v>7.6317014160409149E-4</v>
      </c>
      <c r="D366" s="154">
        <v>-3.832836099071531E-5</v>
      </c>
      <c r="E366" s="154">
        <v>7.6311881817276459E-4</v>
      </c>
      <c r="F366" s="154">
        <v>-3.8155940908638231E-5</v>
      </c>
      <c r="G366" s="154">
        <v>1.6256502601040416E-3</v>
      </c>
      <c r="H366" s="154">
        <v>2.6260504201680674E-3</v>
      </c>
      <c r="I366" s="154">
        <v>1.7507002801120447E-3</v>
      </c>
      <c r="J366" s="154">
        <v>2.7715714285714288E-3</v>
      </c>
      <c r="K366" s="154">
        <v>1.3927782054255036E-2</v>
      </c>
      <c r="L366" s="154">
        <v>0</v>
      </c>
      <c r="M366" s="154">
        <v>2.5563252752773664E-3</v>
      </c>
      <c r="N366" s="154">
        <v>2.6707884376365485E-2</v>
      </c>
    </row>
    <row r="367" spans="1:14" x14ac:dyDescent="0.25">
      <c r="A367" s="155"/>
      <c r="B367" s="154" t="s">
        <v>380</v>
      </c>
      <c r="C367" s="154">
        <v>1.0347449498978036E-3</v>
      </c>
      <c r="D367" s="154">
        <v>-5.2575506979843073E-5</v>
      </c>
      <c r="E367" s="154">
        <v>6.8982996659853576E-5</v>
      </c>
      <c r="F367" s="154">
        <v>-6.8982996659853564E-6</v>
      </c>
      <c r="G367" s="154">
        <v>1.0654632223259673E-3</v>
      </c>
      <c r="H367" s="154">
        <v>4.305425874053325E-4</v>
      </c>
      <c r="I367" s="154">
        <v>8.6011184229469056E-5</v>
      </c>
      <c r="J367" s="154">
        <v>1.9961810868829068E-3</v>
      </c>
      <c r="K367" s="154">
        <v>1.6907248441954705E-2</v>
      </c>
      <c r="L367" s="154">
        <v>0</v>
      </c>
      <c r="M367" s="154">
        <v>6.1733034624737292E-3</v>
      </c>
      <c r="N367" s="154">
        <v>2.7703004125183936E-2</v>
      </c>
    </row>
    <row r="368" spans="1:14" x14ac:dyDescent="0.25">
      <c r="A368" s="155"/>
      <c r="B368" s="154" t="s">
        <v>375</v>
      </c>
      <c r="C368" s="154">
        <v>1.0347449498978036E-3</v>
      </c>
      <c r="D368" s="154">
        <v>-5.2575506979843073E-5</v>
      </c>
      <c r="E368" s="154">
        <v>3.4491498329926784E-4</v>
      </c>
      <c r="F368" s="154">
        <v>-3.4491498329926788E-5</v>
      </c>
      <c r="G368" s="154">
        <v>1.0654632223259673E-3</v>
      </c>
      <c r="H368" s="154">
        <v>4.305425874053325E-4</v>
      </c>
      <c r="I368" s="154">
        <v>1.7869725535414797E-4</v>
      </c>
      <c r="J368" s="154">
        <v>3.8143587647444083E-3</v>
      </c>
      <c r="K368" s="154">
        <v>1.6846680868769288E-2</v>
      </c>
      <c r="L368" s="154">
        <v>0</v>
      </c>
      <c r="M368" s="154">
        <v>5.8582618483787648E-3</v>
      </c>
      <c r="N368" s="154">
        <v>2.9486597474865213E-2</v>
      </c>
    </row>
    <row r="369" spans="1:14" x14ac:dyDescent="0.25">
      <c r="A369" s="155"/>
      <c r="B369" s="154" t="s">
        <v>376</v>
      </c>
      <c r="C369" s="154">
        <v>1.0347449498978036E-3</v>
      </c>
      <c r="D369" s="154">
        <v>-5.2575506979843073E-5</v>
      </c>
      <c r="E369" s="154">
        <v>6.8982996659853576E-5</v>
      </c>
      <c r="F369" s="154">
        <v>-6.8982996659853564E-6</v>
      </c>
      <c r="G369" s="154">
        <v>1.0654632223259673E-3</v>
      </c>
      <c r="H369" s="154">
        <v>4.305425874053325E-4</v>
      </c>
      <c r="I369" s="154">
        <v>8.6011184229469056E-5</v>
      </c>
      <c r="J369" s="154">
        <v>3.8143587647444083E-3</v>
      </c>
      <c r="K369" s="154">
        <v>1.925830741348698E-2</v>
      </c>
      <c r="L369" s="154">
        <v>0</v>
      </c>
      <c r="M369" s="154">
        <v>5.8582618483787648E-3</v>
      </c>
      <c r="N369" s="154">
        <v>3.1557199160482753E-2</v>
      </c>
    </row>
    <row r="370" spans="1:14" x14ac:dyDescent="0.25">
      <c r="A370" s="155"/>
      <c r="B370" s="154" t="s">
        <v>351</v>
      </c>
      <c r="C370" s="154">
        <v>7.6317014160409149E-4</v>
      </c>
      <c r="D370" s="154">
        <v>-3.832836099071531E-5</v>
      </c>
      <c r="E370" s="154">
        <v>7.6311881817276459E-4</v>
      </c>
      <c r="F370" s="154">
        <v>-3.8155940908638231E-5</v>
      </c>
      <c r="G370" s="154">
        <v>3.6264505802320927E-3</v>
      </c>
      <c r="H370" s="154">
        <v>2.6260504201680674E-3</v>
      </c>
      <c r="I370" s="154">
        <v>4.0016006402561026E-3</v>
      </c>
      <c r="J370" s="154">
        <v>2.7715714285714288E-3</v>
      </c>
      <c r="K370" s="154">
        <v>1.4573579345799854E-2</v>
      </c>
      <c r="L370" s="154">
        <v>0</v>
      </c>
      <c r="M370" s="154">
        <v>2.5563252752773664E-3</v>
      </c>
      <c r="N370" s="154">
        <v>3.1605382348182415E-2</v>
      </c>
    </row>
    <row r="371" spans="1:14" x14ac:dyDescent="0.25">
      <c r="A371" s="155"/>
      <c r="B371" s="154" t="s">
        <v>347</v>
      </c>
      <c r="C371" s="154">
        <v>7.6317014160409149E-4</v>
      </c>
      <c r="D371" s="154">
        <v>-3.832836099071531E-5</v>
      </c>
      <c r="E371" s="154">
        <v>5.087458787818432E-4</v>
      </c>
      <c r="F371" s="154">
        <v>-2.5437293939092156E-5</v>
      </c>
      <c r="G371" s="154">
        <v>1.525610244097639E-3</v>
      </c>
      <c r="H371" s="154">
        <v>2.6260504201680674E-3</v>
      </c>
      <c r="I371" s="154">
        <v>1.6256502601040416E-3</v>
      </c>
      <c r="J371" s="154">
        <v>2.7715714285714288E-3</v>
      </c>
      <c r="K371" s="154">
        <v>2.6273994235799812E-2</v>
      </c>
      <c r="L371" s="154">
        <v>0</v>
      </c>
      <c r="M371" s="154">
        <v>2.5563252752773664E-3</v>
      </c>
      <c r="N371" s="154">
        <v>3.8587352229474486E-2</v>
      </c>
    </row>
    <row r="372" spans="1:14" x14ac:dyDescent="0.25">
      <c r="A372" s="155"/>
      <c r="B372" s="154" t="s">
        <v>355</v>
      </c>
      <c r="C372" s="154">
        <v>6.1053611328327313E-4</v>
      </c>
      <c r="D372" s="154">
        <v>-3.0662688792572247E-5</v>
      </c>
      <c r="E372" s="154">
        <v>5.0874587878184309E-4</v>
      </c>
      <c r="F372" s="154">
        <v>-2.5437293939092159E-5</v>
      </c>
      <c r="G372" s="154">
        <v>1.3005202080832333E-3</v>
      </c>
      <c r="H372" s="154">
        <v>2.1008403361344541E-3</v>
      </c>
      <c r="I372" s="154">
        <v>1.4005602240896359E-3</v>
      </c>
      <c r="J372" s="154">
        <v>2.217257142857143E-3</v>
      </c>
      <c r="K372" s="154">
        <v>2.9580669054987924E-2</v>
      </c>
      <c r="L372" s="154">
        <v>0</v>
      </c>
      <c r="M372" s="154">
        <v>2.0450602202218928E-3</v>
      </c>
      <c r="N372" s="154">
        <v>3.9708089195707737E-2</v>
      </c>
    </row>
    <row r="373" spans="1:14" x14ac:dyDescent="0.25">
      <c r="A373" s="155"/>
      <c r="B373" s="154" t="s">
        <v>343</v>
      </c>
      <c r="C373" s="154">
        <v>7.6317014160409149E-4</v>
      </c>
      <c r="D373" s="154">
        <v>-3.832836099071531E-5</v>
      </c>
      <c r="E373" s="154">
        <v>1.0174917575636864E-3</v>
      </c>
      <c r="F373" s="154">
        <v>-5.0874587878184312E-5</v>
      </c>
      <c r="G373" s="154">
        <v>1.5506202480992397E-3</v>
      </c>
      <c r="H373" s="154">
        <v>2.6260504201680674E-3</v>
      </c>
      <c r="I373" s="154">
        <v>1.6256502601040416E-3</v>
      </c>
      <c r="J373" s="154">
        <v>2.7715714285714288E-3</v>
      </c>
      <c r="K373" s="154">
        <v>2.7462279736335207E-2</v>
      </c>
      <c r="L373" s="154">
        <v>0</v>
      </c>
      <c r="M373" s="154">
        <v>2.5563252752773664E-3</v>
      </c>
      <c r="N373" s="154">
        <v>4.028395631885423E-2</v>
      </c>
    </row>
    <row r="374" spans="1:14" x14ac:dyDescent="0.25">
      <c r="A374" s="155"/>
      <c r="B374" s="154" t="s">
        <v>363</v>
      </c>
      <c r="C374" s="154">
        <v>8.497708528469412E-3</v>
      </c>
      <c r="D374" s="154">
        <v>-2.1233726283419697E-3</v>
      </c>
      <c r="E374" s="154">
        <v>2.964391815717463E-3</v>
      </c>
      <c r="F374" s="154">
        <v>-7.4109795392936575E-4</v>
      </c>
      <c r="G374" s="154">
        <v>2.5454545454545455E-2</v>
      </c>
      <c r="H374" s="154">
        <v>5.4545454545454541E-3</v>
      </c>
      <c r="I374" s="154">
        <v>4.4000000000000003E-3</v>
      </c>
      <c r="J374" s="154">
        <v>3.3744831090442885E-3</v>
      </c>
      <c r="K374" s="154">
        <v>5.2829487710786029E-2</v>
      </c>
      <c r="L374" s="154">
        <v>2.5726284928699536E-3</v>
      </c>
      <c r="M374" s="154">
        <v>2.2812758930212777E-6</v>
      </c>
      <c r="N374" s="154">
        <v>0.10268560125959975</v>
      </c>
    </row>
    <row r="375" spans="1:14" x14ac:dyDescent="0.25">
      <c r="A375" s="155"/>
      <c r="B375" s="154" t="s">
        <v>366</v>
      </c>
      <c r="C375" s="154">
        <v>8.9023613155393838E-3</v>
      </c>
      <c r="D375" s="154">
        <v>-2.2244856106439686E-3</v>
      </c>
      <c r="E375" s="154">
        <v>1.552776665375814E-3</v>
      </c>
      <c r="F375" s="154">
        <v>-3.8819416634395349E-4</v>
      </c>
      <c r="G375" s="154">
        <v>2.6666666666666665E-2</v>
      </c>
      <c r="H375" s="154">
        <v>5.7142857142857143E-3</v>
      </c>
      <c r="I375" s="154">
        <v>4.4000000000000003E-3</v>
      </c>
      <c r="J375" s="154">
        <v>3.3744831090442877E-3</v>
      </c>
      <c r="K375" s="154">
        <v>5.7259443876853541E-2</v>
      </c>
      <c r="L375" s="154">
        <v>2.5732025895309971E-3</v>
      </c>
      <c r="M375" s="154">
        <v>2.2812758930212777E-6</v>
      </c>
      <c r="N375" s="154">
        <v>0.10783282143620151</v>
      </c>
    </row>
    <row r="376" spans="1:14" x14ac:dyDescent="0.25">
      <c r="A376" s="155"/>
      <c r="B376" s="154" t="s">
        <v>364</v>
      </c>
      <c r="C376" s="154">
        <v>9.0858113202051029E-3</v>
      </c>
      <c r="D376" s="154">
        <v>-2.2699193820295231E-3</v>
      </c>
      <c r="E376" s="154">
        <v>2.964391815717463E-3</v>
      </c>
      <c r="F376" s="154">
        <v>-7.4109795392936575E-4</v>
      </c>
      <c r="G376" s="154">
        <v>2.5454545454545455E-2</v>
      </c>
      <c r="H376" s="154">
        <v>6.5474078574617092E-3</v>
      </c>
      <c r="I376" s="154">
        <v>4.4000000000000003E-3</v>
      </c>
      <c r="J376" s="154">
        <v>7.3102100315233995E-3</v>
      </c>
      <c r="K376" s="154">
        <v>5.8759413488361334E-2</v>
      </c>
      <c r="L376" s="154">
        <v>1.1106988281009422E-3</v>
      </c>
      <c r="M376" s="154">
        <v>5.9135532882621105E-6</v>
      </c>
      <c r="N376" s="154">
        <v>0.11262737501324478</v>
      </c>
    </row>
    <row r="377" spans="1:14" x14ac:dyDescent="0.25">
      <c r="A377" s="155"/>
      <c r="B377" s="154" t="s">
        <v>367</v>
      </c>
      <c r="C377" s="154">
        <v>9.5184690021196325E-3</v>
      </c>
      <c r="D377" s="154">
        <v>-2.3780107811737857E-3</v>
      </c>
      <c r="E377" s="154">
        <v>1.552776665375814E-3</v>
      </c>
      <c r="F377" s="154">
        <v>-3.8819416634395349E-4</v>
      </c>
      <c r="G377" s="154">
        <v>2.6666666666666665E-2</v>
      </c>
      <c r="H377" s="154">
        <v>6.8591891840075045E-3</v>
      </c>
      <c r="I377" s="154">
        <v>4.4000000000000003E-3</v>
      </c>
      <c r="J377" s="154">
        <v>7.3102100315233995E-3</v>
      </c>
      <c r="K377" s="154">
        <v>6.3770957790438648E-2</v>
      </c>
      <c r="L377" s="154">
        <v>1.1124179278049692E-3</v>
      </c>
      <c r="M377" s="154">
        <v>5.9135532882621105E-6</v>
      </c>
      <c r="N377" s="154">
        <v>0.11843039587370717</v>
      </c>
    </row>
    <row r="378" spans="1:14" x14ac:dyDescent="0.25">
      <c r="A378" s="155"/>
      <c r="B378" s="154" t="s">
        <v>372</v>
      </c>
      <c r="C378" s="154">
        <v>1.0386088201462616E-2</v>
      </c>
      <c r="D378" s="154">
        <v>-2.5952332124179632E-3</v>
      </c>
      <c r="E378" s="154">
        <v>2.1135015723170798E-3</v>
      </c>
      <c r="F378" s="154">
        <v>-5.2837539307926996E-4</v>
      </c>
      <c r="G378" s="154">
        <v>3.111111111111111E-2</v>
      </c>
      <c r="H378" s="154">
        <v>6.6666666666666662E-3</v>
      </c>
      <c r="I378" s="154">
        <v>4.4000000000000003E-3</v>
      </c>
      <c r="J378" s="154">
        <v>3.3744831090442877E-3</v>
      </c>
      <c r="K378" s="154">
        <v>6.0652880293585773E-2</v>
      </c>
      <c r="L378" s="154">
        <v>2.9536028982929466E-3</v>
      </c>
      <c r="M378" s="154">
        <v>2.2812758930212777E-6</v>
      </c>
      <c r="N378" s="154">
        <v>0.11853700652287627</v>
      </c>
    </row>
    <row r="379" spans="1:14" x14ac:dyDescent="0.25">
      <c r="A379" s="155"/>
      <c r="B379" s="154" t="s">
        <v>373</v>
      </c>
      <c r="C379" s="154">
        <v>1.1104880502472903E-2</v>
      </c>
      <c r="D379" s="154">
        <v>-2.7743459113694167E-3</v>
      </c>
      <c r="E379" s="154">
        <v>2.1135015723170798E-3</v>
      </c>
      <c r="F379" s="154">
        <v>-5.2837539307926996E-4</v>
      </c>
      <c r="G379" s="154">
        <v>3.111111111111111E-2</v>
      </c>
      <c r="H379" s="154">
        <v>8.0023873813420895E-3</v>
      </c>
      <c r="I379" s="154">
        <v>4.4000000000000003E-3</v>
      </c>
      <c r="J379" s="154">
        <v>7.3102100315233995E-3</v>
      </c>
      <c r="K379" s="154">
        <v>6.6952203103245081E-2</v>
      </c>
      <c r="L379" s="154">
        <v>1.2655628964077376E-3</v>
      </c>
      <c r="M379" s="154">
        <v>5.9135532882621105E-6</v>
      </c>
      <c r="N379" s="154">
        <v>0.12896304884725901</v>
      </c>
    </row>
    <row r="380" spans="1:14" x14ac:dyDescent="0.25">
      <c r="A380" s="155"/>
      <c r="B380" s="154" t="s">
        <v>362</v>
      </c>
      <c r="C380" s="154">
        <v>6.7329270291914978E-3</v>
      </c>
      <c r="D380" s="154">
        <v>-1.0113075190954952E-3</v>
      </c>
      <c r="E380" s="154">
        <v>2.964391815717463E-3</v>
      </c>
      <c r="F380" s="154">
        <v>-7.4109795392936575E-4</v>
      </c>
      <c r="G380" s="154">
        <v>2.5454545454545455E-2</v>
      </c>
      <c r="H380" s="154">
        <v>7.2727272727272727E-3</v>
      </c>
      <c r="I380" s="154">
        <v>4.4000000000000003E-3</v>
      </c>
      <c r="J380" s="154">
        <v>9.604451272429336E-3</v>
      </c>
      <c r="K380" s="154">
        <v>7.0440409181026703E-2</v>
      </c>
      <c r="L380" s="154">
        <v>0</v>
      </c>
      <c r="M380" s="154">
        <v>8.8630828876566804E-3</v>
      </c>
      <c r="N380" s="154">
        <v>0.13398012944026955</v>
      </c>
    </row>
    <row r="381" spans="1:14" x14ac:dyDescent="0.25">
      <c r="A381" s="155"/>
      <c r="B381" s="154" t="s">
        <v>371</v>
      </c>
      <c r="C381" s="154">
        <v>8.2291330356784979E-3</v>
      </c>
      <c r="D381" s="154">
        <v>-1.2360425233389387E-3</v>
      </c>
      <c r="E381" s="154">
        <v>2.1135015723170798E-3</v>
      </c>
      <c r="F381" s="154">
        <v>-5.2837539307926996E-4</v>
      </c>
      <c r="G381" s="154">
        <v>3.111111111111111E-2</v>
      </c>
      <c r="H381" s="154">
        <v>8.8888888888888889E-3</v>
      </c>
      <c r="I381" s="154">
        <v>4.4000000000000003E-3</v>
      </c>
      <c r="J381" s="154">
        <v>9.604451272429336E-3</v>
      </c>
      <c r="K381" s="154">
        <v>6.8942703646012363E-2</v>
      </c>
      <c r="L381" s="154">
        <v>0</v>
      </c>
      <c r="M381" s="154">
        <v>8.8630828876566786E-3</v>
      </c>
      <c r="N381" s="154">
        <v>0.14038845449767579</v>
      </c>
    </row>
    <row r="382" spans="1:14" x14ac:dyDescent="0.25">
      <c r="A382" s="155"/>
      <c r="B382" s="154" t="s">
        <v>365</v>
      </c>
      <c r="C382" s="154">
        <v>7.0535426020101408E-3</v>
      </c>
      <c r="D382" s="154">
        <v>-1.0594650200048046E-3</v>
      </c>
      <c r="E382" s="154">
        <v>1.552776665375814E-3</v>
      </c>
      <c r="F382" s="154">
        <v>-3.8819416634395349E-4</v>
      </c>
      <c r="G382" s="154">
        <v>2.6666666666666665E-2</v>
      </c>
      <c r="H382" s="154">
        <v>7.619047619047619E-3</v>
      </c>
      <c r="I382" s="154">
        <v>4.4000000000000003E-3</v>
      </c>
      <c r="J382" s="154">
        <v>9.604451272429336E-3</v>
      </c>
      <c r="K382" s="154">
        <v>7.6408000661182016E-2</v>
      </c>
      <c r="L382" s="154">
        <v>0</v>
      </c>
      <c r="M382" s="154">
        <v>8.8630828876566786E-3</v>
      </c>
      <c r="N382" s="154">
        <v>0.14071990918801952</v>
      </c>
    </row>
    <row r="383" spans="1:14" x14ac:dyDescent="0.25">
      <c r="A383" s="155"/>
      <c r="B383" s="154" t="s">
        <v>369</v>
      </c>
      <c r="C383" s="154">
        <v>1.1983947924764555E-2</v>
      </c>
      <c r="D383" s="154">
        <v>-2.9944998604822652E-3</v>
      </c>
      <c r="E383" s="154">
        <v>2.7870350404181278E-3</v>
      </c>
      <c r="F383" s="154">
        <v>-6.9675876010453195E-4</v>
      </c>
      <c r="G383" s="154">
        <v>3.5897435897435902E-2</v>
      </c>
      <c r="H383" s="154">
        <v>7.6923076923076927E-3</v>
      </c>
      <c r="I383" s="154">
        <v>4.4000000000000003E-3</v>
      </c>
      <c r="J383" s="154">
        <v>3.3744831090442877E-3</v>
      </c>
      <c r="K383" s="154">
        <v>7.4942315028961634E-2</v>
      </c>
      <c r="L383" s="154">
        <v>3.3678594488747021E-3</v>
      </c>
      <c r="M383" s="154">
        <v>2.2812758930212777E-6</v>
      </c>
      <c r="N383" s="154">
        <v>0.1407564067971131</v>
      </c>
    </row>
    <row r="384" spans="1:14" x14ac:dyDescent="0.25">
      <c r="A384" s="155"/>
      <c r="B384" s="154" t="s">
        <v>370</v>
      </c>
      <c r="C384" s="154">
        <v>1.2813323656699505E-2</v>
      </c>
      <c r="D384" s="154">
        <v>-3.2011683592724038E-3</v>
      </c>
      <c r="E384" s="154">
        <v>2.7870350404181278E-3</v>
      </c>
      <c r="F384" s="154">
        <v>-6.9675876010453195E-4</v>
      </c>
      <c r="G384" s="154">
        <v>3.5897435897435902E-2</v>
      </c>
      <c r="H384" s="154">
        <v>9.2335239015485654E-3</v>
      </c>
      <c r="I384" s="154">
        <v>4.4000000000000003E-3</v>
      </c>
      <c r="J384" s="154">
        <v>7.3102100315233995E-3</v>
      </c>
      <c r="K384" s="154">
        <v>8.2107038130745158E-2</v>
      </c>
      <c r="L384" s="154">
        <v>1.4322717484619857E-3</v>
      </c>
      <c r="M384" s="154">
        <v>5.9135532882621105E-6</v>
      </c>
      <c r="N384" s="154">
        <v>0.15208882484074399</v>
      </c>
    </row>
    <row r="385" spans="1:14" x14ac:dyDescent="0.25">
      <c r="A385" s="155"/>
      <c r="B385" s="154" t="s">
        <v>368</v>
      </c>
      <c r="C385" s="154">
        <v>9.4951535027059594E-3</v>
      </c>
      <c r="D385" s="154">
        <v>-1.4262029115449293E-3</v>
      </c>
      <c r="E385" s="154">
        <v>2.7870350404181278E-3</v>
      </c>
      <c r="F385" s="154">
        <v>-6.9675876010453195E-4</v>
      </c>
      <c r="G385" s="154">
        <v>3.5897435897435902E-2</v>
      </c>
      <c r="H385" s="154">
        <v>1.0256410256410255E-2</v>
      </c>
      <c r="I385" s="154">
        <v>4.4000000000000003E-3</v>
      </c>
      <c r="J385" s="154">
        <v>9.604451272429336E-3</v>
      </c>
      <c r="K385" s="154">
        <v>9.4587015958766452E-2</v>
      </c>
      <c r="L385" s="154">
        <v>0</v>
      </c>
      <c r="M385" s="154">
        <v>8.8630828876566786E-3</v>
      </c>
      <c r="N385" s="154">
        <v>0.17376762314417327</v>
      </c>
    </row>
    <row r="386" spans="1:14" x14ac:dyDescent="0.25">
      <c r="A386" s="155"/>
      <c r="B386" s="154" t="s">
        <v>360</v>
      </c>
      <c r="C386" s="154">
        <v>1.6995417056938824E-2</v>
      </c>
      <c r="D386" s="154">
        <v>-4.2467452566839394E-3</v>
      </c>
      <c r="E386" s="154">
        <v>3.9525224209566176E-3</v>
      </c>
      <c r="F386" s="154">
        <v>-9.8813060523915441E-4</v>
      </c>
      <c r="G386" s="154">
        <v>5.0909090909090911E-2</v>
      </c>
      <c r="H386" s="154">
        <v>1.0909090909090908E-2</v>
      </c>
      <c r="I386" s="154">
        <v>4.4000000000000003E-3</v>
      </c>
      <c r="J386" s="154">
        <v>3.3744831090442885E-3</v>
      </c>
      <c r="K386" s="154">
        <v>0.12053542189797735</v>
      </c>
      <c r="L386" s="154">
        <v>4.6046727573994528E-3</v>
      </c>
      <c r="M386" s="154">
        <v>2.2812758930212777E-6</v>
      </c>
      <c r="N386" s="154">
        <v>0.21044810447446827</v>
      </c>
    </row>
    <row r="387" spans="1:14" x14ac:dyDescent="0.25">
      <c r="A387" s="155"/>
      <c r="B387" s="154" t="s">
        <v>361</v>
      </c>
      <c r="C387" s="154">
        <v>1.8171622640410206E-2</v>
      </c>
      <c r="D387" s="154">
        <v>-4.5398387640590461E-3</v>
      </c>
      <c r="E387" s="154">
        <v>3.9525224209566176E-3</v>
      </c>
      <c r="F387" s="154">
        <v>-9.8813060523915441E-4</v>
      </c>
      <c r="G387" s="154">
        <v>5.0909090909090911E-2</v>
      </c>
      <c r="H387" s="154">
        <v>1.3094815714923418E-2</v>
      </c>
      <c r="I387" s="154">
        <v>4.4000000000000003E-3</v>
      </c>
      <c r="J387" s="154">
        <v>7.3102100315233995E-3</v>
      </c>
      <c r="K387" s="154">
        <v>0.13021340696332451</v>
      </c>
      <c r="L387" s="154">
        <v>1.9308919265353247E-3</v>
      </c>
      <c r="M387" s="154">
        <v>5.9135532882621105E-6</v>
      </c>
      <c r="N387" s="154">
        <v>0.22446050479075447</v>
      </c>
    </row>
    <row r="388" spans="1:14" x14ac:dyDescent="0.25">
      <c r="A388" s="155"/>
      <c r="B388" s="154" t="s">
        <v>359</v>
      </c>
      <c r="C388" s="154">
        <v>1.3465854058382996E-2</v>
      </c>
      <c r="D388" s="154">
        <v>-2.0226150381909905E-3</v>
      </c>
      <c r="E388" s="154">
        <v>3.9525224209566176E-3</v>
      </c>
      <c r="F388" s="154">
        <v>-9.8813060523915441E-4</v>
      </c>
      <c r="G388" s="154">
        <v>5.0909090909090911E-2</v>
      </c>
      <c r="H388" s="154">
        <v>1.4545454545454545E-2</v>
      </c>
      <c r="I388" s="154">
        <v>4.4000000000000003E-3</v>
      </c>
      <c r="J388" s="154">
        <v>9.604451272429336E-3</v>
      </c>
      <c r="K388" s="154">
        <v>0.14459396086521706</v>
      </c>
      <c r="L388" s="154">
        <v>0</v>
      </c>
      <c r="M388" s="154">
        <v>8.8630828876566804E-3</v>
      </c>
      <c r="N388" s="154">
        <v>0.247323671315758</v>
      </c>
    </row>
    <row r="393" spans="1:14" x14ac:dyDescent="0.25">
      <c r="A393" s="161" t="s">
        <v>401</v>
      </c>
    </row>
    <row r="397" spans="1:14" x14ac:dyDescent="0.25">
      <c r="C397" s="154" t="s">
        <v>18</v>
      </c>
      <c r="D397" s="154" t="s">
        <v>28</v>
      </c>
      <c r="E397" s="154" t="s">
        <v>14</v>
      </c>
      <c r="F397" s="154" t="s">
        <v>25</v>
      </c>
      <c r="G397" s="154" t="s">
        <v>37</v>
      </c>
      <c r="H397" s="154" t="s">
        <v>52</v>
      </c>
      <c r="I397" s="154" t="s">
        <v>262</v>
      </c>
      <c r="J397" s="154" t="s">
        <v>67</v>
      </c>
      <c r="K397" s="154" t="s">
        <v>56</v>
      </c>
      <c r="L397" s="154" t="s">
        <v>73</v>
      </c>
      <c r="M397" s="154" t="s">
        <v>206</v>
      </c>
      <c r="N397" s="154" t="s">
        <v>382</v>
      </c>
    </row>
    <row r="398" spans="1:14" x14ac:dyDescent="0.25">
      <c r="A398" s="197">
        <v>2023</v>
      </c>
      <c r="B398" s="154" t="s">
        <v>381</v>
      </c>
      <c r="C398" s="154">
        <v>1.0347449498978036E-3</v>
      </c>
      <c r="D398" s="154">
        <v>-1.0336086682377807E-4</v>
      </c>
      <c r="E398" s="154">
        <v>6.8982996659853576E-5</v>
      </c>
      <c r="F398" s="154">
        <v>-6.8982996659853564E-6</v>
      </c>
      <c r="G398" s="154">
        <v>1.0654632223259673E-3</v>
      </c>
      <c r="H398" s="154">
        <v>4.305425874053325E-4</v>
      </c>
      <c r="I398" s="154">
        <v>8.6011184229469056E-5</v>
      </c>
      <c r="J398" s="154">
        <v>2.1494771182553069E-3</v>
      </c>
      <c r="K398" s="154">
        <v>6.4101374767547474E-3</v>
      </c>
      <c r="L398" s="154">
        <v>0</v>
      </c>
      <c r="M398" s="154">
        <v>1.9330162494961441E-3</v>
      </c>
    </row>
    <row r="399" spans="1:14" x14ac:dyDescent="0.25">
      <c r="A399" s="197"/>
      <c r="B399" s="154" t="s">
        <v>378</v>
      </c>
      <c r="C399" s="154">
        <v>1.0347449498978036E-3</v>
      </c>
      <c r="D399" s="154">
        <v>-1.0336086682377807E-4</v>
      </c>
      <c r="E399" s="154">
        <v>6.8982996659853576E-5</v>
      </c>
      <c r="F399" s="154">
        <v>-6.8982996659853564E-6</v>
      </c>
      <c r="G399" s="154">
        <v>1.0654632223259673E-3</v>
      </c>
      <c r="H399" s="154">
        <v>4.305425874053325E-4</v>
      </c>
      <c r="I399" s="154">
        <v>8.9502842587904882E-5</v>
      </c>
      <c r="J399" s="154">
        <v>2.1494771182553069E-3</v>
      </c>
      <c r="K399" s="154">
        <v>6.4134922073344211E-3</v>
      </c>
      <c r="L399" s="154">
        <v>0</v>
      </c>
      <c r="M399" s="154">
        <v>1.9330162494961441E-3</v>
      </c>
    </row>
    <row r="400" spans="1:14" x14ac:dyDescent="0.25">
      <c r="A400" s="197"/>
      <c r="B400" s="154" t="s">
        <v>340</v>
      </c>
      <c r="C400" s="154">
        <v>1.0902430594344164E-3</v>
      </c>
      <c r="D400" s="154">
        <v>-1.6353645891516245E-4</v>
      </c>
      <c r="E400" s="154">
        <v>7.6311881817276459E-4</v>
      </c>
      <c r="F400" s="154">
        <v>-3.8155940908638231E-5</v>
      </c>
      <c r="G400" s="154">
        <v>1.6256502601040416E-3</v>
      </c>
      <c r="H400" s="154">
        <v>1.6256502601040416E-3</v>
      </c>
      <c r="I400" s="154">
        <v>1.7507002801120447E-3</v>
      </c>
      <c r="J400" s="154">
        <v>1.0537248141199494E-3</v>
      </c>
      <c r="K400" s="154">
        <v>8.4609173316454768E-3</v>
      </c>
      <c r="L400" s="154">
        <v>0</v>
      </c>
      <c r="M400" s="154">
        <v>2.6370562862784274E-5</v>
      </c>
    </row>
    <row r="401" spans="1:13" x14ac:dyDescent="0.25">
      <c r="A401" s="197"/>
      <c r="B401" s="154" t="s">
        <v>379</v>
      </c>
      <c r="C401" s="154">
        <v>1.0347449498978036E-3</v>
      </c>
      <c r="D401" s="154">
        <v>-1.0336086682377807E-4</v>
      </c>
      <c r="E401" s="154">
        <v>3.4491498329926784E-4</v>
      </c>
      <c r="F401" s="154">
        <v>-3.4491498329926788E-5</v>
      </c>
      <c r="G401" s="154">
        <v>1.0654632223259673E-3</v>
      </c>
      <c r="H401" s="154">
        <v>4.305425874053325E-4</v>
      </c>
      <c r="I401" s="154">
        <v>1.7869725535414797E-4</v>
      </c>
      <c r="J401" s="154">
        <v>2.1494771182553069E-3</v>
      </c>
      <c r="K401" s="154">
        <v>9.3691920665066718E-3</v>
      </c>
      <c r="L401" s="154">
        <v>0</v>
      </c>
      <c r="M401" s="154">
        <v>1.9330162494961441E-3</v>
      </c>
    </row>
    <row r="402" spans="1:13" x14ac:dyDescent="0.25">
      <c r="A402" s="197"/>
      <c r="B402" s="154" t="s">
        <v>377</v>
      </c>
      <c r="C402" s="154">
        <v>1.0347449498978036E-3</v>
      </c>
      <c r="D402" s="154">
        <v>-1.0336086682377807E-4</v>
      </c>
      <c r="E402" s="154">
        <v>6.8982996659853576E-5</v>
      </c>
      <c r="F402" s="154">
        <v>-6.8982996659853564E-6</v>
      </c>
      <c r="G402" s="154">
        <v>1.0654632223259673E-3</v>
      </c>
      <c r="H402" s="154">
        <v>4.305425874053325E-4</v>
      </c>
      <c r="I402" s="154">
        <v>8.6011184229469056E-5</v>
      </c>
      <c r="J402" s="154">
        <v>4.1072811176853007E-3</v>
      </c>
      <c r="K402" s="154">
        <v>8.1963859394884164E-3</v>
      </c>
      <c r="L402" s="154">
        <v>0</v>
      </c>
      <c r="M402" s="154">
        <v>1.8343688133195604E-3</v>
      </c>
    </row>
    <row r="403" spans="1:13" x14ac:dyDescent="0.25">
      <c r="A403" s="197"/>
      <c r="B403" s="154" t="s">
        <v>374</v>
      </c>
      <c r="C403" s="154">
        <v>1.0347449498978036E-3</v>
      </c>
      <c r="D403" s="154">
        <v>-1.0336086682377807E-4</v>
      </c>
      <c r="E403" s="154">
        <v>6.8982996659853576E-5</v>
      </c>
      <c r="F403" s="154">
        <v>-6.8982996659853564E-6</v>
      </c>
      <c r="G403" s="154">
        <v>1.0654632223259673E-3</v>
      </c>
      <c r="H403" s="154">
        <v>4.305425874053325E-4</v>
      </c>
      <c r="I403" s="154">
        <v>8.9502842587904882E-5</v>
      </c>
      <c r="J403" s="154">
        <v>4.1072811176853007E-3</v>
      </c>
      <c r="K403" s="154">
        <v>8.1997406700680883E-3</v>
      </c>
      <c r="L403" s="154">
        <v>0</v>
      </c>
      <c r="M403" s="154">
        <v>1.8343688133195604E-3</v>
      </c>
    </row>
    <row r="404" spans="1:13" x14ac:dyDescent="0.25">
      <c r="A404" s="197"/>
      <c r="B404" s="154" t="s">
        <v>380</v>
      </c>
      <c r="C404" s="154">
        <v>1.0347449498978036E-3</v>
      </c>
      <c r="D404" s="154">
        <v>-1.0336086682377807E-4</v>
      </c>
      <c r="E404" s="154">
        <v>6.8982996659853576E-5</v>
      </c>
      <c r="F404" s="154">
        <v>-6.8982996659853564E-6</v>
      </c>
      <c r="G404" s="154">
        <v>1.0654632223259673E-3</v>
      </c>
      <c r="H404" s="154">
        <v>4.305425874053325E-4</v>
      </c>
      <c r="I404" s="154">
        <v>8.6011184229469056E-5</v>
      </c>
      <c r="J404" s="154">
        <v>2.1494771182553069E-3</v>
      </c>
      <c r="K404" s="154">
        <v>1.0435341543790697E-2</v>
      </c>
      <c r="L404" s="154">
        <v>0</v>
      </c>
      <c r="M404" s="154">
        <v>1.9330162494961441E-3</v>
      </c>
    </row>
    <row r="405" spans="1:13" x14ac:dyDescent="0.25">
      <c r="A405" s="197"/>
      <c r="B405" s="154" t="s">
        <v>375</v>
      </c>
      <c r="C405" s="154">
        <v>1.0347449498978036E-3</v>
      </c>
      <c r="D405" s="154">
        <v>-1.0336086682377807E-4</v>
      </c>
      <c r="E405" s="154">
        <v>3.4491498329926784E-4</v>
      </c>
      <c r="F405" s="154">
        <v>-3.4491498329926788E-5</v>
      </c>
      <c r="G405" s="154">
        <v>1.0654632223259673E-3</v>
      </c>
      <c r="H405" s="154">
        <v>4.305425874053325E-4</v>
      </c>
      <c r="I405" s="154">
        <v>1.7869725535414797E-4</v>
      </c>
      <c r="J405" s="154">
        <v>4.1072811176853007E-3</v>
      </c>
      <c r="K405" s="154">
        <v>1.1833655417796072E-2</v>
      </c>
      <c r="L405" s="154">
        <v>0</v>
      </c>
      <c r="M405" s="154">
        <v>1.8343688133195604E-3</v>
      </c>
    </row>
    <row r="406" spans="1:13" x14ac:dyDescent="0.25">
      <c r="A406" s="197"/>
      <c r="B406" s="154" t="s">
        <v>376</v>
      </c>
      <c r="C406" s="154">
        <v>1.0347449498978036E-3</v>
      </c>
      <c r="D406" s="154">
        <v>-1.0336086682377807E-4</v>
      </c>
      <c r="E406" s="154">
        <v>6.8982996659853576E-5</v>
      </c>
      <c r="F406" s="154">
        <v>-6.8982996659853564E-6</v>
      </c>
      <c r="G406" s="154">
        <v>1.0654632223259673E-3</v>
      </c>
      <c r="H406" s="154">
        <v>4.305425874053325E-4</v>
      </c>
      <c r="I406" s="154">
        <v>8.6011184229469056E-5</v>
      </c>
      <c r="J406" s="154">
        <v>4.1072811176853007E-3</v>
      </c>
      <c r="K406" s="154">
        <v>1.3343253091443465E-2</v>
      </c>
      <c r="L406" s="154">
        <v>0</v>
      </c>
      <c r="M406" s="154">
        <v>1.8343688133195604E-3</v>
      </c>
    </row>
    <row r="407" spans="1:13" x14ac:dyDescent="0.25">
      <c r="A407" s="197"/>
      <c r="B407" s="154" t="s">
        <v>352</v>
      </c>
      <c r="C407" s="154">
        <v>1.0902430594344164E-3</v>
      </c>
      <c r="D407" s="154">
        <v>-1.6353645891516245E-4</v>
      </c>
      <c r="E407" s="154">
        <v>7.6311881817276459E-4</v>
      </c>
      <c r="F407" s="154">
        <v>-3.8155940908638231E-5</v>
      </c>
      <c r="G407" s="154">
        <v>3.6264505802320927E-3</v>
      </c>
      <c r="H407" s="154">
        <v>1.6256502601040416E-3</v>
      </c>
      <c r="I407" s="154">
        <v>4.0016006402561026E-3</v>
      </c>
      <c r="J407" s="154">
        <v>1.0537248141199494E-3</v>
      </c>
      <c r="K407" s="154">
        <v>1.0274848110927385E-2</v>
      </c>
      <c r="L407" s="154">
        <v>0</v>
      </c>
      <c r="M407" s="154">
        <v>2.6370562862784274E-5</v>
      </c>
    </row>
    <row r="408" spans="1:13" x14ac:dyDescent="0.25">
      <c r="A408" s="197"/>
      <c r="B408" s="154" t="s">
        <v>341</v>
      </c>
      <c r="C408" s="154">
        <v>2.1696909640280381E-3</v>
      </c>
      <c r="D408" s="154">
        <v>-1.1028374067486764E-4</v>
      </c>
      <c r="E408" s="154">
        <v>7.6311881817276459E-4</v>
      </c>
      <c r="F408" s="154">
        <v>-3.8155940908638231E-5</v>
      </c>
      <c r="G408" s="154">
        <v>1.6256502601040416E-3</v>
      </c>
      <c r="H408" s="154">
        <v>3.235203975384487E-3</v>
      </c>
      <c r="I408" s="154">
        <v>1.7507002801120447E-3</v>
      </c>
      <c r="J408" s="154">
        <v>1.1195826150024461E-3</v>
      </c>
      <c r="K408" s="154">
        <v>1.1504824322419243E-2</v>
      </c>
      <c r="L408" s="154">
        <v>3.9063544221873935E-4</v>
      </c>
      <c r="M408" s="154">
        <v>2.8018723041708291E-5</v>
      </c>
    </row>
    <row r="409" spans="1:13" x14ac:dyDescent="0.25">
      <c r="A409" s="197"/>
      <c r="B409" s="154" t="s">
        <v>339</v>
      </c>
      <c r="C409" s="154">
        <v>7.6317014160409149E-4</v>
      </c>
      <c r="D409" s="154">
        <v>-1.1346797345547289E-4</v>
      </c>
      <c r="E409" s="154">
        <v>7.6311881817276459E-4</v>
      </c>
      <c r="F409" s="154">
        <v>-3.8155940908638231E-5</v>
      </c>
      <c r="G409" s="154">
        <v>1.6256502601040416E-3</v>
      </c>
      <c r="H409" s="154">
        <v>2.6260504201680674E-3</v>
      </c>
      <c r="I409" s="154">
        <v>1.7507002801120447E-3</v>
      </c>
      <c r="J409" s="154">
        <v>2.7715714285714288E-3</v>
      </c>
      <c r="K409" s="154">
        <v>1.1881931563082686E-2</v>
      </c>
      <c r="L409" s="154">
        <v>0</v>
      </c>
      <c r="M409" s="154">
        <v>7.4298751127533757E-4</v>
      </c>
    </row>
    <row r="410" spans="1:13" x14ac:dyDescent="0.25">
      <c r="A410" s="197"/>
      <c r="B410" s="154" t="s">
        <v>348</v>
      </c>
      <c r="C410" s="154">
        <v>1.0902430594344164E-3</v>
      </c>
      <c r="D410" s="154">
        <v>-1.6353645891516245E-4</v>
      </c>
      <c r="E410" s="154">
        <v>5.087458787818432E-4</v>
      </c>
      <c r="F410" s="154">
        <v>-2.5437293939092156E-5</v>
      </c>
      <c r="G410" s="154">
        <v>1.525610244097639E-3</v>
      </c>
      <c r="H410" s="154">
        <v>1.6256502601040416E-3</v>
      </c>
      <c r="I410" s="154">
        <v>1.6256502601040416E-3</v>
      </c>
      <c r="J410" s="154">
        <v>1.0537248141199494E-3</v>
      </c>
      <c r="K410" s="154">
        <v>1.5550528818373367E-2</v>
      </c>
      <c r="L410" s="154">
        <v>0</v>
      </c>
      <c r="M410" s="154">
        <v>2.6370562862784274E-5</v>
      </c>
    </row>
    <row r="411" spans="1:13" x14ac:dyDescent="0.25">
      <c r="A411" s="197"/>
      <c r="B411" s="154" t="s">
        <v>356</v>
      </c>
      <c r="C411" s="154">
        <v>8.7219444754753307E-4</v>
      </c>
      <c r="D411" s="154">
        <v>-1.3082916713212997E-4</v>
      </c>
      <c r="E411" s="154">
        <v>5.0874587878184309E-4</v>
      </c>
      <c r="F411" s="154">
        <v>-2.5437293939092159E-5</v>
      </c>
      <c r="G411" s="154">
        <v>1.3005202080832333E-3</v>
      </c>
      <c r="H411" s="154">
        <v>1.3005202080832333E-3</v>
      </c>
      <c r="I411" s="154">
        <v>1.4005602240896359E-3</v>
      </c>
      <c r="J411" s="154">
        <v>8.429798512959595E-4</v>
      </c>
      <c r="K411" s="154">
        <v>1.7847936304156639E-2</v>
      </c>
      <c r="L411" s="154">
        <v>0</v>
      </c>
      <c r="M411" s="154">
        <v>2.1096450290227417E-5</v>
      </c>
    </row>
    <row r="412" spans="1:13" x14ac:dyDescent="0.25">
      <c r="A412" s="197"/>
      <c r="B412" s="154" t="s">
        <v>344</v>
      </c>
      <c r="C412" s="154">
        <v>1.0902430594344164E-3</v>
      </c>
      <c r="D412" s="154">
        <v>-1.6353645891516245E-4</v>
      </c>
      <c r="E412" s="154">
        <v>1.0174917575636864E-3</v>
      </c>
      <c r="F412" s="154">
        <v>-5.0874587878184312E-5</v>
      </c>
      <c r="G412" s="154">
        <v>1.5506202480992397E-3</v>
      </c>
      <c r="H412" s="154">
        <v>1.6256502601040416E-3</v>
      </c>
      <c r="I412" s="154">
        <v>1.6256502601040416E-3</v>
      </c>
      <c r="J412" s="154">
        <v>1.0537248141199494E-3</v>
      </c>
      <c r="K412" s="154">
        <v>1.6738814318908755E-2</v>
      </c>
      <c r="L412" s="154">
        <v>0</v>
      </c>
      <c r="M412" s="154">
        <v>2.6370562862784274E-5</v>
      </c>
    </row>
    <row r="413" spans="1:13" x14ac:dyDescent="0.25">
      <c r="A413" s="197"/>
      <c r="B413" s="154" t="s">
        <v>353</v>
      </c>
      <c r="C413" s="154">
        <v>2.1696909640280381E-3</v>
      </c>
      <c r="D413" s="154">
        <v>-1.1028374067486764E-4</v>
      </c>
      <c r="E413" s="154">
        <v>7.6311881817276459E-4</v>
      </c>
      <c r="F413" s="154">
        <v>-3.8155940908638231E-5</v>
      </c>
      <c r="G413" s="154">
        <v>3.6264505802320927E-3</v>
      </c>
      <c r="H413" s="154">
        <v>3.235203975384487E-3</v>
      </c>
      <c r="I413" s="154">
        <v>4.0016006402561026E-3</v>
      </c>
      <c r="J413" s="154">
        <v>1.1195826150024461E-3</v>
      </c>
      <c r="K413" s="154">
        <v>1.2668347625040086E-2</v>
      </c>
      <c r="L413" s="154">
        <v>5.4702812928758213E-4</v>
      </c>
      <c r="M413" s="154">
        <v>2.8018723041708291E-5</v>
      </c>
    </row>
    <row r="414" spans="1:13" x14ac:dyDescent="0.25">
      <c r="A414" s="197"/>
      <c r="B414" s="154" t="s">
        <v>351</v>
      </c>
      <c r="C414" s="154">
        <v>7.6317014160409149E-4</v>
      </c>
      <c r="D414" s="154">
        <v>-1.1346797345547289E-4</v>
      </c>
      <c r="E414" s="154">
        <v>7.6311881817276459E-4</v>
      </c>
      <c r="F414" s="154">
        <v>-3.8155940908638231E-5</v>
      </c>
      <c r="G414" s="154">
        <v>3.6264505802320927E-3</v>
      </c>
      <c r="H414" s="154">
        <v>2.6260504201680674E-3</v>
      </c>
      <c r="I414" s="154">
        <v>4.0016006402561026E-3</v>
      </c>
      <c r="J414" s="154">
        <v>2.7715714285714288E-3</v>
      </c>
      <c r="K414" s="154">
        <v>1.2964876395476299E-2</v>
      </c>
      <c r="L414" s="154">
        <v>0</v>
      </c>
      <c r="M414" s="154">
        <v>7.4298751127533757E-4</v>
      </c>
    </row>
    <row r="415" spans="1:13" x14ac:dyDescent="0.25">
      <c r="A415" s="197"/>
      <c r="B415" s="154" t="s">
        <v>342</v>
      </c>
      <c r="C415" s="154">
        <v>2.1632138711235615E-3</v>
      </c>
      <c r="D415" s="154">
        <v>-1.0931217673919614E-4</v>
      </c>
      <c r="E415" s="154">
        <v>7.6311881817276459E-4</v>
      </c>
      <c r="F415" s="154">
        <v>-3.8155940908638231E-5</v>
      </c>
      <c r="G415" s="154">
        <v>1.6256502601040416E-3</v>
      </c>
      <c r="H415" s="154">
        <v>3.4736649752972778E-3</v>
      </c>
      <c r="I415" s="154">
        <v>1.7507002801120447E-3</v>
      </c>
      <c r="J415" s="154">
        <v>3.7811888058906298E-3</v>
      </c>
      <c r="K415" s="154">
        <v>1.4679005149837691E-2</v>
      </c>
      <c r="L415" s="154">
        <v>2.4636092559168071E-4</v>
      </c>
      <c r="M415" s="154">
        <v>6.3470132672722201E-5</v>
      </c>
    </row>
    <row r="416" spans="1:13" x14ac:dyDescent="0.25">
      <c r="A416" s="197"/>
      <c r="B416" s="154" t="s">
        <v>337</v>
      </c>
      <c r="C416" s="154">
        <v>2.0676718491395704E-3</v>
      </c>
      <c r="D416" s="154">
        <v>-1.0351994625618128E-4</v>
      </c>
      <c r="E416" s="154">
        <v>6.8982996659853576E-5</v>
      </c>
      <c r="F416" s="154">
        <v>-6.8982996659853564E-6</v>
      </c>
      <c r="G416" s="154">
        <v>1.0654632223259673E-3</v>
      </c>
      <c r="H416" s="154">
        <v>2.9878618113912231E-4</v>
      </c>
      <c r="I416" s="154">
        <v>8.6011184229469056E-5</v>
      </c>
      <c r="J416" s="154">
        <v>1.1790342951953749E-2</v>
      </c>
      <c r="K416" s="154">
        <v>1.4934194212517798E-2</v>
      </c>
      <c r="L416" s="154">
        <v>1.3512273869737464E-3</v>
      </c>
      <c r="M416" s="154">
        <v>2.6311642110997044E-4</v>
      </c>
    </row>
    <row r="417" spans="1:13" x14ac:dyDescent="0.25">
      <c r="A417" s="197"/>
      <c r="B417" s="154" t="s">
        <v>328</v>
      </c>
      <c r="C417" s="154">
        <v>2.0676718491395704E-3</v>
      </c>
      <c r="D417" s="154">
        <v>-1.0351994625618128E-4</v>
      </c>
      <c r="E417" s="154">
        <v>6.8982996659853576E-5</v>
      </c>
      <c r="F417" s="154">
        <v>-6.8982996659853564E-6</v>
      </c>
      <c r="G417" s="154">
        <v>1.0654632223259673E-3</v>
      </c>
      <c r="H417" s="154">
        <v>2.9878618113912231E-4</v>
      </c>
      <c r="I417" s="154">
        <v>8.9502842587904882E-5</v>
      </c>
      <c r="J417" s="154">
        <v>1.1790342951953749E-2</v>
      </c>
      <c r="K417" s="154">
        <v>1.4937548943097472E-2</v>
      </c>
      <c r="L417" s="154">
        <v>1.3515309188396555E-3</v>
      </c>
      <c r="M417" s="154">
        <v>2.6311642110997044E-4</v>
      </c>
    </row>
    <row r="418" spans="1:13" x14ac:dyDescent="0.25">
      <c r="A418" s="197"/>
      <c r="B418" s="154" t="s">
        <v>349</v>
      </c>
      <c r="C418" s="154">
        <v>2.1696909640280381E-3</v>
      </c>
      <c r="D418" s="154">
        <v>-1.1028374067486764E-4</v>
      </c>
      <c r="E418" s="154">
        <v>5.087458787818432E-4</v>
      </c>
      <c r="F418" s="154">
        <v>-2.5437293939092156E-5</v>
      </c>
      <c r="G418" s="154">
        <v>1.525610244097639E-3</v>
      </c>
      <c r="H418" s="154">
        <v>3.235203975384487E-3</v>
      </c>
      <c r="I418" s="154">
        <v>1.6256502601040416E-3</v>
      </c>
      <c r="J418" s="154">
        <v>1.1195826150024461E-3</v>
      </c>
      <c r="K418" s="154">
        <v>2.1521269454121909E-2</v>
      </c>
      <c r="L418" s="154">
        <v>3.7253124998190904E-4</v>
      </c>
      <c r="M418" s="154">
        <v>2.8018723041708291E-5</v>
      </c>
    </row>
    <row r="419" spans="1:13" x14ac:dyDescent="0.25">
      <c r="A419" s="197"/>
      <c r="B419" s="154" t="s">
        <v>347</v>
      </c>
      <c r="C419" s="154">
        <v>7.6317014160409149E-4</v>
      </c>
      <c r="D419" s="154">
        <v>-1.1346797345547289E-4</v>
      </c>
      <c r="E419" s="154">
        <v>5.087458787818432E-4</v>
      </c>
      <c r="F419" s="154">
        <v>-2.5437293939092156E-5</v>
      </c>
      <c r="G419" s="154">
        <v>1.525610244097639E-3</v>
      </c>
      <c r="H419" s="154">
        <v>2.6260504201680674E-3</v>
      </c>
      <c r="I419" s="154">
        <v>1.6256502601040416E-3</v>
      </c>
      <c r="J419" s="154">
        <v>2.7715714285714288E-3</v>
      </c>
      <c r="K419" s="154">
        <v>2.2260979810807893E-2</v>
      </c>
      <c r="L419" s="154">
        <v>0</v>
      </c>
      <c r="M419" s="154">
        <v>7.4298751127533757E-4</v>
      </c>
    </row>
    <row r="420" spans="1:13" x14ac:dyDescent="0.25">
      <c r="A420" s="197"/>
      <c r="B420" s="154" t="s">
        <v>357</v>
      </c>
      <c r="C420" s="154">
        <v>1.7357527712224307E-3</v>
      </c>
      <c r="D420" s="154">
        <v>-8.822699253989411E-5</v>
      </c>
      <c r="E420" s="154">
        <v>5.0874587878184309E-4</v>
      </c>
      <c r="F420" s="154">
        <v>-2.5437293939092159E-5</v>
      </c>
      <c r="G420" s="154">
        <v>1.3005202080832333E-3</v>
      </c>
      <c r="H420" s="154">
        <v>2.5881631803075897E-3</v>
      </c>
      <c r="I420" s="154">
        <v>1.4005602240896359E-3</v>
      </c>
      <c r="J420" s="154">
        <v>8.9566609200195687E-4</v>
      </c>
      <c r="K420" s="154">
        <v>2.4380628999740327E-2</v>
      </c>
      <c r="L420" s="154">
        <v>2.4505998190501796E-4</v>
      </c>
      <c r="M420" s="154">
        <v>2.2414978433366635E-5</v>
      </c>
    </row>
    <row r="421" spans="1:13" x14ac:dyDescent="0.25">
      <c r="A421" s="197"/>
      <c r="B421" s="154" t="s">
        <v>354</v>
      </c>
      <c r="C421" s="154">
        <v>2.1632138711235615E-3</v>
      </c>
      <c r="D421" s="154">
        <v>-1.0931217673919614E-4</v>
      </c>
      <c r="E421" s="154">
        <v>7.6311881817276459E-4</v>
      </c>
      <c r="F421" s="154">
        <v>-3.8155940908638231E-5</v>
      </c>
      <c r="G421" s="154">
        <v>3.6264505802320927E-3</v>
      </c>
      <c r="H421" s="154">
        <v>3.4736649752972778E-3</v>
      </c>
      <c r="I421" s="154">
        <v>4.0016006402561026E-3</v>
      </c>
      <c r="J421" s="154">
        <v>3.7811888058906298E-3</v>
      </c>
      <c r="K421" s="154">
        <v>1.5164284685916136E-2</v>
      </c>
      <c r="L421" s="154">
        <v>3.2366457432390222E-4</v>
      </c>
      <c r="M421" s="154">
        <v>6.3470132672722201E-5</v>
      </c>
    </row>
    <row r="422" spans="1:13" x14ac:dyDescent="0.25">
      <c r="A422" s="197"/>
      <c r="B422" s="154" t="s">
        <v>345</v>
      </c>
      <c r="C422" s="154">
        <v>2.1696909640280381E-3</v>
      </c>
      <c r="D422" s="154">
        <v>-1.1028374067486764E-4</v>
      </c>
      <c r="E422" s="154">
        <v>1.0174917575636864E-3</v>
      </c>
      <c r="F422" s="154">
        <v>-5.0874587878184312E-5</v>
      </c>
      <c r="G422" s="154">
        <v>1.5506202480992397E-3</v>
      </c>
      <c r="H422" s="154">
        <v>3.235203975384487E-3</v>
      </c>
      <c r="I422" s="154">
        <v>1.6256502601040416E-3</v>
      </c>
      <c r="J422" s="154">
        <v>1.1195826150024461E-3</v>
      </c>
      <c r="K422" s="154">
        <v>2.2709554954657294E-2</v>
      </c>
      <c r="L422" s="154">
        <v>3.9310036574868694E-4</v>
      </c>
      <c r="M422" s="154">
        <v>2.8018723041708291E-5</v>
      </c>
    </row>
    <row r="423" spans="1:13" x14ac:dyDescent="0.25">
      <c r="A423" s="197"/>
      <c r="B423" s="154" t="s">
        <v>355</v>
      </c>
      <c r="C423" s="154">
        <v>6.1053611328327313E-4</v>
      </c>
      <c r="D423" s="154">
        <v>-9.0774378764378309E-5</v>
      </c>
      <c r="E423" s="154">
        <v>5.0874587878184309E-4</v>
      </c>
      <c r="F423" s="154">
        <v>-2.5437293939092159E-5</v>
      </c>
      <c r="G423" s="154">
        <v>1.3005202080832333E-3</v>
      </c>
      <c r="H423" s="154">
        <v>2.1008403361344541E-3</v>
      </c>
      <c r="I423" s="154">
        <v>1.4005602240896359E-3</v>
      </c>
      <c r="J423" s="154">
        <v>2.217257142857143E-3</v>
      </c>
      <c r="K423" s="154">
        <v>2.5189959154702641E-2</v>
      </c>
      <c r="L423" s="154">
        <v>0</v>
      </c>
      <c r="M423" s="154">
        <v>5.9439000902027008E-4</v>
      </c>
    </row>
    <row r="424" spans="1:13" x14ac:dyDescent="0.25">
      <c r="A424" s="197"/>
      <c r="B424" s="154" t="s">
        <v>343</v>
      </c>
      <c r="C424" s="154">
        <v>7.6317014160409149E-4</v>
      </c>
      <c r="D424" s="154">
        <v>-1.1346797345547289E-4</v>
      </c>
      <c r="E424" s="154">
        <v>1.0174917575636864E-3</v>
      </c>
      <c r="F424" s="154">
        <v>-5.0874587878184312E-5</v>
      </c>
      <c r="G424" s="154">
        <v>1.5506202480992397E-3</v>
      </c>
      <c r="H424" s="154">
        <v>2.6260504201680674E-3</v>
      </c>
      <c r="I424" s="154">
        <v>1.6256502601040416E-3</v>
      </c>
      <c r="J424" s="154">
        <v>2.7715714285714288E-3</v>
      </c>
      <c r="K424" s="154">
        <v>2.3449265311343285E-2</v>
      </c>
      <c r="L424" s="154">
        <v>0</v>
      </c>
      <c r="M424" s="154">
        <v>7.4298751127533757E-4</v>
      </c>
    </row>
    <row r="425" spans="1:13" x14ac:dyDescent="0.25">
      <c r="A425" s="197"/>
      <c r="B425" s="154" t="s">
        <v>336</v>
      </c>
      <c r="C425" s="154">
        <v>2.0678991054715748E-3</v>
      </c>
      <c r="D425" s="154">
        <v>-1.0354267188938173E-4</v>
      </c>
      <c r="E425" s="154">
        <v>6.8982996659853576E-5</v>
      </c>
      <c r="F425" s="154">
        <v>-6.8982996659853564E-6</v>
      </c>
      <c r="G425" s="154">
        <v>1.0654632223259673E-3</v>
      </c>
      <c r="H425" s="154">
        <v>2.9878618113912231E-4</v>
      </c>
      <c r="I425" s="154">
        <v>8.6011184229469056E-5</v>
      </c>
      <c r="J425" s="154">
        <v>1.3060247322593066E-2</v>
      </c>
      <c r="K425" s="154">
        <v>1.6149725145607221E-2</v>
      </c>
      <c r="L425" s="154">
        <v>1.8667438119986494E-3</v>
      </c>
      <c r="M425" s="154">
        <v>2.5815196033431064E-4</v>
      </c>
    </row>
    <row r="426" spans="1:13" x14ac:dyDescent="0.25">
      <c r="A426" s="197"/>
      <c r="B426" s="154" t="s">
        <v>327</v>
      </c>
      <c r="C426" s="154">
        <v>2.0678991054715748E-3</v>
      </c>
      <c r="D426" s="154">
        <v>-1.0354267188938173E-4</v>
      </c>
      <c r="E426" s="154">
        <v>6.8982996659853576E-5</v>
      </c>
      <c r="F426" s="154">
        <v>-6.8982996659853564E-6</v>
      </c>
      <c r="G426" s="154">
        <v>1.0654632223259673E-3</v>
      </c>
      <c r="H426" s="154">
        <v>2.9878618113912231E-4</v>
      </c>
      <c r="I426" s="154">
        <v>8.9502842587904882E-5</v>
      </c>
      <c r="J426" s="154">
        <v>1.3060247322593066E-2</v>
      </c>
      <c r="K426" s="154">
        <v>1.6153079876186895E-2</v>
      </c>
      <c r="L426" s="154">
        <v>1.8671315847002927E-3</v>
      </c>
      <c r="M426" s="154">
        <v>2.5815196033431064E-4</v>
      </c>
    </row>
    <row r="427" spans="1:13" x14ac:dyDescent="0.25">
      <c r="A427" s="197"/>
      <c r="B427" s="154" t="s">
        <v>331</v>
      </c>
      <c r="C427" s="154">
        <v>2.0676718491395704E-3</v>
      </c>
      <c r="D427" s="154">
        <v>-1.0351994625618128E-4</v>
      </c>
      <c r="E427" s="154">
        <v>3.4491498329926784E-4</v>
      </c>
      <c r="F427" s="154">
        <v>-3.4491498329926788E-5</v>
      </c>
      <c r="G427" s="154">
        <v>1.0654632223259673E-3</v>
      </c>
      <c r="H427" s="154">
        <v>2.9878618113912231E-4</v>
      </c>
      <c r="I427" s="154">
        <v>1.7869725535414797E-4</v>
      </c>
      <c r="J427" s="154">
        <v>1.1790342951953749E-2</v>
      </c>
      <c r="K427" s="154">
        <v>2.1129720272896415E-2</v>
      </c>
      <c r="L427" s="154">
        <v>1.3856702589881906E-3</v>
      </c>
      <c r="M427" s="154">
        <v>2.6311642110997044E-4</v>
      </c>
    </row>
    <row r="428" spans="1:13" x14ac:dyDescent="0.25">
      <c r="A428" s="197"/>
      <c r="B428" s="154" t="s">
        <v>350</v>
      </c>
      <c r="C428" s="154">
        <v>2.1632138711235615E-3</v>
      </c>
      <c r="D428" s="154">
        <v>-1.0931217673919614E-4</v>
      </c>
      <c r="E428" s="154">
        <v>5.087458787818432E-4</v>
      </c>
      <c r="F428" s="154">
        <v>-2.5437293939092156E-5</v>
      </c>
      <c r="G428" s="154">
        <v>1.525610244097639E-3</v>
      </c>
      <c r="H428" s="154">
        <v>3.4736649752972778E-3</v>
      </c>
      <c r="I428" s="154">
        <v>1.6256502601040416E-3</v>
      </c>
      <c r="J428" s="154">
        <v>3.7811888058906298E-3</v>
      </c>
      <c r="K428" s="154">
        <v>2.7747547230981169E-2</v>
      </c>
      <c r="L428" s="154">
        <v>2.3741216882122891E-4</v>
      </c>
      <c r="M428" s="154">
        <v>6.3470132672722201E-5</v>
      </c>
    </row>
    <row r="429" spans="1:13" x14ac:dyDescent="0.25">
      <c r="A429" s="197"/>
      <c r="B429" s="154" t="s">
        <v>334</v>
      </c>
      <c r="C429" s="154">
        <v>2.0676718491395704E-3</v>
      </c>
      <c r="D429" s="154">
        <v>-1.0351994625618128E-4</v>
      </c>
      <c r="E429" s="154">
        <v>6.8982996659853576E-5</v>
      </c>
      <c r="F429" s="154">
        <v>-6.8982996659853564E-6</v>
      </c>
      <c r="G429" s="154">
        <v>1.0654632223259673E-3</v>
      </c>
      <c r="H429" s="154">
        <v>2.9878618113912231E-4</v>
      </c>
      <c r="I429" s="154">
        <v>8.6011184229469056E-5</v>
      </c>
      <c r="J429" s="154">
        <v>1.1790342951953749E-2</v>
      </c>
      <c r="K429" s="154">
        <v>2.4312024173282508E-2</v>
      </c>
      <c r="L429" s="154">
        <v>1.3512273869737464E-3</v>
      </c>
      <c r="M429" s="154">
        <v>2.6311642110997044E-4</v>
      </c>
    </row>
    <row r="430" spans="1:13" x14ac:dyDescent="0.25">
      <c r="A430" s="197"/>
      <c r="B430" s="154" t="s">
        <v>330</v>
      </c>
      <c r="C430" s="154">
        <v>2.0678991054715748E-3</v>
      </c>
      <c r="D430" s="154">
        <v>-1.0354267188938173E-4</v>
      </c>
      <c r="E430" s="154">
        <v>3.4491498329926784E-4</v>
      </c>
      <c r="F430" s="154">
        <v>-3.4491498329926788E-5</v>
      </c>
      <c r="G430" s="154">
        <v>1.0654632223259673E-3</v>
      </c>
      <c r="H430" s="154">
        <v>2.9878618113912231E-4</v>
      </c>
      <c r="I430" s="154">
        <v>1.7869725535414797E-4</v>
      </c>
      <c r="J430" s="154">
        <v>1.3060247322593066E-2</v>
      </c>
      <c r="K430" s="154">
        <v>2.2806772205735022E-2</v>
      </c>
      <c r="L430" s="154">
        <v>1.9107458000384783E-3</v>
      </c>
      <c r="M430" s="154">
        <v>2.5815196033431064E-4</v>
      </c>
    </row>
    <row r="431" spans="1:13" x14ac:dyDescent="0.25">
      <c r="A431" s="197"/>
      <c r="B431" s="154" t="s">
        <v>358</v>
      </c>
      <c r="C431" s="154">
        <v>1.7305710968988492E-3</v>
      </c>
      <c r="D431" s="154">
        <v>-8.7449741391356912E-5</v>
      </c>
      <c r="E431" s="154">
        <v>5.0874587878184309E-4</v>
      </c>
      <c r="F431" s="154">
        <v>-2.5437293939092159E-5</v>
      </c>
      <c r="G431" s="154">
        <v>1.3005202080832333E-3</v>
      </c>
      <c r="H431" s="154">
        <v>2.7789319802378224E-3</v>
      </c>
      <c r="I431" s="154">
        <v>1.4005602240896359E-3</v>
      </c>
      <c r="J431" s="154">
        <v>3.0249510447125042E-3</v>
      </c>
      <c r="K431" s="154">
        <v>3.1192909390892233E-2</v>
      </c>
      <c r="L431" s="154">
        <v>1.5555136364477952E-4</v>
      </c>
      <c r="M431" s="154">
        <v>5.0776106138177758E-5</v>
      </c>
    </row>
    <row r="432" spans="1:13" x14ac:dyDescent="0.25">
      <c r="A432" s="197"/>
      <c r="B432" s="154" t="s">
        <v>346</v>
      </c>
      <c r="C432" s="154">
        <v>2.1632138711235615E-3</v>
      </c>
      <c r="D432" s="154">
        <v>-1.0931217673919614E-4</v>
      </c>
      <c r="E432" s="154">
        <v>1.0174917575636864E-3</v>
      </c>
      <c r="F432" s="154">
        <v>-5.0874587878184312E-5</v>
      </c>
      <c r="G432" s="154">
        <v>1.5506202480992397E-3</v>
      </c>
      <c r="H432" s="154">
        <v>3.4736649752972778E-3</v>
      </c>
      <c r="I432" s="154">
        <v>1.6256502601040416E-3</v>
      </c>
      <c r="J432" s="154">
        <v>3.7811888058906298E-3</v>
      </c>
      <c r="K432" s="154">
        <v>2.8935832731516557E-2</v>
      </c>
      <c r="L432" s="154">
        <v>2.475793174889114E-4</v>
      </c>
      <c r="M432" s="154">
        <v>6.3470132672722201E-5</v>
      </c>
    </row>
    <row r="433" spans="1:13" x14ac:dyDescent="0.25">
      <c r="A433" s="197"/>
      <c r="B433" s="154" t="s">
        <v>333</v>
      </c>
      <c r="C433" s="154">
        <v>2.0678991054715748E-3</v>
      </c>
      <c r="D433" s="154">
        <v>-1.0354267188938173E-4</v>
      </c>
      <c r="E433" s="154">
        <v>6.8982996659853576E-5</v>
      </c>
      <c r="F433" s="154">
        <v>-6.8982996659853564E-6</v>
      </c>
      <c r="G433" s="154">
        <v>1.0654632223259673E-3</v>
      </c>
      <c r="H433" s="154">
        <v>2.9878618113912231E-4</v>
      </c>
      <c r="I433" s="154">
        <v>8.6011184229469056E-5</v>
      </c>
      <c r="J433" s="154">
        <v>1.3060247322593066E-2</v>
      </c>
      <c r="K433" s="154">
        <v>2.6290839836726355E-2</v>
      </c>
      <c r="L433" s="154">
        <v>1.8667438119986494E-3</v>
      </c>
      <c r="M433" s="154">
        <v>2.5815196033431064E-4</v>
      </c>
    </row>
    <row r="434" spans="1:13" x14ac:dyDescent="0.25">
      <c r="A434" s="197"/>
      <c r="B434" s="154" t="s">
        <v>338</v>
      </c>
      <c r="C434" s="154">
        <v>1.3444866658711308E-3</v>
      </c>
      <c r="D434" s="154">
        <v>-6.7337961459558828E-5</v>
      </c>
      <c r="E434" s="154">
        <v>6.8982996659853576E-5</v>
      </c>
      <c r="F434" s="154">
        <v>-6.8982996659853564E-6</v>
      </c>
      <c r="G434" s="154">
        <v>1.0654632223259673E-3</v>
      </c>
      <c r="H434" s="154">
        <v>4.305425874053325E-4</v>
      </c>
      <c r="I434" s="154">
        <v>8.6011184229469056E-5</v>
      </c>
      <c r="J434" s="154">
        <v>2.6447470892304818E-2</v>
      </c>
      <c r="K434" s="154">
        <v>2.8551150428794473E-2</v>
      </c>
      <c r="L434" s="154">
        <v>1.2381876461467003E-3</v>
      </c>
      <c r="M434" s="154">
        <v>3.3398562051778328E-4</v>
      </c>
    </row>
    <row r="435" spans="1:13" x14ac:dyDescent="0.25">
      <c r="A435" s="197"/>
      <c r="B435" s="154" t="s">
        <v>329</v>
      </c>
      <c r="C435" s="154">
        <v>1.3444866658711308E-3</v>
      </c>
      <c r="D435" s="154">
        <v>-6.7337961459558828E-5</v>
      </c>
      <c r="E435" s="154">
        <v>6.8982996659853576E-5</v>
      </c>
      <c r="F435" s="154">
        <v>-6.8982996659853564E-6</v>
      </c>
      <c r="G435" s="154">
        <v>1.0654632223259673E-3</v>
      </c>
      <c r="H435" s="154">
        <v>4.305425874053325E-4</v>
      </c>
      <c r="I435" s="154">
        <v>8.9502842587904882E-5</v>
      </c>
      <c r="J435" s="154">
        <v>2.6447470892304818E-2</v>
      </c>
      <c r="K435" s="154">
        <v>2.855450515937415E-2</v>
      </c>
      <c r="L435" s="154">
        <v>1.2383331319116356E-3</v>
      </c>
      <c r="M435" s="154">
        <v>3.3398562051778328E-4</v>
      </c>
    </row>
    <row r="436" spans="1:13" x14ac:dyDescent="0.25">
      <c r="A436" s="197"/>
      <c r="B436" s="154" t="s">
        <v>332</v>
      </c>
      <c r="C436" s="154">
        <v>1.3444866658711308E-3</v>
      </c>
      <c r="D436" s="154">
        <v>-6.7337961459558828E-5</v>
      </c>
      <c r="E436" s="154">
        <v>3.4491498329926784E-4</v>
      </c>
      <c r="F436" s="154">
        <v>-3.4491498329926788E-5</v>
      </c>
      <c r="G436" s="154">
        <v>1.0654632223259673E-3</v>
      </c>
      <c r="H436" s="154">
        <v>4.305425874053325E-4</v>
      </c>
      <c r="I436" s="154">
        <v>1.7869725535414797E-4</v>
      </c>
      <c r="J436" s="154">
        <v>2.6447470892304818E-2</v>
      </c>
      <c r="K436" s="154">
        <v>3.9916854454536799E-2</v>
      </c>
      <c r="L436" s="154">
        <v>1.2546964484978669E-3</v>
      </c>
      <c r="M436" s="154">
        <v>3.3398562051778328E-4</v>
      </c>
    </row>
    <row r="437" spans="1:13" x14ac:dyDescent="0.25">
      <c r="A437" s="197"/>
      <c r="B437" s="154" t="s">
        <v>335</v>
      </c>
      <c r="C437" s="154">
        <v>1.3444866658711308E-3</v>
      </c>
      <c r="D437" s="154">
        <v>-6.7337961459558828E-5</v>
      </c>
      <c r="E437" s="154">
        <v>6.8982996659853576E-5</v>
      </c>
      <c r="F437" s="154">
        <v>-6.8982996659853564E-6</v>
      </c>
      <c r="G437" s="154">
        <v>1.0654632223259673E-3</v>
      </c>
      <c r="H437" s="154">
        <v>4.305425874053325E-4</v>
      </c>
      <c r="I437" s="154">
        <v>8.6011184229469056E-5</v>
      </c>
      <c r="J437" s="154">
        <v>2.6447470892304818E-2</v>
      </c>
      <c r="K437" s="154">
        <v>4.6479659332276088E-2</v>
      </c>
      <c r="L437" s="154">
        <v>1.2381876461467003E-3</v>
      </c>
      <c r="M437" s="154">
        <v>3.3398562051778328E-4</v>
      </c>
    </row>
    <row r="438" spans="1:13" x14ac:dyDescent="0.25">
      <c r="A438" s="197"/>
      <c r="B438" s="154" t="s">
        <v>362</v>
      </c>
      <c r="C438" s="154">
        <v>6.1563760604058963E-3</v>
      </c>
      <c r="D438" s="154">
        <v>-1.5302033910025385E-3</v>
      </c>
      <c r="E438" s="154">
        <v>2.964391815717463E-3</v>
      </c>
      <c r="F438" s="154">
        <v>-7.4109795392936575E-4</v>
      </c>
      <c r="G438" s="154">
        <v>2.5454545454545455E-2</v>
      </c>
      <c r="H438" s="154">
        <v>7.2727272727272727E-3</v>
      </c>
      <c r="I438" s="154">
        <v>4.4000000000000003E-3</v>
      </c>
      <c r="J438" s="154">
        <v>1.1573595723149675E-2</v>
      </c>
      <c r="K438" s="154">
        <v>6.5149603783989984E-2</v>
      </c>
      <c r="L438" s="154">
        <v>0</v>
      </c>
      <c r="M438" s="154">
        <v>3.105564911133563E-3</v>
      </c>
    </row>
    <row r="439" spans="1:13" x14ac:dyDescent="0.25">
      <c r="A439" s="197"/>
      <c r="B439" s="154" t="s">
        <v>365</v>
      </c>
      <c r="C439" s="154">
        <v>6.4495368251871292E-3</v>
      </c>
      <c r="D439" s="154">
        <v>-1.6030702191455165E-3</v>
      </c>
      <c r="E439" s="154">
        <v>1.552776665375814E-3</v>
      </c>
      <c r="F439" s="154">
        <v>-3.8819416634395349E-4</v>
      </c>
      <c r="G439" s="154">
        <v>2.6666666666666665E-2</v>
      </c>
      <c r="H439" s="154">
        <v>7.619047619047619E-3</v>
      </c>
      <c r="I439" s="154">
        <v>4.4000000000000003E-3</v>
      </c>
      <c r="J439" s="154">
        <v>1.1573595723149675E-2</v>
      </c>
      <c r="K439" s="154">
        <v>7.061358407215175E-2</v>
      </c>
      <c r="L439" s="154">
        <v>0</v>
      </c>
      <c r="M439" s="154">
        <v>3.1055649111335639E-3</v>
      </c>
    </row>
    <row r="440" spans="1:13" x14ac:dyDescent="0.25">
      <c r="A440" s="197"/>
      <c r="B440" s="154" t="s">
        <v>371</v>
      </c>
      <c r="C440" s="154">
        <v>7.5244596293849832E-3</v>
      </c>
      <c r="D440" s="154">
        <v>-1.8702485890031025E-3</v>
      </c>
      <c r="E440" s="154">
        <v>2.1135015723170798E-3</v>
      </c>
      <c r="F440" s="154">
        <v>-5.2837539307926996E-4</v>
      </c>
      <c r="G440" s="154">
        <v>3.111111111111111E-2</v>
      </c>
      <c r="H440" s="154">
        <v>8.8888888888888889E-3</v>
      </c>
      <c r="I440" s="154">
        <v>4.4000000000000003E-3</v>
      </c>
      <c r="J440" s="154">
        <v>1.1573595723149675E-2</v>
      </c>
      <c r="K440" s="154">
        <v>6.9625490706338555E-2</v>
      </c>
      <c r="L440" s="154">
        <v>0</v>
      </c>
      <c r="M440" s="154">
        <v>3.1055649111335639E-3</v>
      </c>
    </row>
    <row r="441" spans="1:13" x14ac:dyDescent="0.25">
      <c r="A441" s="197"/>
      <c r="B441" s="154" t="s">
        <v>363</v>
      </c>
      <c r="C441" s="154">
        <v>2.2614787309588272E-2</v>
      </c>
      <c r="D441" s="154">
        <v>-3.4381985932500987E-3</v>
      </c>
      <c r="E441" s="154">
        <v>2.964391815717463E-3</v>
      </c>
      <c r="F441" s="154">
        <v>-7.4109795392936575E-4</v>
      </c>
      <c r="G441" s="154">
        <v>2.5454545454545455E-2</v>
      </c>
      <c r="H441" s="154">
        <v>5.4545454545454541E-3</v>
      </c>
      <c r="I441" s="154">
        <v>4.4000000000000003E-3</v>
      </c>
      <c r="J441" s="154">
        <v>5.5397830482865063E-3</v>
      </c>
      <c r="K441" s="154">
        <v>6.9194063478279583E-2</v>
      </c>
      <c r="L441" s="154">
        <v>7.0448133436563226E-3</v>
      </c>
      <c r="M441" s="154">
        <v>1.4049076735721778E-4</v>
      </c>
    </row>
    <row r="442" spans="1:13" x14ac:dyDescent="0.25">
      <c r="A442" s="197"/>
      <c r="B442" s="154" t="s">
        <v>366</v>
      </c>
      <c r="C442" s="154">
        <v>2.3691681943378187E-2</v>
      </c>
      <c r="D442" s="154">
        <v>-3.6019223357858176E-3</v>
      </c>
      <c r="E442" s="154">
        <v>1.552776665375814E-3</v>
      </c>
      <c r="F442" s="154">
        <v>-3.8819416634395349E-4</v>
      </c>
      <c r="G442" s="154">
        <v>2.6666666666666665E-2</v>
      </c>
      <c r="H442" s="154">
        <v>5.7142857142857143E-3</v>
      </c>
      <c r="I442" s="154">
        <v>4.4000000000000003E-3</v>
      </c>
      <c r="J442" s="154">
        <v>5.5397830482865063E-3</v>
      </c>
      <c r="K442" s="154">
        <v>7.5707949094327057E-2</v>
      </c>
      <c r="L442" s="154">
        <v>7.1132539649722548E-3</v>
      </c>
      <c r="M442" s="154">
        <v>1.4049076735721778E-4</v>
      </c>
    </row>
    <row r="443" spans="1:13" x14ac:dyDescent="0.25">
      <c r="A443" s="197"/>
      <c r="B443" s="154" t="s">
        <v>372</v>
      </c>
      <c r="C443" s="154">
        <v>2.7640295600607889E-2</v>
      </c>
      <c r="D443" s="154">
        <v>-4.2022427250834543E-3</v>
      </c>
      <c r="E443" s="154">
        <v>2.1135015723170798E-3</v>
      </c>
      <c r="F443" s="154">
        <v>-5.2837539307926996E-4</v>
      </c>
      <c r="G443" s="154">
        <v>3.111111111111111E-2</v>
      </c>
      <c r="H443" s="154">
        <v>6.6666666666666662E-3</v>
      </c>
      <c r="I443" s="154">
        <v>4.4000000000000003E-3</v>
      </c>
      <c r="J443" s="154">
        <v>5.5397830482865063E-3</v>
      </c>
      <c r="K443" s="154">
        <v>8.0099479887204131E-2</v>
      </c>
      <c r="L443" s="154">
        <v>8.1551199100547145E-3</v>
      </c>
      <c r="M443" s="154">
        <v>1.4049076735721778E-4</v>
      </c>
    </row>
    <row r="444" spans="1:13" x14ac:dyDescent="0.25">
      <c r="A444" s="197"/>
      <c r="B444" s="154" t="s">
        <v>368</v>
      </c>
      <c r="C444" s="154">
        <v>8.6820688031365185E-3</v>
      </c>
      <c r="D444" s="154">
        <v>-2.157979141157426E-3</v>
      </c>
      <c r="E444" s="154">
        <v>2.7870350404181278E-3</v>
      </c>
      <c r="F444" s="154">
        <v>-6.9675876010453195E-4</v>
      </c>
      <c r="G444" s="154">
        <v>3.5897435897435902E-2</v>
      </c>
      <c r="H444" s="154">
        <v>1.0256410256410255E-2</v>
      </c>
      <c r="I444" s="154">
        <v>4.4000000000000003E-3</v>
      </c>
      <c r="J444" s="154">
        <v>1.1573595723149675E-2</v>
      </c>
      <c r="K444" s="154">
        <v>8.8326262468132202E-2</v>
      </c>
      <c r="L444" s="154">
        <v>0</v>
      </c>
      <c r="M444" s="154">
        <v>3.1055649111335639E-3</v>
      </c>
    </row>
    <row r="445" spans="1:13" x14ac:dyDescent="0.25">
      <c r="A445" s="197"/>
      <c r="B445" s="154" t="s">
        <v>364</v>
      </c>
      <c r="C445" s="154">
        <v>2.2311798507511204E-2</v>
      </c>
      <c r="D445" s="154">
        <v>-3.3814651137286521E-3</v>
      </c>
      <c r="E445" s="154">
        <v>2.964391815717463E-3</v>
      </c>
      <c r="F445" s="154">
        <v>-7.4109795392936575E-4</v>
      </c>
      <c r="G445" s="154">
        <v>2.5454545454545455E-2</v>
      </c>
      <c r="H445" s="154">
        <v>9.3433449937917901E-3</v>
      </c>
      <c r="I445" s="154">
        <v>4.4000000000000003E-3</v>
      </c>
      <c r="J445" s="154">
        <v>2.149698076693125E-2</v>
      </c>
      <c r="K445" s="154">
        <v>9.0669449420705039E-2</v>
      </c>
      <c r="L445" s="154">
        <v>4.3682791161508971E-3</v>
      </c>
      <c r="M445" s="154">
        <v>3.6418200964524684E-4</v>
      </c>
    </row>
    <row r="446" spans="1:13" x14ac:dyDescent="0.25">
      <c r="A446" s="197"/>
      <c r="B446" s="154" t="s">
        <v>367</v>
      </c>
      <c r="C446" s="154">
        <v>2.3374265103106976E-2</v>
      </c>
      <c r="D446" s="154">
        <v>-3.5424872620014453E-3</v>
      </c>
      <c r="E446" s="154">
        <v>1.552776665375814E-3</v>
      </c>
      <c r="F446" s="154">
        <v>-3.8819416634395349E-4</v>
      </c>
      <c r="G446" s="154">
        <v>2.6666666666666665E-2</v>
      </c>
      <c r="H446" s="154">
        <v>9.7882661839723516E-3</v>
      </c>
      <c r="I446" s="154">
        <v>4.4000000000000003E-3</v>
      </c>
      <c r="J446" s="154">
        <v>2.149698076693125E-2</v>
      </c>
      <c r="K446" s="154">
        <v>9.9182556352221826E-2</v>
      </c>
      <c r="L446" s="154">
        <v>4.409718611580335E-3</v>
      </c>
      <c r="M446" s="154">
        <v>3.6418200964524684E-4</v>
      </c>
    </row>
    <row r="447" spans="1:13" x14ac:dyDescent="0.25">
      <c r="A447" s="197"/>
      <c r="B447" s="154" t="s">
        <v>369</v>
      </c>
      <c r="C447" s="154">
        <v>3.1892648769932176E-2</v>
      </c>
      <c r="D447" s="154">
        <v>-4.8487416058655246E-3</v>
      </c>
      <c r="E447" s="154">
        <v>2.7870350404181278E-3</v>
      </c>
      <c r="F447" s="154">
        <v>-6.9675876010453195E-4</v>
      </c>
      <c r="G447" s="154">
        <v>3.5897435897435902E-2</v>
      </c>
      <c r="H447" s="154">
        <v>7.6923076923076927E-3</v>
      </c>
      <c r="I447" s="154">
        <v>4.4000000000000003E-3</v>
      </c>
      <c r="J447" s="154">
        <v>5.5397830482865063E-3</v>
      </c>
      <c r="K447" s="154">
        <v>9.8840799825624742E-2</v>
      </c>
      <c r="L447" s="154">
        <v>9.2867356687296315E-3</v>
      </c>
      <c r="M447" s="154">
        <v>1.4049076735721778E-4</v>
      </c>
    </row>
    <row r="448" spans="1:13" x14ac:dyDescent="0.25">
      <c r="A448" s="197"/>
      <c r="B448" s="154" t="s">
        <v>373</v>
      </c>
      <c r="C448" s="154">
        <v>2.7269975953624806E-2</v>
      </c>
      <c r="D448" s="154">
        <v>-4.1329018056683528E-3</v>
      </c>
      <c r="E448" s="154">
        <v>2.1135015723170798E-3</v>
      </c>
      <c r="F448" s="154">
        <v>-5.2837539307926996E-4</v>
      </c>
      <c r="G448" s="154">
        <v>3.111111111111111E-2</v>
      </c>
      <c r="H448" s="154">
        <v>1.1419643881301077E-2</v>
      </c>
      <c r="I448" s="154">
        <v>4.4000000000000003E-3</v>
      </c>
      <c r="J448" s="154">
        <v>2.149698076693125E-2</v>
      </c>
      <c r="K448" s="154">
        <v>0.1024517746225366</v>
      </c>
      <c r="L448" s="154">
        <v>4.9359288090485148E-3</v>
      </c>
      <c r="M448" s="154">
        <v>3.6418200964524684E-4</v>
      </c>
    </row>
    <row r="449" spans="1:13" x14ac:dyDescent="0.25">
      <c r="A449" s="197"/>
      <c r="B449" s="154" t="s">
        <v>359</v>
      </c>
      <c r="C449" s="154">
        <v>1.2312752120811793E-2</v>
      </c>
      <c r="D449" s="154">
        <v>-3.0604067820050769E-3</v>
      </c>
      <c r="E449" s="154">
        <v>3.9525224209566176E-3</v>
      </c>
      <c r="F449" s="154">
        <v>-9.8813060523915441E-4</v>
      </c>
      <c r="G449" s="154">
        <v>5.0909090909090911E-2</v>
      </c>
      <c r="H449" s="154">
        <v>1.4545454545454545E-2</v>
      </c>
      <c r="I449" s="154">
        <v>4.4000000000000003E-3</v>
      </c>
      <c r="J449" s="154">
        <v>1.1573595723149675E-2</v>
      </c>
      <c r="K449" s="154">
        <v>0.13633687757910018</v>
      </c>
      <c r="L449" s="154">
        <v>0</v>
      </c>
      <c r="M449" s="154">
        <v>3.105564911133563E-3</v>
      </c>
    </row>
    <row r="450" spans="1:13" x14ac:dyDescent="0.25">
      <c r="A450" s="197"/>
      <c r="B450" s="154" t="s">
        <v>370</v>
      </c>
      <c r="C450" s="154">
        <v>3.1465356869567078E-2</v>
      </c>
      <c r="D450" s="154">
        <v>-4.7687328526942532E-3</v>
      </c>
      <c r="E450" s="154">
        <v>2.7870350404181278E-3</v>
      </c>
      <c r="F450" s="154">
        <v>-6.9675876010453195E-4</v>
      </c>
      <c r="G450" s="154">
        <v>3.5897435897435902E-2</v>
      </c>
      <c r="H450" s="154">
        <v>1.3176512170732011E-2</v>
      </c>
      <c r="I450" s="154">
        <v>4.4000000000000003E-3</v>
      </c>
      <c r="J450" s="154">
        <v>2.149698076693125E-2</v>
      </c>
      <c r="K450" s="154">
        <v>0.12386605538599031</v>
      </c>
      <c r="L450" s="154">
        <v>5.5071624473854025E-3</v>
      </c>
      <c r="M450" s="154">
        <v>3.6418200964524684E-4</v>
      </c>
    </row>
    <row r="451" spans="1:13" x14ac:dyDescent="0.25">
      <c r="A451" s="197"/>
      <c r="B451" s="154" t="s">
        <v>360</v>
      </c>
      <c r="C451" s="154">
        <v>4.5229574619176545E-2</v>
      </c>
      <c r="D451" s="154">
        <v>-6.8763971865001975E-3</v>
      </c>
      <c r="E451" s="154">
        <v>3.9525224209566176E-3</v>
      </c>
      <c r="F451" s="154">
        <v>-9.8813060523915441E-4</v>
      </c>
      <c r="G451" s="154">
        <v>5.0909090909090911E-2</v>
      </c>
      <c r="H451" s="154">
        <v>1.0909090909090908E-2</v>
      </c>
      <c r="I451" s="154">
        <v>4.4000000000000003E-3</v>
      </c>
      <c r="J451" s="154">
        <v>5.5397830482865063E-3</v>
      </c>
      <c r="K451" s="154">
        <v>0.15907506174705863</v>
      </c>
      <c r="L451" s="154">
        <v>1.2705336115153232E-2</v>
      </c>
      <c r="M451" s="154">
        <v>1.4049076735721778E-4</v>
      </c>
    </row>
    <row r="452" spans="1:13" x14ac:dyDescent="0.25">
      <c r="A452" s="197"/>
      <c r="B452" s="154" t="s">
        <v>361</v>
      </c>
      <c r="C452" s="154">
        <v>4.4623597015022408E-2</v>
      </c>
      <c r="D452" s="154">
        <v>-6.7629302274573042E-3</v>
      </c>
      <c r="E452" s="154">
        <v>3.9525224209566176E-3</v>
      </c>
      <c r="F452" s="154">
        <v>-9.8813060523915441E-4</v>
      </c>
      <c r="G452" s="154">
        <v>5.0909090909090911E-2</v>
      </c>
      <c r="H452" s="154">
        <v>1.868668998758358E-2</v>
      </c>
      <c r="I452" s="154">
        <v>4.4000000000000003E-3</v>
      </c>
      <c r="J452" s="154">
        <v>2.149698076693125E-2</v>
      </c>
      <c r="K452" s="154">
        <v>0.19148045910111161</v>
      </c>
      <c r="L452" s="154">
        <v>7.2369782095337842E-3</v>
      </c>
      <c r="M452" s="154">
        <v>3.6418200964524684E-4</v>
      </c>
    </row>
    <row r="453" spans="1:13" x14ac:dyDescent="0.25">
      <c r="A453" s="197">
        <v>2034</v>
      </c>
      <c r="B453" s="154" t="s">
        <v>381</v>
      </c>
      <c r="C453" s="154">
        <v>1.0347449498978036E-3</v>
      </c>
      <c r="D453" s="154">
        <v>-9.7956440009122124E-5</v>
      </c>
      <c r="E453" s="154">
        <v>6.8982996659853576E-5</v>
      </c>
      <c r="F453" s="154">
        <v>-6.8982996659853564E-6</v>
      </c>
      <c r="G453" s="154">
        <v>1.0654632223259673E-3</v>
      </c>
      <c r="H453" s="154">
        <v>4.305425874053325E-4</v>
      </c>
      <c r="I453" s="154">
        <v>8.6011184229469056E-5</v>
      </c>
      <c r="J453" s="154">
        <v>2.1331638109345504E-3</v>
      </c>
      <c r="K453" s="154">
        <v>6.8331995010663706E-3</v>
      </c>
      <c r="L453" s="154">
        <v>0</v>
      </c>
      <c r="M453" s="154">
        <v>2.3842549920408719E-3</v>
      </c>
    </row>
    <row r="454" spans="1:13" x14ac:dyDescent="0.25">
      <c r="A454" s="197"/>
      <c r="B454" s="154" t="s">
        <v>378</v>
      </c>
      <c r="C454" s="154">
        <v>1.0347449498978036E-3</v>
      </c>
      <c r="D454" s="154">
        <v>-9.7956440009122124E-5</v>
      </c>
      <c r="E454" s="154">
        <v>6.8982996659853576E-5</v>
      </c>
      <c r="F454" s="154">
        <v>-6.8982996659853564E-6</v>
      </c>
      <c r="G454" s="154">
        <v>1.0654632223259673E-3</v>
      </c>
      <c r="H454" s="154">
        <v>4.305425874053325E-4</v>
      </c>
      <c r="I454" s="154">
        <v>8.9502842587904882E-5</v>
      </c>
      <c r="J454" s="154">
        <v>2.1331638109345504E-3</v>
      </c>
      <c r="K454" s="154">
        <v>6.8365542316460425E-3</v>
      </c>
      <c r="L454" s="154">
        <v>0</v>
      </c>
      <c r="M454" s="154">
        <v>2.3842549920408719E-3</v>
      </c>
    </row>
    <row r="455" spans="1:13" x14ac:dyDescent="0.25">
      <c r="A455" s="197"/>
      <c r="B455" s="154" t="s">
        <v>340</v>
      </c>
      <c r="C455" s="154">
        <v>1.0902430594344164E-3</v>
      </c>
      <c r="D455" s="154">
        <v>-1.6353645891516245E-4</v>
      </c>
      <c r="E455" s="154">
        <v>7.6311881817276459E-4</v>
      </c>
      <c r="F455" s="154">
        <v>-3.8155940908638231E-5</v>
      </c>
      <c r="G455" s="154">
        <v>1.6256502601040416E-3</v>
      </c>
      <c r="H455" s="154">
        <v>1.6256502601040416E-3</v>
      </c>
      <c r="I455" s="154">
        <v>1.7507002801120447E-3</v>
      </c>
      <c r="J455" s="154">
        <v>9.5987899046131133E-4</v>
      </c>
      <c r="K455" s="154">
        <v>8.3562602548806764E-3</v>
      </c>
      <c r="L455" s="154">
        <v>0</v>
      </c>
      <c r="M455" s="154">
        <v>2.360985412314249E-5</v>
      </c>
    </row>
    <row r="456" spans="1:13" x14ac:dyDescent="0.25">
      <c r="A456" s="197"/>
      <c r="B456" s="154" t="s">
        <v>379</v>
      </c>
      <c r="C456" s="154">
        <v>1.0347449498978036E-3</v>
      </c>
      <c r="D456" s="154">
        <v>-9.7956440009122124E-5</v>
      </c>
      <c r="E456" s="154">
        <v>3.4491498329926784E-4</v>
      </c>
      <c r="F456" s="154">
        <v>-3.4491498329926788E-5</v>
      </c>
      <c r="G456" s="154">
        <v>1.0654632223259673E-3</v>
      </c>
      <c r="H456" s="154">
        <v>4.305425874053325E-4</v>
      </c>
      <c r="I456" s="154">
        <v>1.7869725535414797E-4</v>
      </c>
      <c r="J456" s="154">
        <v>2.1331638109345504E-3</v>
      </c>
      <c r="K456" s="154">
        <v>9.9528851394415953E-3</v>
      </c>
      <c r="L456" s="154">
        <v>0</v>
      </c>
      <c r="M456" s="154">
        <v>2.3842549920408719E-3</v>
      </c>
    </row>
    <row r="457" spans="1:13" x14ac:dyDescent="0.25">
      <c r="A457" s="197"/>
      <c r="B457" s="154" t="s">
        <v>377</v>
      </c>
      <c r="C457" s="154">
        <v>1.0347449498978036E-3</v>
      </c>
      <c r="D457" s="154">
        <v>-9.7956440009122124E-5</v>
      </c>
      <c r="E457" s="154">
        <v>6.8982996659853576E-5</v>
      </c>
      <c r="F457" s="154">
        <v>-6.8982996659853564E-6</v>
      </c>
      <c r="G457" s="154">
        <v>1.0654632223259673E-3</v>
      </c>
      <c r="H457" s="154">
        <v>4.305425874053325E-4</v>
      </c>
      <c r="I457" s="154">
        <v>8.6011184229469056E-5</v>
      </c>
      <c r="J457" s="154">
        <v>4.076109192868568E-3</v>
      </c>
      <c r="K457" s="154">
        <v>8.583047072717457E-3</v>
      </c>
      <c r="L457" s="154">
        <v>0</v>
      </c>
      <c r="M457" s="154">
        <v>2.2625795316212503E-3</v>
      </c>
    </row>
    <row r="458" spans="1:13" x14ac:dyDescent="0.25">
      <c r="A458" s="197"/>
      <c r="B458" s="154" t="s">
        <v>374</v>
      </c>
      <c r="C458" s="154">
        <v>1.0347449498978036E-3</v>
      </c>
      <c r="D458" s="154">
        <v>-9.7956440009122124E-5</v>
      </c>
      <c r="E458" s="154">
        <v>6.8982996659853576E-5</v>
      </c>
      <c r="F458" s="154">
        <v>-6.8982996659853564E-6</v>
      </c>
      <c r="G458" s="154">
        <v>1.0654632223259673E-3</v>
      </c>
      <c r="H458" s="154">
        <v>4.305425874053325E-4</v>
      </c>
      <c r="I458" s="154">
        <v>8.9502842587904882E-5</v>
      </c>
      <c r="J458" s="154">
        <v>4.076109192868568E-3</v>
      </c>
      <c r="K458" s="154">
        <v>8.5864018032971289E-3</v>
      </c>
      <c r="L458" s="154">
        <v>0</v>
      </c>
      <c r="M458" s="154">
        <v>2.2625795316212503E-3</v>
      </c>
    </row>
    <row r="459" spans="1:13" x14ac:dyDescent="0.25">
      <c r="A459" s="197"/>
      <c r="B459" s="154" t="s">
        <v>380</v>
      </c>
      <c r="C459" s="154">
        <v>1.0347449498978036E-3</v>
      </c>
      <c r="D459" s="154">
        <v>-9.7956440009122124E-5</v>
      </c>
      <c r="E459" s="154">
        <v>6.8982996659853576E-5</v>
      </c>
      <c r="F459" s="154">
        <v>-6.8982996659853564E-6</v>
      </c>
      <c r="G459" s="154">
        <v>1.0654632223259673E-3</v>
      </c>
      <c r="H459" s="154">
        <v>4.305425874053325E-4</v>
      </c>
      <c r="I459" s="154">
        <v>8.6011184229469056E-5</v>
      </c>
      <c r="J459" s="154">
        <v>2.1331638109345504E-3</v>
      </c>
      <c r="K459" s="154">
        <v>1.112406261005624E-2</v>
      </c>
      <c r="L459" s="154">
        <v>0</v>
      </c>
      <c r="M459" s="154">
        <v>2.3842549920408719E-3</v>
      </c>
    </row>
    <row r="460" spans="1:13" x14ac:dyDescent="0.25">
      <c r="A460" s="197"/>
      <c r="B460" s="154" t="s">
        <v>341</v>
      </c>
      <c r="C460" s="154">
        <v>1.8209695944675583E-3</v>
      </c>
      <c r="D460" s="154">
        <v>-1.5096790045692366E-4</v>
      </c>
      <c r="E460" s="154">
        <v>7.6311881817276459E-4</v>
      </c>
      <c r="F460" s="154">
        <v>-3.8155940908638231E-5</v>
      </c>
      <c r="G460" s="154">
        <v>1.6256502601040416E-3</v>
      </c>
      <c r="H460" s="154">
        <v>2.7152291126929309E-3</v>
      </c>
      <c r="I460" s="154">
        <v>1.7507002801120447E-3</v>
      </c>
      <c r="J460" s="154">
        <v>1.0198714273651432E-3</v>
      </c>
      <c r="K460" s="154">
        <v>1.040846408698637E-2</v>
      </c>
      <c r="L460" s="154">
        <v>2.7537427266196256E-4</v>
      </c>
      <c r="M460" s="154">
        <v>2.5085470005838896E-5</v>
      </c>
    </row>
    <row r="461" spans="1:13" x14ac:dyDescent="0.25">
      <c r="A461" s="197"/>
      <c r="B461" s="154" t="s">
        <v>375</v>
      </c>
      <c r="C461" s="154">
        <v>1.0347449498978036E-3</v>
      </c>
      <c r="D461" s="154">
        <v>-9.7956440009122124E-5</v>
      </c>
      <c r="E461" s="154">
        <v>3.4491498329926784E-4</v>
      </c>
      <c r="F461" s="154">
        <v>-3.4491498329926788E-5</v>
      </c>
      <c r="G461" s="154">
        <v>1.0654632223259673E-3</v>
      </c>
      <c r="H461" s="154">
        <v>4.305425874053325E-4</v>
      </c>
      <c r="I461" s="154">
        <v>1.7869725535414797E-4</v>
      </c>
      <c r="J461" s="154">
        <v>4.076109192868568E-3</v>
      </c>
      <c r="K461" s="154">
        <v>1.2367126663309516E-2</v>
      </c>
      <c r="L461" s="154">
        <v>0</v>
      </c>
      <c r="M461" s="154">
        <v>2.2625795316212503E-3</v>
      </c>
    </row>
    <row r="462" spans="1:13" x14ac:dyDescent="0.25">
      <c r="A462" s="197"/>
      <c r="B462" s="154" t="s">
        <v>352</v>
      </c>
      <c r="C462" s="154">
        <v>1.0902430594344164E-3</v>
      </c>
      <c r="D462" s="154">
        <v>-1.6353645891516245E-4</v>
      </c>
      <c r="E462" s="154">
        <v>7.6311881817276459E-4</v>
      </c>
      <c r="F462" s="154">
        <v>-3.8155940908638231E-5</v>
      </c>
      <c r="G462" s="154">
        <v>3.6264505802320927E-3</v>
      </c>
      <c r="H462" s="154">
        <v>1.6256502601040416E-3</v>
      </c>
      <c r="I462" s="154">
        <v>4.0016006402561026E-3</v>
      </c>
      <c r="J462" s="154">
        <v>9.5987899046131133E-4</v>
      </c>
      <c r="K462" s="154">
        <v>1.0192553657402922E-2</v>
      </c>
      <c r="L462" s="154">
        <v>0</v>
      </c>
      <c r="M462" s="154">
        <v>2.360985412314249E-5</v>
      </c>
    </row>
    <row r="463" spans="1:13" x14ac:dyDescent="0.25">
      <c r="A463" s="197"/>
      <c r="B463" s="154" t="s">
        <v>348</v>
      </c>
      <c r="C463" s="154">
        <v>1.0902430594344164E-3</v>
      </c>
      <c r="D463" s="154">
        <v>-1.6353645891516245E-4</v>
      </c>
      <c r="E463" s="154">
        <v>5.087458787818432E-4</v>
      </c>
      <c r="F463" s="154">
        <v>-2.5437293939092156E-5</v>
      </c>
      <c r="G463" s="154">
        <v>1.525610244097639E-3</v>
      </c>
      <c r="H463" s="154">
        <v>1.6256502601040416E-3</v>
      </c>
      <c r="I463" s="154">
        <v>1.6256502601040416E-3</v>
      </c>
      <c r="J463" s="154">
        <v>9.5987899046131133E-4</v>
      </c>
      <c r="K463" s="154">
        <v>1.5345239937027022E-2</v>
      </c>
      <c r="L463" s="154">
        <v>0</v>
      </c>
      <c r="M463" s="154">
        <v>2.360985412314249E-5</v>
      </c>
    </row>
    <row r="464" spans="1:13" x14ac:dyDescent="0.25">
      <c r="A464" s="197"/>
      <c r="B464" s="154" t="s">
        <v>376</v>
      </c>
      <c r="C464" s="154">
        <v>1.0347449498978036E-3</v>
      </c>
      <c r="D464" s="154">
        <v>-9.7956440009122124E-5</v>
      </c>
      <c r="E464" s="154">
        <v>6.8982996659853576E-5</v>
      </c>
      <c r="F464" s="154">
        <v>-6.8982996659853564E-6</v>
      </c>
      <c r="G464" s="154">
        <v>1.0654632223259673E-3</v>
      </c>
      <c r="H464" s="154">
        <v>4.305425874053325E-4</v>
      </c>
      <c r="I464" s="154">
        <v>8.6011184229469056E-5</v>
      </c>
      <c r="J464" s="154">
        <v>4.076109192868568E-3</v>
      </c>
      <c r="K464" s="154">
        <v>1.3972715564219782E-2</v>
      </c>
      <c r="L464" s="154">
        <v>0</v>
      </c>
      <c r="M464" s="154">
        <v>2.2625795316212503E-3</v>
      </c>
    </row>
    <row r="465" spans="1:13" x14ac:dyDescent="0.25">
      <c r="A465" s="197"/>
      <c r="B465" s="154" t="s">
        <v>342</v>
      </c>
      <c r="C465" s="154">
        <v>1.6052596798267933E-3</v>
      </c>
      <c r="D465" s="154">
        <v>-1.1861141326080898E-4</v>
      </c>
      <c r="E465" s="154">
        <v>7.6311881817276459E-4</v>
      </c>
      <c r="F465" s="154">
        <v>-3.8155940908638231E-5</v>
      </c>
      <c r="G465" s="154">
        <v>1.6256502601040416E-3</v>
      </c>
      <c r="H465" s="154">
        <v>2.5777082888133671E-3</v>
      </c>
      <c r="I465" s="154">
        <v>1.7507002801120447E-3</v>
      </c>
      <c r="J465" s="154">
        <v>2.7294594720870869E-3</v>
      </c>
      <c r="K465" s="154">
        <v>1.1947289068638487E-2</v>
      </c>
      <c r="L465" s="154">
        <v>2.0051394241071656E-4</v>
      </c>
      <c r="M465" s="154">
        <v>5.6825505825447255E-5</v>
      </c>
    </row>
    <row r="466" spans="1:13" x14ac:dyDescent="0.25">
      <c r="A466" s="197"/>
      <c r="B466" s="154" t="s">
        <v>339</v>
      </c>
      <c r="C466" s="154">
        <v>7.6317014160409149E-4</v>
      </c>
      <c r="D466" s="154">
        <v>-8.0920645629828101E-5</v>
      </c>
      <c r="E466" s="154">
        <v>7.6311881817276459E-4</v>
      </c>
      <c r="F466" s="154">
        <v>-3.8155940908638231E-5</v>
      </c>
      <c r="G466" s="154">
        <v>1.6256502601040416E-3</v>
      </c>
      <c r="H466" s="154">
        <v>2.6260504201680674E-3</v>
      </c>
      <c r="I466" s="154">
        <v>1.7507002801120447E-3</v>
      </c>
      <c r="J466" s="154">
        <v>2.7715714285714288E-3</v>
      </c>
      <c r="K466" s="154">
        <v>1.2126242008956489E-2</v>
      </c>
      <c r="L466" s="154">
        <v>0</v>
      </c>
      <c r="M466" s="154">
        <v>9.3595751810243634E-4</v>
      </c>
    </row>
    <row r="467" spans="1:13" x14ac:dyDescent="0.25">
      <c r="A467" s="197"/>
      <c r="B467" s="154" t="s">
        <v>356</v>
      </c>
      <c r="C467" s="154">
        <v>8.7219444754753307E-4</v>
      </c>
      <c r="D467" s="154">
        <v>-1.3082916713212997E-4</v>
      </c>
      <c r="E467" s="154">
        <v>5.0874587878184309E-4</v>
      </c>
      <c r="F467" s="154">
        <v>-2.5437293939092159E-5</v>
      </c>
      <c r="G467" s="154">
        <v>1.3005202080832333E-3</v>
      </c>
      <c r="H467" s="154">
        <v>1.3005202080832333E-3</v>
      </c>
      <c r="I467" s="154">
        <v>1.4005602240896359E-3</v>
      </c>
      <c r="J467" s="154">
        <v>7.6790319236904909E-4</v>
      </c>
      <c r="K467" s="154">
        <v>1.7623326116330634E-2</v>
      </c>
      <c r="L467" s="154">
        <v>0</v>
      </c>
      <c r="M467" s="154">
        <v>1.8887883298513993E-5</v>
      </c>
    </row>
    <row r="468" spans="1:13" x14ac:dyDescent="0.25">
      <c r="A468" s="197"/>
      <c r="B468" s="154" t="s">
        <v>344</v>
      </c>
      <c r="C468" s="154">
        <v>1.0902430594344164E-3</v>
      </c>
      <c r="D468" s="154">
        <v>-1.6353645891516245E-4</v>
      </c>
      <c r="E468" s="154">
        <v>1.0174917575636864E-3</v>
      </c>
      <c r="F468" s="154">
        <v>-5.0874587878184312E-5</v>
      </c>
      <c r="G468" s="154">
        <v>1.5506202480992397E-3</v>
      </c>
      <c r="H468" s="154">
        <v>1.6256502601040416E-3</v>
      </c>
      <c r="I468" s="154">
        <v>1.6256502601040416E-3</v>
      </c>
      <c r="J468" s="154">
        <v>9.5987899046131133E-4</v>
      </c>
      <c r="K468" s="154">
        <v>1.6533525437562417E-2</v>
      </c>
      <c r="L468" s="154">
        <v>0</v>
      </c>
      <c r="M468" s="154">
        <v>2.360985412314249E-5</v>
      </c>
    </row>
    <row r="469" spans="1:13" x14ac:dyDescent="0.25">
      <c r="A469" s="197"/>
      <c r="B469" s="154" t="s">
        <v>353</v>
      </c>
      <c r="C469" s="154">
        <v>1.8209695944675583E-3</v>
      </c>
      <c r="D469" s="154">
        <v>-1.5096790045692366E-4</v>
      </c>
      <c r="E469" s="154">
        <v>7.6311881817276459E-4</v>
      </c>
      <c r="F469" s="154">
        <v>-3.8155940908638231E-5</v>
      </c>
      <c r="G469" s="154">
        <v>3.6264505802320927E-3</v>
      </c>
      <c r="H469" s="154">
        <v>2.7152291126929309E-3</v>
      </c>
      <c r="I469" s="154">
        <v>4.0016006402561026E-3</v>
      </c>
      <c r="J469" s="154">
        <v>1.0198714273651432E-3</v>
      </c>
      <c r="K469" s="154">
        <v>1.1806252397178342E-2</v>
      </c>
      <c r="L469" s="154">
        <v>3.9723436527569315E-4</v>
      </c>
      <c r="M469" s="154">
        <v>2.5085470005838896E-5</v>
      </c>
    </row>
    <row r="470" spans="1:13" x14ac:dyDescent="0.25">
      <c r="A470" s="197"/>
      <c r="B470" s="154" t="s">
        <v>354</v>
      </c>
      <c r="C470" s="154">
        <v>1.6052596798267933E-3</v>
      </c>
      <c r="D470" s="154">
        <v>-1.1861141326080898E-4</v>
      </c>
      <c r="E470" s="154">
        <v>7.6311881817276459E-4</v>
      </c>
      <c r="F470" s="154">
        <v>-3.8155940908638231E-5</v>
      </c>
      <c r="G470" s="154">
        <v>3.6264505802320927E-3</v>
      </c>
      <c r="H470" s="154">
        <v>2.5777082888133671E-3</v>
      </c>
      <c r="I470" s="154">
        <v>4.0016006402561026E-3</v>
      </c>
      <c r="J470" s="154">
        <v>2.7294594720870869E-3</v>
      </c>
      <c r="K470" s="154">
        <v>1.3016268622067189E-2</v>
      </c>
      <c r="L470" s="154">
        <v>2.7781759114293633E-4</v>
      </c>
      <c r="M470" s="154">
        <v>5.6825505825447255E-5</v>
      </c>
    </row>
    <row r="471" spans="1:13" x14ac:dyDescent="0.25">
      <c r="A471" s="197"/>
      <c r="B471" s="154" t="s">
        <v>351</v>
      </c>
      <c r="C471" s="154">
        <v>7.6317014160409149E-4</v>
      </c>
      <c r="D471" s="154">
        <v>-8.0920645629828101E-5</v>
      </c>
      <c r="E471" s="154">
        <v>7.6311881817276459E-4</v>
      </c>
      <c r="F471" s="154">
        <v>-3.8155940908638231E-5</v>
      </c>
      <c r="G471" s="154">
        <v>3.6264505802320927E-3</v>
      </c>
      <c r="H471" s="154">
        <v>2.6260504201680674E-3</v>
      </c>
      <c r="I471" s="154">
        <v>4.0016006402561026E-3</v>
      </c>
      <c r="J471" s="154">
        <v>2.7715714285714288E-3</v>
      </c>
      <c r="K471" s="154">
        <v>1.3156983754624931E-2</v>
      </c>
      <c r="L471" s="154">
        <v>0</v>
      </c>
      <c r="M471" s="154">
        <v>9.3595751810243634E-4</v>
      </c>
    </row>
    <row r="472" spans="1:13" x14ac:dyDescent="0.25">
      <c r="A472" s="197"/>
      <c r="B472" s="154" t="s">
        <v>349</v>
      </c>
      <c r="C472" s="154">
        <v>1.8209695944675583E-3</v>
      </c>
      <c r="D472" s="154">
        <v>-1.5096790045692366E-4</v>
      </c>
      <c r="E472" s="154">
        <v>5.087458787818432E-4</v>
      </c>
      <c r="F472" s="154">
        <v>-2.5437293939092156E-5</v>
      </c>
      <c r="G472" s="154">
        <v>1.525610244097639E-3</v>
      </c>
      <c r="H472" s="154">
        <v>2.7152291126929309E-3</v>
      </c>
      <c r="I472" s="154">
        <v>1.6256502601040416E-3</v>
      </c>
      <c r="J472" s="154">
        <v>1.0198714273651432E-3</v>
      </c>
      <c r="K472" s="154">
        <v>1.9370716684618969E-2</v>
      </c>
      <c r="L472" s="154">
        <v>2.6126761215228105E-4</v>
      </c>
      <c r="M472" s="154">
        <v>2.5085470005838896E-5</v>
      </c>
    </row>
    <row r="473" spans="1:13" x14ac:dyDescent="0.25">
      <c r="A473" s="197"/>
      <c r="B473" s="154" t="s">
        <v>357</v>
      </c>
      <c r="C473" s="154">
        <v>1.4567756755740466E-3</v>
      </c>
      <c r="D473" s="154">
        <v>-1.2077432036553891E-4</v>
      </c>
      <c r="E473" s="154">
        <v>5.0874587878184309E-4</v>
      </c>
      <c r="F473" s="154">
        <v>-2.5437293939092159E-5</v>
      </c>
      <c r="G473" s="154">
        <v>1.3005202080832333E-3</v>
      </c>
      <c r="H473" s="154">
        <v>2.1721832901543448E-3</v>
      </c>
      <c r="I473" s="154">
        <v>1.4005602240896359E-3</v>
      </c>
      <c r="J473" s="154">
        <v>8.1589714189211459E-4</v>
      </c>
      <c r="K473" s="154">
        <v>2.2027671263695939E-2</v>
      </c>
      <c r="L473" s="154">
        <v>1.7279931915194311E-4</v>
      </c>
      <c r="M473" s="154">
        <v>2.0068376004671116E-5</v>
      </c>
    </row>
    <row r="474" spans="1:13" x14ac:dyDescent="0.25">
      <c r="A474" s="197"/>
      <c r="B474" s="154" t="s">
        <v>337</v>
      </c>
      <c r="C474" s="154">
        <v>1.9812010201050753E-3</v>
      </c>
      <c r="D474" s="154">
        <v>-1.0568171698204363E-4</v>
      </c>
      <c r="E474" s="154">
        <v>6.8982996659853576E-5</v>
      </c>
      <c r="F474" s="154">
        <v>-6.8982996659853564E-6</v>
      </c>
      <c r="G474" s="154">
        <v>1.0654632223259673E-3</v>
      </c>
      <c r="H474" s="154">
        <v>2.9878618113912231E-4</v>
      </c>
      <c r="I474" s="154">
        <v>8.6011184229469056E-5</v>
      </c>
      <c r="J474" s="154">
        <v>1.1074472868176938E-2</v>
      </c>
      <c r="K474" s="154">
        <v>1.4134775461909336E-2</v>
      </c>
      <c r="L474" s="154">
        <v>1.2607618619646342E-3</v>
      </c>
      <c r="M474" s="154">
        <v>2.3557101727914492E-4</v>
      </c>
    </row>
    <row r="475" spans="1:13" x14ac:dyDescent="0.25">
      <c r="A475" s="197"/>
      <c r="B475" s="154" t="s">
        <v>328</v>
      </c>
      <c r="C475" s="154">
        <v>1.9812010201050753E-3</v>
      </c>
      <c r="D475" s="154">
        <v>-1.0568171698204363E-4</v>
      </c>
      <c r="E475" s="154">
        <v>6.8982996659853576E-5</v>
      </c>
      <c r="F475" s="154">
        <v>-6.8982996659853564E-6</v>
      </c>
      <c r="G475" s="154">
        <v>1.0654632223259673E-3</v>
      </c>
      <c r="H475" s="154">
        <v>2.9878618113912231E-4</v>
      </c>
      <c r="I475" s="154">
        <v>8.9502842587904882E-5</v>
      </c>
      <c r="J475" s="154">
        <v>1.1074472868176938E-2</v>
      </c>
      <c r="K475" s="154">
        <v>1.413813019248901E-2</v>
      </c>
      <c r="L475" s="154">
        <v>1.2610610896660879E-3</v>
      </c>
      <c r="M475" s="154">
        <v>2.3557101727914492E-4</v>
      </c>
    </row>
    <row r="476" spans="1:13" x14ac:dyDescent="0.25">
      <c r="A476" s="197"/>
      <c r="B476" s="154" t="s">
        <v>345</v>
      </c>
      <c r="C476" s="154">
        <v>1.8209695944675583E-3</v>
      </c>
      <c r="D476" s="154">
        <v>-1.5096790045692366E-4</v>
      </c>
      <c r="E476" s="154">
        <v>1.0174917575636864E-3</v>
      </c>
      <c r="F476" s="154">
        <v>-5.0874587878184312E-5</v>
      </c>
      <c r="G476" s="154">
        <v>1.5506202480992397E-3</v>
      </c>
      <c r="H476" s="154">
        <v>2.7152291126929309E-3</v>
      </c>
      <c r="I476" s="154">
        <v>1.6256502601040416E-3</v>
      </c>
      <c r="J476" s="154">
        <v>1.0198714273651432E-3</v>
      </c>
      <c r="K476" s="154">
        <v>2.0559002185154357E-2</v>
      </c>
      <c r="L476" s="154">
        <v>2.7729492391027032E-4</v>
      </c>
      <c r="M476" s="154">
        <v>2.5085470005838896E-5</v>
      </c>
    </row>
    <row r="477" spans="1:13" x14ac:dyDescent="0.25">
      <c r="A477" s="197"/>
      <c r="B477" s="154" t="s">
        <v>336</v>
      </c>
      <c r="C477" s="154">
        <v>1.9922371300663917E-3</v>
      </c>
      <c r="D477" s="154">
        <v>-1.067853279781753E-4</v>
      </c>
      <c r="E477" s="154">
        <v>6.8982996659853576E-5</v>
      </c>
      <c r="F477" s="154">
        <v>-6.8982996659853564E-6</v>
      </c>
      <c r="G477" s="154">
        <v>1.0654632223259673E-3</v>
      </c>
      <c r="H477" s="154">
        <v>2.9878618113912231E-4</v>
      </c>
      <c r="I477" s="154">
        <v>8.6011184229469056E-5</v>
      </c>
      <c r="J477" s="154">
        <v>1.2176327875562188E-2</v>
      </c>
      <c r="K477" s="154">
        <v>1.5198693025411145E-2</v>
      </c>
      <c r="L477" s="154">
        <v>1.7161115644184627E-3</v>
      </c>
      <c r="M477" s="154">
        <v>2.3112628110406671E-4</v>
      </c>
    </row>
    <row r="478" spans="1:13" x14ac:dyDescent="0.25">
      <c r="A478" s="197"/>
      <c r="B478" s="154" t="s">
        <v>327</v>
      </c>
      <c r="C478" s="154">
        <v>1.9922371300663917E-3</v>
      </c>
      <c r="D478" s="154">
        <v>-1.067853279781753E-4</v>
      </c>
      <c r="E478" s="154">
        <v>6.8982996659853576E-5</v>
      </c>
      <c r="F478" s="154">
        <v>-6.8982996659853564E-6</v>
      </c>
      <c r="G478" s="154">
        <v>1.0654632223259673E-3</v>
      </c>
      <c r="H478" s="154">
        <v>2.9878618113912231E-4</v>
      </c>
      <c r="I478" s="154">
        <v>8.9502842587904882E-5</v>
      </c>
      <c r="J478" s="154">
        <v>1.2176327875562188E-2</v>
      </c>
      <c r="K478" s="154">
        <v>1.5202047755990818E-2</v>
      </c>
      <c r="L478" s="154">
        <v>1.7164903530375655E-3</v>
      </c>
      <c r="M478" s="154">
        <v>2.3112628110406671E-4</v>
      </c>
    </row>
    <row r="479" spans="1:13" x14ac:dyDescent="0.25">
      <c r="A479" s="197"/>
      <c r="B479" s="154" t="s">
        <v>350</v>
      </c>
      <c r="C479" s="154">
        <v>1.6052596798267933E-3</v>
      </c>
      <c r="D479" s="154">
        <v>-1.1861141326080898E-4</v>
      </c>
      <c r="E479" s="154">
        <v>5.087458787818432E-4</v>
      </c>
      <c r="F479" s="154">
        <v>-2.5437293939092156E-5</v>
      </c>
      <c r="G479" s="154">
        <v>1.525610244097639E-3</v>
      </c>
      <c r="H479" s="154">
        <v>2.5777082888133671E-3</v>
      </c>
      <c r="I479" s="154">
        <v>1.6256502601040416E-3</v>
      </c>
      <c r="J479" s="154">
        <v>2.7294594720870869E-3</v>
      </c>
      <c r="K479" s="154">
        <v>2.2389181071705816E-2</v>
      </c>
      <c r="L479" s="154">
        <v>1.9156518564026476E-4</v>
      </c>
      <c r="M479" s="154">
        <v>5.6825505825447255E-5</v>
      </c>
    </row>
    <row r="480" spans="1:13" x14ac:dyDescent="0.25">
      <c r="A480" s="197"/>
      <c r="B480" s="154" t="s">
        <v>347</v>
      </c>
      <c r="C480" s="154">
        <v>7.6317014160409149E-4</v>
      </c>
      <c r="D480" s="154">
        <v>-8.0920645629828101E-5</v>
      </c>
      <c r="E480" s="154">
        <v>5.087458787818432E-4</v>
      </c>
      <c r="F480" s="154">
        <v>-2.5437293939092156E-5</v>
      </c>
      <c r="G480" s="154">
        <v>1.525610244097639E-3</v>
      </c>
      <c r="H480" s="154">
        <v>2.6260504201680674E-3</v>
      </c>
      <c r="I480" s="154">
        <v>1.6256502601040416E-3</v>
      </c>
      <c r="J480" s="154">
        <v>2.7715714285714288E-3</v>
      </c>
      <c r="K480" s="154">
        <v>2.2740204146944967E-2</v>
      </c>
      <c r="L480" s="154">
        <v>0</v>
      </c>
      <c r="M480" s="154">
        <v>9.3595751810243634E-4</v>
      </c>
    </row>
    <row r="481" spans="1:13" x14ac:dyDescent="0.25">
      <c r="A481" s="197"/>
      <c r="B481" s="154" t="s">
        <v>358</v>
      </c>
      <c r="C481" s="154">
        <v>1.2842077438614348E-3</v>
      </c>
      <c r="D481" s="154">
        <v>-9.4889130608647181E-5</v>
      </c>
      <c r="E481" s="154">
        <v>5.0874587878184309E-4</v>
      </c>
      <c r="F481" s="154">
        <v>-2.5437293939092159E-5</v>
      </c>
      <c r="G481" s="154">
        <v>1.3005202080832333E-3</v>
      </c>
      <c r="H481" s="154">
        <v>2.0621666310506933E-3</v>
      </c>
      <c r="I481" s="154">
        <v>1.4005602240896359E-3</v>
      </c>
      <c r="J481" s="154">
        <v>2.1835675776696695E-3</v>
      </c>
      <c r="K481" s="154">
        <v>2.5330226416626245E-2</v>
      </c>
      <c r="L481" s="154">
        <v>1.2631560625401932E-4</v>
      </c>
      <c r="M481" s="154">
        <v>4.5460404660357809E-5</v>
      </c>
    </row>
    <row r="482" spans="1:13" x14ac:dyDescent="0.25">
      <c r="A482" s="197"/>
      <c r="B482" s="154" t="s">
        <v>355</v>
      </c>
      <c r="C482" s="154">
        <v>6.1053611328327313E-4</v>
      </c>
      <c r="D482" s="154">
        <v>-6.4736516503862478E-5</v>
      </c>
      <c r="E482" s="154">
        <v>5.0874587878184309E-4</v>
      </c>
      <c r="F482" s="154">
        <v>-2.5437293939092159E-5</v>
      </c>
      <c r="G482" s="154">
        <v>1.3005202080832333E-3</v>
      </c>
      <c r="H482" s="154">
        <v>2.1008403361344541E-3</v>
      </c>
      <c r="I482" s="154">
        <v>1.4005602240896359E-3</v>
      </c>
      <c r="J482" s="154">
        <v>2.217257142857143E-3</v>
      </c>
      <c r="K482" s="154">
        <v>2.5714286957770269E-2</v>
      </c>
      <c r="L482" s="154">
        <v>0</v>
      </c>
      <c r="M482" s="154">
        <v>7.4876601448194905E-4</v>
      </c>
    </row>
    <row r="483" spans="1:13" x14ac:dyDescent="0.25">
      <c r="A483" s="197"/>
      <c r="B483" s="154" t="s">
        <v>346</v>
      </c>
      <c r="C483" s="154">
        <v>1.6052596798267933E-3</v>
      </c>
      <c r="D483" s="154">
        <v>-1.1861141326080898E-4</v>
      </c>
      <c r="E483" s="154">
        <v>1.0174917575636864E-3</v>
      </c>
      <c r="F483" s="154">
        <v>-5.0874587878184312E-5</v>
      </c>
      <c r="G483" s="154">
        <v>1.5506202480992397E-3</v>
      </c>
      <c r="H483" s="154">
        <v>2.5777082888133671E-3</v>
      </c>
      <c r="I483" s="154">
        <v>1.6256502601040416E-3</v>
      </c>
      <c r="J483" s="154">
        <v>2.7294594720870869E-3</v>
      </c>
      <c r="K483" s="154">
        <v>2.3577466572241201E-2</v>
      </c>
      <c r="L483" s="154">
        <v>2.0173233430794725E-4</v>
      </c>
      <c r="M483" s="154">
        <v>5.6825505825447255E-5</v>
      </c>
    </row>
    <row r="484" spans="1:13" x14ac:dyDescent="0.25">
      <c r="A484" s="197"/>
      <c r="B484" s="154" t="s">
        <v>343</v>
      </c>
      <c r="C484" s="154">
        <v>7.6317014160409149E-4</v>
      </c>
      <c r="D484" s="154">
        <v>-8.0920645629828101E-5</v>
      </c>
      <c r="E484" s="154">
        <v>1.0174917575636864E-3</v>
      </c>
      <c r="F484" s="154">
        <v>-5.0874587878184312E-5</v>
      </c>
      <c r="G484" s="154">
        <v>1.5506202480992397E-3</v>
      </c>
      <c r="H484" s="154">
        <v>2.6260504201680674E-3</v>
      </c>
      <c r="I484" s="154">
        <v>1.6256502601040416E-3</v>
      </c>
      <c r="J484" s="154">
        <v>2.7715714285714288E-3</v>
      </c>
      <c r="K484" s="154">
        <v>2.3928489647480365E-2</v>
      </c>
      <c r="L484" s="154">
        <v>0</v>
      </c>
      <c r="M484" s="154">
        <v>9.3595751810243634E-4</v>
      </c>
    </row>
    <row r="485" spans="1:13" x14ac:dyDescent="0.25">
      <c r="A485" s="197"/>
      <c r="B485" s="154" t="s">
        <v>331</v>
      </c>
      <c r="C485" s="154">
        <v>1.9812010201050753E-3</v>
      </c>
      <c r="D485" s="154">
        <v>-1.0568171698204363E-4</v>
      </c>
      <c r="E485" s="154">
        <v>3.4491498329926784E-4</v>
      </c>
      <c r="F485" s="154">
        <v>-3.4491498329926788E-5</v>
      </c>
      <c r="G485" s="154">
        <v>1.0654632223259673E-3</v>
      </c>
      <c r="H485" s="154">
        <v>2.9878618113912231E-4</v>
      </c>
      <c r="I485" s="154">
        <v>1.7869725535414797E-4</v>
      </c>
      <c r="J485" s="154">
        <v>1.1074472868176938E-2</v>
      </c>
      <c r="K485" s="154">
        <v>2.0026772808245816E-2</v>
      </c>
      <c r="L485" s="154">
        <v>1.2947163246812589E-3</v>
      </c>
      <c r="M485" s="154">
        <v>2.3557101727914492E-4</v>
      </c>
    </row>
    <row r="486" spans="1:13" x14ac:dyDescent="0.25">
      <c r="A486" s="197"/>
      <c r="B486" s="154" t="s">
        <v>334</v>
      </c>
      <c r="C486" s="154">
        <v>1.9812010201050753E-3</v>
      </c>
      <c r="D486" s="154">
        <v>-1.0568171698204363E-4</v>
      </c>
      <c r="E486" s="154">
        <v>6.8982996659853576E-5</v>
      </c>
      <c r="F486" s="154">
        <v>-6.8982996659853564E-6</v>
      </c>
      <c r="G486" s="154">
        <v>1.0654632223259673E-3</v>
      </c>
      <c r="H486" s="154">
        <v>2.9878618113912231E-4</v>
      </c>
      <c r="I486" s="154">
        <v>8.6011184229469056E-5</v>
      </c>
      <c r="J486" s="154">
        <v>1.1074472868176938E-2</v>
      </c>
      <c r="K486" s="154">
        <v>2.3010615626373594E-2</v>
      </c>
      <c r="L486" s="154">
        <v>1.2607618619646342E-3</v>
      </c>
      <c r="M486" s="154">
        <v>2.3557101727914492E-4</v>
      </c>
    </row>
    <row r="487" spans="1:13" x14ac:dyDescent="0.25">
      <c r="A487" s="197"/>
      <c r="B487" s="154" t="s">
        <v>330</v>
      </c>
      <c r="C487" s="154">
        <v>1.9922371300663917E-3</v>
      </c>
      <c r="D487" s="154">
        <v>-1.067853279781753E-4</v>
      </c>
      <c r="E487" s="154">
        <v>3.4491498329926784E-4</v>
      </c>
      <c r="F487" s="154">
        <v>-3.4491498329926788E-5</v>
      </c>
      <c r="G487" s="154">
        <v>1.0654632223259673E-3</v>
      </c>
      <c r="H487" s="154">
        <v>2.9878618113912231E-4</v>
      </c>
      <c r="I487" s="154">
        <v>1.7869725535414797E-4</v>
      </c>
      <c r="J487" s="154">
        <v>1.2176327875562188E-2</v>
      </c>
      <c r="K487" s="154">
        <v>2.1494645782664312E-2</v>
      </c>
      <c r="L487" s="154">
        <v>1.7590940957229288E-3</v>
      </c>
      <c r="M487" s="154">
        <v>2.3112628110406671E-4</v>
      </c>
    </row>
    <row r="488" spans="1:13" x14ac:dyDescent="0.25">
      <c r="A488" s="197"/>
      <c r="B488" s="154" t="s">
        <v>333</v>
      </c>
      <c r="C488" s="154">
        <v>1.9922371300663917E-3</v>
      </c>
      <c r="D488" s="154">
        <v>-1.067853279781753E-4</v>
      </c>
      <c r="E488" s="154">
        <v>6.8982996659853576E-5</v>
      </c>
      <c r="F488" s="154">
        <v>-6.8982996659853564E-6</v>
      </c>
      <c r="G488" s="154">
        <v>1.0654632223259673E-3</v>
      </c>
      <c r="H488" s="154">
        <v>2.9878618113912231E-4</v>
      </c>
      <c r="I488" s="154">
        <v>8.6011184229469056E-5</v>
      </c>
      <c r="J488" s="154">
        <v>1.2176327875562188E-2</v>
      </c>
      <c r="K488" s="154">
        <v>2.4742613292545308E-2</v>
      </c>
      <c r="L488" s="154">
        <v>1.7161115644184627E-3</v>
      </c>
      <c r="M488" s="154">
        <v>2.3112628110406671E-4</v>
      </c>
    </row>
    <row r="489" spans="1:13" x14ac:dyDescent="0.25">
      <c r="A489" s="197"/>
      <c r="B489" s="154" t="s">
        <v>338</v>
      </c>
      <c r="C489" s="154">
        <v>1.3120601049831952E-3</v>
      </c>
      <c r="D489" s="154">
        <v>-7.1121060229817985E-5</v>
      </c>
      <c r="E489" s="154">
        <v>6.8982996659853576E-5</v>
      </c>
      <c r="F489" s="154">
        <v>-6.8982996659853564E-6</v>
      </c>
      <c r="G489" s="154">
        <v>1.0654632223259673E-3</v>
      </c>
      <c r="H489" s="154">
        <v>4.305425874053325E-4</v>
      </c>
      <c r="I489" s="154">
        <v>8.6011184229469056E-5</v>
      </c>
      <c r="J489" s="154">
        <v>2.4202354741507264E-2</v>
      </c>
      <c r="K489" s="154">
        <v>2.6325694905820204E-2</v>
      </c>
      <c r="L489" s="154">
        <v>1.1416755443850596E-3</v>
      </c>
      <c r="M489" s="154">
        <v>2.9902098869419172E-4</v>
      </c>
    </row>
    <row r="490" spans="1:13" x14ac:dyDescent="0.25">
      <c r="A490" s="197"/>
      <c r="B490" s="154" t="s">
        <v>329</v>
      </c>
      <c r="C490" s="154">
        <v>1.3120601049831952E-3</v>
      </c>
      <c r="D490" s="154">
        <v>-7.1121060229817985E-5</v>
      </c>
      <c r="E490" s="154">
        <v>6.8982996659853576E-5</v>
      </c>
      <c r="F490" s="154">
        <v>-6.8982996659853564E-6</v>
      </c>
      <c r="G490" s="154">
        <v>1.0654632223259673E-3</v>
      </c>
      <c r="H490" s="154">
        <v>4.305425874053325E-4</v>
      </c>
      <c r="I490" s="154">
        <v>8.9502842587904882E-5</v>
      </c>
      <c r="J490" s="154">
        <v>2.4202354741507264E-2</v>
      </c>
      <c r="K490" s="154">
        <v>2.6329049636399881E-2</v>
      </c>
      <c r="L490" s="154">
        <v>1.1418210301499948E-3</v>
      </c>
      <c r="M490" s="154">
        <v>2.9902098869419172E-4</v>
      </c>
    </row>
    <row r="491" spans="1:13" x14ac:dyDescent="0.25">
      <c r="A491" s="197"/>
      <c r="B491" s="154" t="s">
        <v>332</v>
      </c>
      <c r="C491" s="154">
        <v>1.3120601049831952E-3</v>
      </c>
      <c r="D491" s="154">
        <v>-7.1121060229817985E-5</v>
      </c>
      <c r="E491" s="154">
        <v>3.4491498329926784E-4</v>
      </c>
      <c r="F491" s="154">
        <v>-3.4491498329926788E-5</v>
      </c>
      <c r="G491" s="154">
        <v>1.0654632223259673E-3</v>
      </c>
      <c r="H491" s="154">
        <v>4.305425874053325E-4</v>
      </c>
      <c r="I491" s="154">
        <v>1.7869725535414797E-4</v>
      </c>
      <c r="J491" s="154">
        <v>2.4202354741507264E-2</v>
      </c>
      <c r="K491" s="154">
        <v>3.6846422938026986E-2</v>
      </c>
      <c r="L491" s="154">
        <v>1.1581843467362296E-3</v>
      </c>
      <c r="M491" s="154">
        <v>2.9902098869419172E-4</v>
      </c>
    </row>
    <row r="492" spans="1:13" x14ac:dyDescent="0.25">
      <c r="A492" s="197"/>
      <c r="B492" s="154" t="s">
        <v>335</v>
      </c>
      <c r="C492" s="154">
        <v>1.3120601049831952E-3</v>
      </c>
      <c r="D492" s="154">
        <v>-7.1121060229817985E-5</v>
      </c>
      <c r="E492" s="154">
        <v>6.8982996659853576E-5</v>
      </c>
      <c r="F492" s="154">
        <v>-6.8982996659853564E-6</v>
      </c>
      <c r="G492" s="154">
        <v>1.0654632223259673E-3</v>
      </c>
      <c r="H492" s="154">
        <v>4.305425874053325E-4</v>
      </c>
      <c r="I492" s="154">
        <v>8.6011184229469056E-5</v>
      </c>
      <c r="J492" s="154">
        <v>2.4202354741507264E-2</v>
      </c>
      <c r="K492" s="154">
        <v>4.2856743512300705E-2</v>
      </c>
      <c r="L492" s="154">
        <v>1.1416755443850596E-3</v>
      </c>
      <c r="M492" s="154">
        <v>2.9902098869419172E-4</v>
      </c>
    </row>
    <row r="493" spans="1:13" x14ac:dyDescent="0.25">
      <c r="A493" s="197"/>
      <c r="B493" s="154" t="s">
        <v>363</v>
      </c>
      <c r="C493" s="154">
        <v>1.1641318209290907E-2</v>
      </c>
      <c r="D493" s="154">
        <v>-2.4161598044969133E-3</v>
      </c>
      <c r="E493" s="154">
        <v>2.964391815717463E-3</v>
      </c>
      <c r="F493" s="154">
        <v>-7.4109795392936575E-4</v>
      </c>
      <c r="G493" s="154">
        <v>2.5454545454545455E-2</v>
      </c>
      <c r="H493" s="154">
        <v>5.4545454545454541E-3</v>
      </c>
      <c r="I493" s="154">
        <v>4.4000000000000003E-3</v>
      </c>
      <c r="J493" s="154">
        <v>4.13162426244334E-3</v>
      </c>
      <c r="K493" s="154">
        <v>5.6871908459901539E-2</v>
      </c>
      <c r="L493" s="154">
        <v>4.4421860038116392E-3</v>
      </c>
      <c r="M493" s="154">
        <v>1.2578292470326314E-4</v>
      </c>
    </row>
    <row r="494" spans="1:13" x14ac:dyDescent="0.25">
      <c r="A494" s="197"/>
      <c r="B494" s="154" t="s">
        <v>366</v>
      </c>
      <c r="C494" s="154">
        <v>1.2195666695447615E-2</v>
      </c>
      <c r="D494" s="154">
        <v>-2.5312150332824808E-3</v>
      </c>
      <c r="E494" s="154">
        <v>1.552776665375814E-3</v>
      </c>
      <c r="F494" s="154">
        <v>-3.8819416634395349E-4</v>
      </c>
      <c r="G494" s="154">
        <v>2.6666666666666665E-2</v>
      </c>
      <c r="H494" s="154">
        <v>5.7142857142857143E-3</v>
      </c>
      <c r="I494" s="154">
        <v>4.4000000000000003E-3</v>
      </c>
      <c r="J494" s="154">
        <v>4.13162426244334E-3</v>
      </c>
      <c r="K494" s="154">
        <v>6.1799222420589786E-2</v>
      </c>
      <c r="L494" s="154">
        <v>4.4545939822651093E-3</v>
      </c>
      <c r="M494" s="154">
        <v>1.2578292470326314E-4</v>
      </c>
    </row>
    <row r="495" spans="1:13" x14ac:dyDescent="0.25">
      <c r="A495" s="197"/>
      <c r="B495" s="154" t="s">
        <v>362</v>
      </c>
      <c r="C495" s="154">
        <v>6.406113752333166E-3</v>
      </c>
      <c r="D495" s="154">
        <v>-1.3054394682679949E-3</v>
      </c>
      <c r="E495" s="154">
        <v>2.964391815717463E-3</v>
      </c>
      <c r="F495" s="154">
        <v>-7.4109795392936575E-4</v>
      </c>
      <c r="G495" s="154">
        <v>2.5454545454545455E-2</v>
      </c>
      <c r="H495" s="154">
        <v>7.2727272727272727E-3</v>
      </c>
      <c r="I495" s="154">
        <v>4.4000000000000003E-3</v>
      </c>
      <c r="J495" s="154">
        <v>1.0720644957616992E-2</v>
      </c>
      <c r="K495" s="154">
        <v>6.5403373288047129E-2</v>
      </c>
      <c r="L495" s="154">
        <v>0</v>
      </c>
      <c r="M495" s="154">
        <v>3.7182628349802355E-3</v>
      </c>
    </row>
    <row r="496" spans="1:13" x14ac:dyDescent="0.25">
      <c r="A496" s="197"/>
      <c r="B496" s="154" t="s">
        <v>372</v>
      </c>
      <c r="C496" s="154">
        <v>1.4228277811355551E-2</v>
      </c>
      <c r="D496" s="154">
        <v>-2.9530842054962272E-3</v>
      </c>
      <c r="E496" s="154">
        <v>2.1135015723170798E-3</v>
      </c>
      <c r="F496" s="154">
        <v>-5.2837539307926996E-4</v>
      </c>
      <c r="G496" s="154">
        <v>3.111111111111111E-2</v>
      </c>
      <c r="H496" s="154">
        <v>6.6666666666666662E-3</v>
      </c>
      <c r="I496" s="154">
        <v>4.4000000000000003E-3</v>
      </c>
      <c r="J496" s="154">
        <v>4.13162426244334E-3</v>
      </c>
      <c r="K496" s="154">
        <v>6.5381610164195081E-2</v>
      </c>
      <c r="L496" s="154">
        <v>5.1068670182368367E-3</v>
      </c>
      <c r="M496" s="154">
        <v>1.2578292470326314E-4</v>
      </c>
    </row>
    <row r="497" spans="1:14" x14ac:dyDescent="0.25">
      <c r="A497" s="197"/>
      <c r="B497" s="154" t="s">
        <v>365</v>
      </c>
      <c r="C497" s="154">
        <v>6.7111667881585542E-3</v>
      </c>
      <c r="D497" s="154">
        <v>-1.3676032524712327E-3</v>
      </c>
      <c r="E497" s="154">
        <v>1.552776665375814E-3</v>
      </c>
      <c r="F497" s="154">
        <v>-3.8819416634395349E-4</v>
      </c>
      <c r="G497" s="154">
        <v>2.6666666666666665E-2</v>
      </c>
      <c r="H497" s="154">
        <v>7.619047619047619E-3</v>
      </c>
      <c r="I497" s="154">
        <v>4.4000000000000003E-3</v>
      </c>
      <c r="J497" s="154">
        <v>1.0720644957616992E-2</v>
      </c>
      <c r="K497" s="154">
        <v>7.091509669714792E-2</v>
      </c>
      <c r="L497" s="154">
        <v>0</v>
      </c>
      <c r="M497" s="154">
        <v>3.7182628349802355E-3</v>
      </c>
    </row>
    <row r="498" spans="1:14" x14ac:dyDescent="0.25">
      <c r="A498" s="197"/>
      <c r="B498" s="154" t="s">
        <v>371</v>
      </c>
      <c r="C498" s="154">
        <v>7.8296945861849807E-3</v>
      </c>
      <c r="D498" s="154">
        <v>-1.5955371278831049E-3</v>
      </c>
      <c r="E498" s="154">
        <v>2.1135015723170798E-3</v>
      </c>
      <c r="F498" s="154">
        <v>-5.2837539307926996E-4</v>
      </c>
      <c r="G498" s="154">
        <v>3.111111111111111E-2</v>
      </c>
      <c r="H498" s="154">
        <v>8.8888888888888889E-3</v>
      </c>
      <c r="I498" s="154">
        <v>4.4000000000000003E-3</v>
      </c>
      <c r="J498" s="154">
        <v>1.0720644957616992E-2</v>
      </c>
      <c r="K498" s="154">
        <v>6.9329735996424835E-2</v>
      </c>
      <c r="L498" s="154">
        <v>0</v>
      </c>
      <c r="M498" s="154">
        <v>3.718262834980236E-3</v>
      </c>
    </row>
    <row r="499" spans="1:14" x14ac:dyDescent="0.25">
      <c r="A499" s="197"/>
      <c r="B499" s="154" t="s">
        <v>364</v>
      </c>
      <c r="C499" s="154">
        <v>1.2983934501295575E-2</v>
      </c>
      <c r="D499" s="154">
        <v>-2.5975276068232966E-3</v>
      </c>
      <c r="E499" s="154">
        <v>2.964391815717463E-3</v>
      </c>
      <c r="F499" s="154">
        <v>-7.4109795392936575E-4</v>
      </c>
      <c r="G499" s="154">
        <v>2.5454545454545455E-2</v>
      </c>
      <c r="H499" s="154">
        <v>7.3714603239921801E-3</v>
      </c>
      <c r="I499" s="154">
        <v>4.4000000000000003E-3</v>
      </c>
      <c r="J499" s="154">
        <v>1.3279381505411613E-2</v>
      </c>
      <c r="K499" s="154">
        <v>7.03336184363543E-2</v>
      </c>
      <c r="L499" s="154">
        <v>2.4811368469288692E-3</v>
      </c>
      <c r="M499" s="154">
        <v>3.2605614702792577E-4</v>
      </c>
    </row>
    <row r="500" spans="1:14" x14ac:dyDescent="0.25">
      <c r="A500" s="197"/>
      <c r="B500" s="154" t="s">
        <v>367</v>
      </c>
      <c r="C500" s="154">
        <v>1.3602217096595365E-2</v>
      </c>
      <c r="D500" s="154">
        <v>-2.721219397624406E-3</v>
      </c>
      <c r="E500" s="154">
        <v>1.552776665375814E-3</v>
      </c>
      <c r="F500" s="154">
        <v>-3.8819416634395349E-4</v>
      </c>
      <c r="G500" s="154">
        <v>2.6666666666666665E-2</v>
      </c>
      <c r="H500" s="154">
        <v>7.7224822441822839E-3</v>
      </c>
      <c r="I500" s="154">
        <v>4.4000000000000003E-3</v>
      </c>
      <c r="J500" s="154">
        <v>1.3279381505411613E-2</v>
      </c>
      <c r="K500" s="154">
        <v>7.6558564675540813E-2</v>
      </c>
      <c r="L500" s="154">
        <v>2.4923424709268893E-3</v>
      </c>
      <c r="M500" s="154">
        <v>3.2605614702792577E-4</v>
      </c>
    </row>
    <row r="501" spans="1:14" x14ac:dyDescent="0.25">
      <c r="A501" s="197"/>
      <c r="B501" s="154" t="s">
        <v>369</v>
      </c>
      <c r="C501" s="154">
        <v>1.6417243628487177E-2</v>
      </c>
      <c r="D501" s="154">
        <v>-3.4074048524956467E-3</v>
      </c>
      <c r="E501" s="154">
        <v>2.7870350404181278E-3</v>
      </c>
      <c r="F501" s="154">
        <v>-6.9675876010453195E-4</v>
      </c>
      <c r="G501" s="154">
        <v>3.5897435897435902E-2</v>
      </c>
      <c r="H501" s="154">
        <v>7.6923076923076927E-3</v>
      </c>
      <c r="I501" s="154">
        <v>4.4000000000000003E-3</v>
      </c>
      <c r="J501" s="154">
        <v>4.13162426244334E-3</v>
      </c>
      <c r="K501" s="154">
        <v>8.0695702197474711E-2</v>
      </c>
      <c r="L501" s="154">
        <v>5.8166846656595439E-3</v>
      </c>
      <c r="M501" s="154">
        <v>1.2578292470326314E-4</v>
      </c>
    </row>
    <row r="502" spans="1:14" x14ac:dyDescent="0.25">
      <c r="A502" s="197"/>
      <c r="B502" s="154" t="s">
        <v>373</v>
      </c>
      <c r="C502" s="154">
        <v>1.586925327936126E-2</v>
      </c>
      <c r="D502" s="154">
        <v>-3.1747559638951399E-3</v>
      </c>
      <c r="E502" s="154">
        <v>2.1135015723170798E-3</v>
      </c>
      <c r="F502" s="154">
        <v>-5.2837539307926996E-4</v>
      </c>
      <c r="G502" s="154">
        <v>3.111111111111111E-2</v>
      </c>
      <c r="H502" s="154">
        <v>9.0095626182126638E-3</v>
      </c>
      <c r="I502" s="154">
        <v>4.4000000000000003E-3</v>
      </c>
      <c r="J502" s="154">
        <v>1.3279381505411613E-2</v>
      </c>
      <c r="K502" s="154">
        <v>7.9584359467844631E-2</v>
      </c>
      <c r="L502" s="154">
        <v>2.8074723170056493E-3</v>
      </c>
      <c r="M502" s="154">
        <v>3.2605614702792577E-4</v>
      </c>
    </row>
    <row r="503" spans="1:14" x14ac:dyDescent="0.25">
      <c r="A503" s="197"/>
      <c r="B503" s="154" t="s">
        <v>368</v>
      </c>
      <c r="C503" s="154">
        <v>9.034262984059592E-3</v>
      </c>
      <c r="D503" s="154">
        <v>-1.8410043783266593E-3</v>
      </c>
      <c r="E503" s="154">
        <v>2.7870350404181278E-3</v>
      </c>
      <c r="F503" s="154">
        <v>-6.9675876010453195E-4</v>
      </c>
      <c r="G503" s="154">
        <v>3.5897435897435902E-2</v>
      </c>
      <c r="H503" s="154">
        <v>1.0256410256410255E-2</v>
      </c>
      <c r="I503" s="154">
        <v>4.4000000000000003E-3</v>
      </c>
      <c r="J503" s="154">
        <v>1.0720644957616992E-2</v>
      </c>
      <c r="K503" s="154">
        <v>8.8829772674907492E-2</v>
      </c>
      <c r="L503" s="154">
        <v>0</v>
      </c>
      <c r="M503" s="154">
        <v>3.7182628349802355E-3</v>
      </c>
    </row>
    <row r="504" spans="1:14" x14ac:dyDescent="0.25">
      <c r="A504" s="197"/>
      <c r="B504" s="154" t="s">
        <v>370</v>
      </c>
      <c r="C504" s="154">
        <v>1.8310676860801452E-2</v>
      </c>
      <c r="D504" s="154">
        <v>-3.6631799583405462E-3</v>
      </c>
      <c r="E504" s="154">
        <v>2.7870350404181278E-3</v>
      </c>
      <c r="F504" s="154">
        <v>-6.9675876010453195E-4</v>
      </c>
      <c r="G504" s="154">
        <v>3.5897435897435902E-2</v>
      </c>
      <c r="H504" s="154">
        <v>1.0395649174860766E-2</v>
      </c>
      <c r="I504" s="154">
        <v>4.4000000000000003E-3</v>
      </c>
      <c r="J504" s="154">
        <v>1.3279381505411613E-2</v>
      </c>
      <c r="K504" s="154">
        <v>9.6765433154279712E-2</v>
      </c>
      <c r="L504" s="154">
        <v>3.1501713725975572E-3</v>
      </c>
      <c r="M504" s="154">
        <v>3.2605614702792577E-4</v>
      </c>
    </row>
    <row r="505" spans="1:14" x14ac:dyDescent="0.25">
      <c r="A505" s="197"/>
      <c r="B505" s="154" t="s">
        <v>360</v>
      </c>
      <c r="C505" s="154">
        <v>2.3282636418581814E-2</v>
      </c>
      <c r="D505" s="154">
        <v>-4.8323196089938266E-3</v>
      </c>
      <c r="E505" s="154">
        <v>3.9525224209566176E-3</v>
      </c>
      <c r="F505" s="154">
        <v>-9.8813060523915441E-4</v>
      </c>
      <c r="G505" s="154">
        <v>5.0909090909090911E-2</v>
      </c>
      <c r="H505" s="154">
        <v>1.0909090909090908E-2</v>
      </c>
      <c r="I505" s="154">
        <v>4.4000000000000003E-3</v>
      </c>
      <c r="J505" s="154">
        <v>4.13162426244334E-3</v>
      </c>
      <c r="K505" s="154">
        <v>0.12962524792344063</v>
      </c>
      <c r="L505" s="154">
        <v>7.9427691509175447E-3</v>
      </c>
      <c r="M505" s="154">
        <v>1.2578292470326314E-4</v>
      </c>
    </row>
    <row r="506" spans="1:14" x14ac:dyDescent="0.25">
      <c r="A506" s="197"/>
      <c r="B506" s="154" t="s">
        <v>359</v>
      </c>
      <c r="C506" s="154">
        <v>1.2812227504666332E-2</v>
      </c>
      <c r="D506" s="154">
        <v>-2.6108789365359899E-3</v>
      </c>
      <c r="E506" s="154">
        <v>3.9525224209566176E-3</v>
      </c>
      <c r="F506" s="154">
        <v>-9.8813060523915441E-4</v>
      </c>
      <c r="G506" s="154">
        <v>5.0909090909090911E-2</v>
      </c>
      <c r="H506" s="154">
        <v>1.4545454545454545E-2</v>
      </c>
      <c r="I506" s="154">
        <v>4.4000000000000003E-3</v>
      </c>
      <c r="J506" s="154">
        <v>1.0720644957616992E-2</v>
      </c>
      <c r="K506" s="154">
        <v>0.13731562811440928</v>
      </c>
      <c r="L506" s="154">
        <v>0</v>
      </c>
      <c r="M506" s="154">
        <v>3.7182628349802355E-3</v>
      </c>
    </row>
    <row r="507" spans="1:14" x14ac:dyDescent="0.25">
      <c r="A507" s="198"/>
      <c r="B507" s="160" t="s">
        <v>361</v>
      </c>
      <c r="C507" s="160">
        <v>2.5967869002591151E-2</v>
      </c>
      <c r="D507" s="160">
        <v>-5.1950552136465931E-3</v>
      </c>
      <c r="E507" s="160">
        <v>3.9525224209566176E-3</v>
      </c>
      <c r="F507" s="160">
        <v>-9.8813060523915441E-4</v>
      </c>
      <c r="G507" s="160">
        <v>5.0909090909090911E-2</v>
      </c>
      <c r="H507" s="160">
        <v>1.474292064798436E-2</v>
      </c>
      <c r="I507" s="160">
        <v>4.4000000000000003E-3</v>
      </c>
      <c r="J507" s="160">
        <v>1.3279381505411613E-2</v>
      </c>
      <c r="K507" s="160">
        <v>0.15103602689119042</v>
      </c>
      <c r="L507" s="160">
        <v>4.1797635385618787E-3</v>
      </c>
      <c r="M507" s="160">
        <v>3.2605614702792577E-4</v>
      </c>
      <c r="N507" s="160"/>
    </row>
    <row r="508" spans="1:14" x14ac:dyDescent="0.25">
      <c r="A508" s="199">
        <v>2050</v>
      </c>
      <c r="B508" s="154" t="s">
        <v>340</v>
      </c>
      <c r="C508" s="154">
        <v>1.0902430594344164E-3</v>
      </c>
      <c r="D508" s="154">
        <v>-1.6353645891516245E-4</v>
      </c>
      <c r="E508" s="154">
        <v>7.6311881817276459E-4</v>
      </c>
      <c r="F508" s="154">
        <v>-3.8155940908638231E-5</v>
      </c>
      <c r="G508" s="154">
        <v>1.6256502601040416E-3</v>
      </c>
      <c r="H508" s="154">
        <v>1.6256502601040416E-3</v>
      </c>
      <c r="I508" s="154">
        <v>1.7507002801120447E-3</v>
      </c>
      <c r="J508" s="154">
        <v>8.3706989059071399E-4</v>
      </c>
      <c r="K508" s="154">
        <v>8.1981036076722927E-3</v>
      </c>
      <c r="L508" s="154">
        <v>0</v>
      </c>
      <c r="M508" s="154">
        <v>4.2820272446309834E-7</v>
      </c>
    </row>
    <row r="509" spans="1:14" x14ac:dyDescent="0.25">
      <c r="A509" s="197"/>
      <c r="B509" s="154" t="s">
        <v>342</v>
      </c>
      <c r="C509" s="154">
        <v>8.7510622887057403E-4</v>
      </c>
      <c r="D509" s="154">
        <v>-1.3078063744341263E-4</v>
      </c>
      <c r="E509" s="154">
        <v>7.6311881817276459E-4</v>
      </c>
      <c r="F509" s="154">
        <v>-3.8155940908638231E-5</v>
      </c>
      <c r="G509" s="154">
        <v>1.6256502601040416E-3</v>
      </c>
      <c r="H509" s="154">
        <v>1.4052359304229719E-3</v>
      </c>
      <c r="I509" s="154">
        <v>1.7507002801120447E-3</v>
      </c>
      <c r="J509" s="154">
        <v>1.5238870080703825E-3</v>
      </c>
      <c r="K509" s="154">
        <v>8.5064464888808689E-3</v>
      </c>
      <c r="L509" s="154">
        <v>1.4276553547772075E-4</v>
      </c>
      <c r="M509" s="154">
        <v>1.0306220566436748E-6</v>
      </c>
    </row>
    <row r="510" spans="1:14" x14ac:dyDescent="0.25">
      <c r="A510" s="197"/>
      <c r="B510" s="154" t="s">
        <v>336</v>
      </c>
      <c r="C510" s="154">
        <v>1.3569040676564852E-3</v>
      </c>
      <c r="D510" s="154">
        <v>-1.3401388779574273E-4</v>
      </c>
      <c r="E510" s="154">
        <v>6.8982996659853576E-5</v>
      </c>
      <c r="F510" s="154">
        <v>-6.8982996659853564E-6</v>
      </c>
      <c r="G510" s="154">
        <v>1.0654632223259673E-3</v>
      </c>
      <c r="H510" s="154">
        <v>2.9878618113912231E-4</v>
      </c>
      <c r="I510" s="154">
        <v>8.6011184229469056E-5</v>
      </c>
      <c r="J510" s="154">
        <v>5.4701451293849941E-3</v>
      </c>
      <c r="K510" s="154">
        <v>7.9008839801519501E-3</v>
      </c>
      <c r="L510" s="154">
        <v>7.1822500101581012E-4</v>
      </c>
      <c r="M510" s="154">
        <v>4.1918473001819709E-6</v>
      </c>
    </row>
    <row r="511" spans="1:14" x14ac:dyDescent="0.25">
      <c r="A511" s="197"/>
      <c r="B511" s="154" t="s">
        <v>327</v>
      </c>
      <c r="C511" s="154">
        <v>1.3569040676564852E-3</v>
      </c>
      <c r="D511" s="154">
        <v>-1.3401388779574273E-4</v>
      </c>
      <c r="E511" s="154">
        <v>6.8982996659853576E-5</v>
      </c>
      <c r="F511" s="154">
        <v>-6.8982996659853564E-6</v>
      </c>
      <c r="G511" s="154">
        <v>1.0654632223259673E-3</v>
      </c>
      <c r="H511" s="154">
        <v>2.9878618113912231E-4</v>
      </c>
      <c r="I511" s="154">
        <v>8.9502842587904882E-5</v>
      </c>
      <c r="J511" s="154">
        <v>5.4701451293849941E-3</v>
      </c>
      <c r="K511" s="154">
        <v>7.9042387107316255E-3</v>
      </c>
      <c r="L511" s="154">
        <v>7.1852996073677906E-4</v>
      </c>
      <c r="M511" s="154">
        <v>4.1918473001819709E-6</v>
      </c>
    </row>
    <row r="512" spans="1:14" x14ac:dyDescent="0.25">
      <c r="A512" s="197"/>
      <c r="B512" s="154" t="s">
        <v>337</v>
      </c>
      <c r="C512" s="154">
        <v>1.2551060916366106E-3</v>
      </c>
      <c r="D512" s="154">
        <v>-1.2383409019375524E-4</v>
      </c>
      <c r="E512" s="154">
        <v>6.8982996659853576E-5</v>
      </c>
      <c r="F512" s="154">
        <v>-6.8982996659853564E-6</v>
      </c>
      <c r="G512" s="154">
        <v>1.0654632223259673E-3</v>
      </c>
      <c r="H512" s="154">
        <v>2.9878618113912231E-4</v>
      </c>
      <c r="I512" s="154">
        <v>8.6011184229469056E-5</v>
      </c>
      <c r="J512" s="154">
        <v>5.6283132239921011E-3</v>
      </c>
      <c r="K512" s="154">
        <v>7.9649015468819025E-3</v>
      </c>
      <c r="L512" s="154">
        <v>6.2553170530739097E-4</v>
      </c>
      <c r="M512" s="154">
        <v>4.2724597482624145E-6</v>
      </c>
    </row>
    <row r="513" spans="1:13" x14ac:dyDescent="0.25">
      <c r="A513" s="197"/>
      <c r="B513" s="154" t="s">
        <v>328</v>
      </c>
      <c r="C513" s="154">
        <v>1.2551060916366106E-3</v>
      </c>
      <c r="D513" s="154">
        <v>-1.2383409019375524E-4</v>
      </c>
      <c r="E513" s="154">
        <v>6.8982996659853576E-5</v>
      </c>
      <c r="F513" s="154">
        <v>-6.8982996659853564E-6</v>
      </c>
      <c r="G513" s="154">
        <v>1.0654632223259673E-3</v>
      </c>
      <c r="H513" s="154">
        <v>2.9878618113912231E-4</v>
      </c>
      <c r="I513" s="154">
        <v>8.9502842587904882E-5</v>
      </c>
      <c r="J513" s="154">
        <v>5.6283132239921011E-3</v>
      </c>
      <c r="K513" s="154">
        <v>7.968256277461578E-3</v>
      </c>
      <c r="L513" s="154">
        <v>6.2579517251134739E-4</v>
      </c>
      <c r="M513" s="154">
        <v>4.2724597482624145E-6</v>
      </c>
    </row>
    <row r="514" spans="1:13" x14ac:dyDescent="0.25">
      <c r="A514" s="197"/>
      <c r="B514" s="154" t="s">
        <v>341</v>
      </c>
      <c r="C514" s="154">
        <v>1.364623687619921E-3</v>
      </c>
      <c r="D514" s="154">
        <v>-2.0420825625581466E-4</v>
      </c>
      <c r="E514" s="154">
        <v>7.6311881817276459E-4</v>
      </c>
      <c r="F514" s="154">
        <v>-3.8155940908638231E-5</v>
      </c>
      <c r="G514" s="154">
        <v>1.6256502601040416E-3</v>
      </c>
      <c r="H514" s="154">
        <v>2.0347764046985059E-3</v>
      </c>
      <c r="I514" s="154">
        <v>1.7507002801120447E-3</v>
      </c>
      <c r="J514" s="154">
        <v>8.8938675875263335E-4</v>
      </c>
      <c r="K514" s="154">
        <v>8.9512137644664324E-3</v>
      </c>
      <c r="L514" s="154">
        <v>1.5057061177638394E-4</v>
      </c>
      <c r="M514" s="154">
        <v>4.5496539474204176E-7</v>
      </c>
    </row>
    <row r="515" spans="1:13" x14ac:dyDescent="0.25">
      <c r="A515" s="197"/>
      <c r="B515" s="154" t="s">
        <v>338</v>
      </c>
      <c r="C515" s="154">
        <v>1.0397745068075209E-3</v>
      </c>
      <c r="D515" s="154">
        <v>-1.0288771335031333E-4</v>
      </c>
      <c r="E515" s="154">
        <v>6.8982996659853576E-5</v>
      </c>
      <c r="F515" s="154">
        <v>-6.8982996659853564E-6</v>
      </c>
      <c r="G515" s="154">
        <v>1.0654632223259673E-3</v>
      </c>
      <c r="H515" s="154">
        <v>4.305425874053325E-4</v>
      </c>
      <c r="I515" s="154">
        <v>8.6011184229469056E-5</v>
      </c>
      <c r="J515" s="154">
        <v>6.5837900060073855E-3</v>
      </c>
      <c r="K515" s="154">
        <v>8.823841520165767E-3</v>
      </c>
      <c r="L515" s="154">
        <v>3.8266659653780032E-4</v>
      </c>
      <c r="M515" s="154">
        <v>5.4232271560286516E-6</v>
      </c>
    </row>
    <row r="516" spans="1:13" x14ac:dyDescent="0.25">
      <c r="A516" s="197"/>
      <c r="B516" s="154" t="s">
        <v>329</v>
      </c>
      <c r="C516" s="154">
        <v>1.0397745068075209E-3</v>
      </c>
      <c r="D516" s="154">
        <v>-1.0288771335031333E-4</v>
      </c>
      <c r="E516" s="154">
        <v>6.8982996659853576E-5</v>
      </c>
      <c r="F516" s="154">
        <v>-6.8982996659853564E-6</v>
      </c>
      <c r="G516" s="154">
        <v>1.0654632223259673E-3</v>
      </c>
      <c r="H516" s="154">
        <v>4.305425874053325E-4</v>
      </c>
      <c r="I516" s="154">
        <v>8.9502842587904882E-5</v>
      </c>
      <c r="J516" s="154">
        <v>6.5837900060073855E-3</v>
      </c>
      <c r="K516" s="154">
        <v>8.8271962507454425E-3</v>
      </c>
      <c r="L516" s="154">
        <v>3.8281208230273554E-4</v>
      </c>
      <c r="M516" s="154">
        <v>5.4232271560286516E-6</v>
      </c>
    </row>
    <row r="517" spans="1:13" x14ac:dyDescent="0.25">
      <c r="A517" s="197"/>
      <c r="B517" s="154" t="s">
        <v>330</v>
      </c>
      <c r="C517" s="154">
        <v>1.3569040676564852E-3</v>
      </c>
      <c r="D517" s="154">
        <v>-1.3401388779574273E-4</v>
      </c>
      <c r="E517" s="154">
        <v>3.4491498329926784E-4</v>
      </c>
      <c r="F517" s="154">
        <v>-3.4491498329926788E-5</v>
      </c>
      <c r="G517" s="154">
        <v>1.0654632223259673E-3</v>
      </c>
      <c r="H517" s="154">
        <v>2.9878618113912231E-4</v>
      </c>
      <c r="I517" s="154">
        <v>1.7869725535414797E-4</v>
      </c>
      <c r="J517" s="154">
        <v>5.4701451293849941E-3</v>
      </c>
      <c r="K517" s="154">
        <v>1.1425955277411116E-2</v>
      </c>
      <c r="L517" s="154">
        <v>7.528298969710686E-4</v>
      </c>
      <c r="M517" s="154">
        <v>4.1918473001819709E-6</v>
      </c>
    </row>
    <row r="518" spans="1:13" x14ac:dyDescent="0.25">
      <c r="A518" s="197"/>
      <c r="B518" s="154" t="s">
        <v>331</v>
      </c>
      <c r="C518" s="154">
        <v>1.2551060916366106E-3</v>
      </c>
      <c r="D518" s="154">
        <v>-1.2383409019375524E-4</v>
      </c>
      <c r="E518" s="154">
        <v>3.4491498329926784E-4</v>
      </c>
      <c r="F518" s="154">
        <v>-3.4491498329926788E-5</v>
      </c>
      <c r="G518" s="154">
        <v>1.0654632223259673E-3</v>
      </c>
      <c r="H518" s="154">
        <v>2.9878618113912231E-4</v>
      </c>
      <c r="I518" s="154">
        <v>1.7869725535414797E-4</v>
      </c>
      <c r="J518" s="154">
        <v>5.6283132239921011E-3</v>
      </c>
      <c r="K518" s="154">
        <v>1.151427946653498E-2</v>
      </c>
      <c r="L518" s="154">
        <v>6.5542829345874992E-4</v>
      </c>
      <c r="M518" s="154">
        <v>4.2724597482624145E-6</v>
      </c>
    </row>
    <row r="519" spans="1:13" x14ac:dyDescent="0.25">
      <c r="A519" s="197"/>
      <c r="B519" s="154" t="s">
        <v>381</v>
      </c>
      <c r="C519" s="154">
        <v>1.0347449498978036E-3</v>
      </c>
      <c r="D519" s="154">
        <v>-5.2575506979843073E-5</v>
      </c>
      <c r="E519" s="154">
        <v>6.8982996659853576E-5</v>
      </c>
      <c r="F519" s="154">
        <v>-6.8982996659853564E-6</v>
      </c>
      <c r="G519" s="154">
        <v>1.0654632223259673E-3</v>
      </c>
      <c r="H519" s="154">
        <v>4.305425874053325E-4</v>
      </c>
      <c r="I519" s="154">
        <v>8.6011184229469056E-5</v>
      </c>
      <c r="J519" s="154">
        <v>1.9961810868829068E-3</v>
      </c>
      <c r="K519" s="154">
        <v>1.0385648271480374E-2</v>
      </c>
      <c r="L519" s="154">
        <v>0</v>
      </c>
      <c r="M519" s="154">
        <v>6.1733034624737292E-3</v>
      </c>
    </row>
    <row r="520" spans="1:13" x14ac:dyDescent="0.25">
      <c r="A520" s="197"/>
      <c r="B520" s="154" t="s">
        <v>378</v>
      </c>
      <c r="C520" s="154">
        <v>1.0347449498978036E-3</v>
      </c>
      <c r="D520" s="154">
        <v>-5.2575506979843073E-5</v>
      </c>
      <c r="E520" s="154">
        <v>6.8982996659853576E-5</v>
      </c>
      <c r="F520" s="154">
        <v>-6.8982996659853564E-6</v>
      </c>
      <c r="G520" s="154">
        <v>1.0654632223259673E-3</v>
      </c>
      <c r="H520" s="154">
        <v>4.305425874053325E-4</v>
      </c>
      <c r="I520" s="154">
        <v>8.9502842587904882E-5</v>
      </c>
      <c r="J520" s="154">
        <v>1.9961810868829068E-3</v>
      </c>
      <c r="K520" s="154">
        <v>1.0389003002060049E-2</v>
      </c>
      <c r="L520" s="154">
        <v>0</v>
      </c>
      <c r="M520" s="154">
        <v>6.1733034624737292E-3</v>
      </c>
    </row>
    <row r="521" spans="1:13" x14ac:dyDescent="0.25">
      <c r="A521" s="197"/>
      <c r="B521" s="154" t="s">
        <v>333</v>
      </c>
      <c r="C521" s="154">
        <v>1.3569040676564852E-3</v>
      </c>
      <c r="D521" s="154">
        <v>-1.3401388779574273E-4</v>
      </c>
      <c r="E521" s="154">
        <v>6.8982996659853576E-5</v>
      </c>
      <c r="F521" s="154">
        <v>-6.8982996659853564E-6</v>
      </c>
      <c r="G521" s="154">
        <v>1.0654632223259673E-3</v>
      </c>
      <c r="H521" s="154">
        <v>2.9878618113912231E-4</v>
      </c>
      <c r="I521" s="154">
        <v>8.6011184229469056E-5</v>
      </c>
      <c r="J521" s="154">
        <v>5.4701451293849941E-3</v>
      </c>
      <c r="K521" s="154">
        <v>1.2862192601911418E-2</v>
      </c>
      <c r="L521" s="154">
        <v>7.1822500101581012E-4</v>
      </c>
      <c r="M521" s="154">
        <v>4.1918473001819709E-6</v>
      </c>
    </row>
    <row r="522" spans="1:13" x14ac:dyDescent="0.25">
      <c r="A522" s="197"/>
      <c r="B522" s="154" t="s">
        <v>352</v>
      </c>
      <c r="C522" s="154">
        <v>1.0902430594344164E-3</v>
      </c>
      <c r="D522" s="154">
        <v>-1.6353645891516245E-4</v>
      </c>
      <c r="E522" s="154">
        <v>7.6311881817276459E-4</v>
      </c>
      <c r="F522" s="154">
        <v>-3.8155940908638231E-5</v>
      </c>
      <c r="G522" s="154">
        <v>3.6264505802320927E-3</v>
      </c>
      <c r="H522" s="154">
        <v>1.6256502601040416E-3</v>
      </c>
      <c r="I522" s="154">
        <v>4.0016006402561026E-3</v>
      </c>
      <c r="J522" s="154">
        <v>8.3706989059071399E-4</v>
      </c>
      <c r="K522" s="154">
        <v>1.0068191165580947E-2</v>
      </c>
      <c r="L522" s="154">
        <v>0</v>
      </c>
      <c r="M522" s="154">
        <v>4.2820272446309834E-7</v>
      </c>
    </row>
    <row r="523" spans="1:13" x14ac:dyDescent="0.25">
      <c r="A523" s="197"/>
      <c r="B523" s="154" t="s">
        <v>334</v>
      </c>
      <c r="C523" s="154">
        <v>1.2551060916366106E-3</v>
      </c>
      <c r="D523" s="154">
        <v>-1.2383409019375524E-4</v>
      </c>
      <c r="E523" s="154">
        <v>6.8982996659853576E-5</v>
      </c>
      <c r="F523" s="154">
        <v>-6.8982996659853564E-6</v>
      </c>
      <c r="G523" s="154">
        <v>1.0654632223259673E-3</v>
      </c>
      <c r="H523" s="154">
        <v>2.9878618113912231E-4</v>
      </c>
      <c r="I523" s="154">
        <v>8.6011184229469056E-5</v>
      </c>
      <c r="J523" s="154">
        <v>5.6283132239921011E-3</v>
      </c>
      <c r="K523" s="154">
        <v>1.2966409582600527E-2</v>
      </c>
      <c r="L523" s="154">
        <v>6.2553170530739097E-4</v>
      </c>
      <c r="M523" s="154">
        <v>4.2724597482624145E-6</v>
      </c>
    </row>
    <row r="524" spans="1:13" x14ac:dyDescent="0.25">
      <c r="A524" s="197"/>
      <c r="B524" s="154" t="s">
        <v>348</v>
      </c>
      <c r="C524" s="154">
        <v>1.0902430594344164E-3</v>
      </c>
      <c r="D524" s="154">
        <v>-1.6353645891516245E-4</v>
      </c>
      <c r="E524" s="154">
        <v>5.087458787818432E-4</v>
      </c>
      <c r="F524" s="154">
        <v>-2.5437293939092156E-5</v>
      </c>
      <c r="G524" s="154">
        <v>1.525610244097639E-3</v>
      </c>
      <c r="H524" s="154">
        <v>1.6256502601040416E-3</v>
      </c>
      <c r="I524" s="154">
        <v>1.6256502601040416E-3</v>
      </c>
      <c r="J524" s="154">
        <v>8.3706989059071399E-4</v>
      </c>
      <c r="K524" s="154">
        <v>1.5035009590579808E-2</v>
      </c>
      <c r="L524" s="154">
        <v>0</v>
      </c>
      <c r="M524" s="154">
        <v>4.2820272446309834E-7</v>
      </c>
    </row>
    <row r="525" spans="1:13" x14ac:dyDescent="0.25">
      <c r="A525" s="197"/>
      <c r="B525" s="154" t="s">
        <v>354</v>
      </c>
      <c r="C525" s="154">
        <v>8.7510622887057403E-4</v>
      </c>
      <c r="D525" s="154">
        <v>-1.3078063744341263E-4</v>
      </c>
      <c r="E525" s="154">
        <v>7.6311881817276459E-4</v>
      </c>
      <c r="F525" s="154">
        <v>-3.8155940908638231E-5</v>
      </c>
      <c r="G525" s="154">
        <v>3.6264505802320927E-3</v>
      </c>
      <c r="H525" s="154">
        <v>1.4052359304229719E-3</v>
      </c>
      <c r="I525" s="154">
        <v>4.0016006402561026E-3</v>
      </c>
      <c r="J525" s="154">
        <v>1.5238870080703825E-3</v>
      </c>
      <c r="K525" s="154">
        <v>1.0310648815762049E-2</v>
      </c>
      <c r="L525" s="154">
        <v>2.2006918420994052E-4</v>
      </c>
      <c r="M525" s="154">
        <v>1.0306220566436748E-6</v>
      </c>
    </row>
    <row r="526" spans="1:13" x14ac:dyDescent="0.25">
      <c r="A526" s="197"/>
      <c r="B526" s="154" t="s">
        <v>332</v>
      </c>
      <c r="C526" s="154">
        <v>1.0397745068075209E-3</v>
      </c>
      <c r="D526" s="154">
        <v>-1.0288771335031333E-4</v>
      </c>
      <c r="E526" s="154">
        <v>3.4491498329926784E-4</v>
      </c>
      <c r="F526" s="154">
        <v>-3.4491498329926788E-5</v>
      </c>
      <c r="G526" s="154">
        <v>1.0654632223259673E-3</v>
      </c>
      <c r="H526" s="154">
        <v>4.305425874053325E-4</v>
      </c>
      <c r="I526" s="154">
        <v>1.7869725535414797E-4</v>
      </c>
      <c r="J526" s="154">
        <v>6.5837900060073855E-3</v>
      </c>
      <c r="K526" s="154">
        <v>1.2699347573956049E-2</v>
      </c>
      <c r="L526" s="154">
        <v>3.9917539888897034E-4</v>
      </c>
      <c r="M526" s="154">
        <v>5.4232271560286516E-6</v>
      </c>
    </row>
    <row r="527" spans="1:13" x14ac:dyDescent="0.25">
      <c r="A527" s="197"/>
      <c r="B527" s="154" t="s">
        <v>350</v>
      </c>
      <c r="C527" s="154">
        <v>8.7510622887057403E-4</v>
      </c>
      <c r="D527" s="154">
        <v>-1.3078063744341263E-4</v>
      </c>
      <c r="E527" s="154">
        <v>5.087458787818432E-4</v>
      </c>
      <c r="F527" s="154">
        <v>-2.5437293939092156E-5</v>
      </c>
      <c r="G527" s="154">
        <v>1.525610244097639E-3</v>
      </c>
      <c r="H527" s="154">
        <v>1.4052359304229719E-3</v>
      </c>
      <c r="I527" s="154">
        <v>1.6256502601040416E-3</v>
      </c>
      <c r="J527" s="154">
        <v>1.5238870080703825E-3</v>
      </c>
      <c r="K527" s="154">
        <v>1.5639836011412018E-2</v>
      </c>
      <c r="L527" s="154">
        <v>1.3381677870726895E-4</v>
      </c>
      <c r="M527" s="154">
        <v>1.0306220566436748E-6</v>
      </c>
    </row>
    <row r="528" spans="1:13" x14ac:dyDescent="0.25">
      <c r="A528" s="197"/>
      <c r="B528" s="154" t="s">
        <v>356</v>
      </c>
      <c r="C528" s="154">
        <v>8.7219444754753307E-4</v>
      </c>
      <c r="D528" s="154">
        <v>-1.3082916713212997E-4</v>
      </c>
      <c r="E528" s="154">
        <v>5.0874587878184309E-4</v>
      </c>
      <c r="F528" s="154">
        <v>-2.5437293939092159E-5</v>
      </c>
      <c r="G528" s="154">
        <v>1.3005202080832333E-3</v>
      </c>
      <c r="H528" s="154">
        <v>1.3005202080832333E-3</v>
      </c>
      <c r="I528" s="154">
        <v>1.4005602240896359E-3</v>
      </c>
      <c r="J528" s="154">
        <v>6.6965591247257115E-4</v>
      </c>
      <c r="K528" s="154">
        <v>1.7283897619629562E-2</v>
      </c>
      <c r="L528" s="154">
        <v>0</v>
      </c>
      <c r="M528" s="154">
        <v>3.4256217957047868E-7</v>
      </c>
    </row>
    <row r="529" spans="1:13" x14ac:dyDescent="0.25">
      <c r="A529" s="197"/>
      <c r="B529" s="154" t="s">
        <v>353</v>
      </c>
      <c r="C529" s="154">
        <v>1.364623687619921E-3</v>
      </c>
      <c r="D529" s="154">
        <v>-2.0420825625581466E-4</v>
      </c>
      <c r="E529" s="154">
        <v>7.6311881817276459E-4</v>
      </c>
      <c r="F529" s="154">
        <v>-3.8155940908638231E-5</v>
      </c>
      <c r="G529" s="154">
        <v>3.6264505802320927E-3</v>
      </c>
      <c r="H529" s="154">
        <v>2.0347764046985059E-3</v>
      </c>
      <c r="I529" s="154">
        <v>4.0016006402561026E-3</v>
      </c>
      <c r="J529" s="154">
        <v>8.8938675875263335E-4</v>
      </c>
      <c r="K529" s="154">
        <v>1.0660380348701126E-2</v>
      </c>
      <c r="L529" s="154">
        <v>2.280494455759903E-4</v>
      </c>
      <c r="M529" s="154">
        <v>4.5496539474204176E-7</v>
      </c>
    </row>
    <row r="530" spans="1:13" x14ac:dyDescent="0.25">
      <c r="A530" s="197"/>
      <c r="B530" s="154" t="s">
        <v>344</v>
      </c>
      <c r="C530" s="154">
        <v>1.0902430594344164E-3</v>
      </c>
      <c r="D530" s="154">
        <v>-1.6353645891516245E-4</v>
      </c>
      <c r="E530" s="154">
        <v>1.0174917575636864E-3</v>
      </c>
      <c r="F530" s="154">
        <v>-5.0874587878184312E-5</v>
      </c>
      <c r="G530" s="154">
        <v>1.5506202480992397E-3</v>
      </c>
      <c r="H530" s="154">
        <v>1.6256502601040416E-3</v>
      </c>
      <c r="I530" s="154">
        <v>1.6256502601040416E-3</v>
      </c>
      <c r="J530" s="154">
        <v>8.3706989059071399E-4</v>
      </c>
      <c r="K530" s="154">
        <v>1.6223295091115197E-2</v>
      </c>
      <c r="L530" s="154">
        <v>0</v>
      </c>
      <c r="M530" s="154">
        <v>4.2820272446309834E-7</v>
      </c>
    </row>
    <row r="531" spans="1:13" x14ac:dyDescent="0.25">
      <c r="A531" s="197"/>
      <c r="B531" s="154" t="s">
        <v>335</v>
      </c>
      <c r="C531" s="154">
        <v>1.0397745068075209E-3</v>
      </c>
      <c r="D531" s="154">
        <v>-1.0288771335031333E-4</v>
      </c>
      <c r="E531" s="154">
        <v>6.8982996659853576E-5</v>
      </c>
      <c r="F531" s="154">
        <v>-6.8982996659853564E-6</v>
      </c>
      <c r="G531" s="154">
        <v>1.0654632223259673E-3</v>
      </c>
      <c r="H531" s="154">
        <v>4.305425874053325E-4</v>
      </c>
      <c r="I531" s="154">
        <v>8.6011184229469056E-5</v>
      </c>
      <c r="J531" s="154">
        <v>6.5837900060073855E-3</v>
      </c>
      <c r="K531" s="154">
        <v>1.4364715316188228E-2</v>
      </c>
      <c r="L531" s="154">
        <v>3.8266659653780032E-4</v>
      </c>
      <c r="M531" s="154">
        <v>5.4232271560286516E-6</v>
      </c>
    </row>
    <row r="532" spans="1:13" x14ac:dyDescent="0.25">
      <c r="A532" s="197"/>
      <c r="B532" s="154" t="s">
        <v>377</v>
      </c>
      <c r="C532" s="154">
        <v>1.0347449498978036E-3</v>
      </c>
      <c r="D532" s="154">
        <v>-5.2575506979843073E-5</v>
      </c>
      <c r="E532" s="154">
        <v>6.8982996659853576E-5</v>
      </c>
      <c r="F532" s="154">
        <v>-6.8982996659853564E-6</v>
      </c>
      <c r="G532" s="154">
        <v>1.0654632223259673E-3</v>
      </c>
      <c r="H532" s="154">
        <v>4.305425874053325E-4</v>
      </c>
      <c r="I532" s="154">
        <v>8.6011184229469056E-5</v>
      </c>
      <c r="J532" s="154">
        <v>3.8143587647444083E-3</v>
      </c>
      <c r="K532" s="154">
        <v>1.1829837822942339E-2</v>
      </c>
      <c r="L532" s="154">
        <v>0</v>
      </c>
      <c r="M532" s="154">
        <v>5.8582618483787648E-3</v>
      </c>
    </row>
    <row r="533" spans="1:13" x14ac:dyDescent="0.25">
      <c r="A533" s="197"/>
      <c r="B533" s="154" t="s">
        <v>374</v>
      </c>
      <c r="C533" s="154">
        <v>1.0347449498978036E-3</v>
      </c>
      <c r="D533" s="154">
        <v>-5.2575506979843073E-5</v>
      </c>
      <c r="E533" s="154">
        <v>6.8982996659853576E-5</v>
      </c>
      <c r="F533" s="154">
        <v>-6.8982996659853564E-6</v>
      </c>
      <c r="G533" s="154">
        <v>1.0654632223259673E-3</v>
      </c>
      <c r="H533" s="154">
        <v>4.305425874053325E-4</v>
      </c>
      <c r="I533" s="154">
        <v>8.9502842587904882E-5</v>
      </c>
      <c r="J533" s="154">
        <v>3.8143587647444083E-3</v>
      </c>
      <c r="K533" s="154">
        <v>1.1833192553522012E-2</v>
      </c>
      <c r="L533" s="154">
        <v>0</v>
      </c>
      <c r="M533" s="154">
        <v>5.8582618483787648E-3</v>
      </c>
    </row>
    <row r="534" spans="1:13" x14ac:dyDescent="0.25">
      <c r="A534" s="197"/>
      <c r="B534" s="154" t="s">
        <v>358</v>
      </c>
      <c r="C534" s="154">
        <v>7.0008498309645929E-4</v>
      </c>
      <c r="D534" s="154">
        <v>-1.046245099547301E-4</v>
      </c>
      <c r="E534" s="154">
        <v>5.0874587878184309E-4</v>
      </c>
      <c r="F534" s="154">
        <v>-2.5437293939092159E-5</v>
      </c>
      <c r="G534" s="154">
        <v>1.3005202080832333E-3</v>
      </c>
      <c r="H534" s="154">
        <v>1.1241887443383775E-3</v>
      </c>
      <c r="I534" s="154">
        <v>1.4005602240896359E-3</v>
      </c>
      <c r="J534" s="154">
        <v>1.2191096064563059E-3</v>
      </c>
      <c r="K534" s="154">
        <v>1.7945648880069512E-2</v>
      </c>
      <c r="L534" s="154">
        <v>8.9490535166311669E-5</v>
      </c>
      <c r="M534" s="154">
        <v>8.2449764531493981E-7</v>
      </c>
    </row>
    <row r="535" spans="1:13" x14ac:dyDescent="0.25">
      <c r="A535" s="197"/>
      <c r="B535" s="154" t="s">
        <v>349</v>
      </c>
      <c r="C535" s="154">
        <v>1.364623687619921E-3</v>
      </c>
      <c r="D535" s="154">
        <v>-2.0420825625581466E-4</v>
      </c>
      <c r="E535" s="154">
        <v>5.087458787818432E-4</v>
      </c>
      <c r="F535" s="154">
        <v>-2.5437293939092156E-5</v>
      </c>
      <c r="G535" s="154">
        <v>1.525610244097639E-3</v>
      </c>
      <c r="H535" s="154">
        <v>2.0347764046985059E-3</v>
      </c>
      <c r="I535" s="154">
        <v>1.6256502601040416E-3</v>
      </c>
      <c r="J535" s="154">
        <v>8.8938675875263335E-4</v>
      </c>
      <c r="K535" s="154">
        <v>1.651226412890678E-2</v>
      </c>
      <c r="L535" s="154">
        <v>1.4160157538674681E-4</v>
      </c>
      <c r="M535" s="154">
        <v>4.5496539474204176E-7</v>
      </c>
    </row>
    <row r="536" spans="1:13" x14ac:dyDescent="0.25">
      <c r="A536" s="197"/>
      <c r="B536" s="154" t="s">
        <v>346</v>
      </c>
      <c r="C536" s="154">
        <v>8.7510622887057403E-4</v>
      </c>
      <c r="D536" s="154">
        <v>-1.3078063744341263E-4</v>
      </c>
      <c r="E536" s="154">
        <v>1.0174917575636864E-3</v>
      </c>
      <c r="F536" s="154">
        <v>-5.0874587878184312E-5</v>
      </c>
      <c r="G536" s="154">
        <v>1.5506202480992397E-3</v>
      </c>
      <c r="H536" s="154">
        <v>1.4052359304229719E-3</v>
      </c>
      <c r="I536" s="154">
        <v>1.6256502601040416E-3</v>
      </c>
      <c r="J536" s="154">
        <v>1.5238870080703825E-3</v>
      </c>
      <c r="K536" s="154">
        <v>1.682812151194741E-2</v>
      </c>
      <c r="L536" s="154">
        <v>1.4398392737494971E-4</v>
      </c>
      <c r="M536" s="154">
        <v>1.0306220566436748E-6</v>
      </c>
    </row>
    <row r="537" spans="1:13" x14ac:dyDescent="0.25">
      <c r="A537" s="197"/>
      <c r="B537" s="154" t="s">
        <v>357</v>
      </c>
      <c r="C537" s="154">
        <v>1.0916989500959369E-3</v>
      </c>
      <c r="D537" s="154">
        <v>-1.6336660500465173E-4</v>
      </c>
      <c r="E537" s="154">
        <v>5.0874587878184309E-4</v>
      </c>
      <c r="F537" s="154">
        <v>-2.5437293939092159E-5</v>
      </c>
      <c r="G537" s="154">
        <v>1.3005202080832333E-3</v>
      </c>
      <c r="H537" s="154">
        <v>1.6278211237588046E-3</v>
      </c>
      <c r="I537" s="154">
        <v>1.4005602240896359E-3</v>
      </c>
      <c r="J537" s="154">
        <v>7.1150940700210675E-4</v>
      </c>
      <c r="K537" s="154">
        <v>1.8900187879210835E-2</v>
      </c>
      <c r="L537" s="154">
        <v>9.4463400767744003E-5</v>
      </c>
      <c r="M537" s="154">
        <v>3.6397231579363343E-7</v>
      </c>
    </row>
    <row r="538" spans="1:13" x14ac:dyDescent="0.25">
      <c r="A538" s="197"/>
      <c r="B538" s="154" t="s">
        <v>379</v>
      </c>
      <c r="C538" s="154">
        <v>1.0347449498978036E-3</v>
      </c>
      <c r="D538" s="154">
        <v>-5.2575506979843073E-5</v>
      </c>
      <c r="E538" s="154">
        <v>3.4491498329926784E-4</v>
      </c>
      <c r="F538" s="154">
        <v>-3.4491498329926788E-5</v>
      </c>
      <c r="G538" s="154">
        <v>1.0654632223259673E-3</v>
      </c>
      <c r="H538" s="154">
        <v>4.305425874053325E-4</v>
      </c>
      <c r="I538" s="154">
        <v>1.7869725535414797E-4</v>
      </c>
      <c r="J538" s="154">
        <v>1.9961810868829068E-3</v>
      </c>
      <c r="K538" s="154">
        <v>1.4854151667962478E-2</v>
      </c>
      <c r="L538" s="154">
        <v>0</v>
      </c>
      <c r="M538" s="154">
        <v>6.1733034624737292E-3</v>
      </c>
    </row>
    <row r="539" spans="1:13" x14ac:dyDescent="0.25">
      <c r="A539" s="197"/>
      <c r="B539" s="154" t="s">
        <v>345</v>
      </c>
      <c r="C539" s="154">
        <v>1.364623687619921E-3</v>
      </c>
      <c r="D539" s="154">
        <v>-2.0420825625581466E-4</v>
      </c>
      <c r="E539" s="154">
        <v>1.0174917575636864E-3</v>
      </c>
      <c r="F539" s="154">
        <v>-5.0874587878184312E-5</v>
      </c>
      <c r="G539" s="154">
        <v>1.5506202480992397E-3</v>
      </c>
      <c r="H539" s="154">
        <v>2.0347764046985059E-3</v>
      </c>
      <c r="I539" s="154">
        <v>1.6256502601040416E-3</v>
      </c>
      <c r="J539" s="154">
        <v>8.8938675875263335E-4</v>
      </c>
      <c r="K539" s="154">
        <v>1.7700549629442175E-2</v>
      </c>
      <c r="L539" s="154">
        <v>1.5179176478605921E-4</v>
      </c>
      <c r="M539" s="154">
        <v>4.5496539474204176E-7</v>
      </c>
    </row>
    <row r="540" spans="1:13" x14ac:dyDescent="0.25">
      <c r="A540" s="197"/>
      <c r="B540" s="154" t="s">
        <v>339</v>
      </c>
      <c r="C540" s="154">
        <v>7.6317014160409149E-4</v>
      </c>
      <c r="D540" s="154">
        <v>-3.832836099071531E-5</v>
      </c>
      <c r="E540" s="154">
        <v>7.6311881817276459E-4</v>
      </c>
      <c r="F540" s="154">
        <v>-3.8155940908638231E-5</v>
      </c>
      <c r="G540" s="154">
        <v>1.6256502601040416E-3</v>
      </c>
      <c r="H540" s="154">
        <v>2.6260504201680674E-3</v>
      </c>
      <c r="I540" s="154">
        <v>1.7507002801120447E-3</v>
      </c>
      <c r="J540" s="154">
        <v>2.7715714285714288E-3</v>
      </c>
      <c r="K540" s="154">
        <v>1.3927782054255036E-2</v>
      </c>
      <c r="L540" s="154">
        <v>0</v>
      </c>
      <c r="M540" s="154">
        <v>2.5563252752773664E-3</v>
      </c>
    </row>
    <row r="541" spans="1:13" x14ac:dyDescent="0.25">
      <c r="A541" s="197"/>
      <c r="B541" s="154" t="s">
        <v>380</v>
      </c>
      <c r="C541" s="154">
        <v>1.0347449498978036E-3</v>
      </c>
      <c r="D541" s="154">
        <v>-5.2575506979843073E-5</v>
      </c>
      <c r="E541" s="154">
        <v>6.8982996659853576E-5</v>
      </c>
      <c r="F541" s="154">
        <v>-6.8982996659853564E-6</v>
      </c>
      <c r="G541" s="154">
        <v>1.0654632223259673E-3</v>
      </c>
      <c r="H541" s="154">
        <v>4.305425874053325E-4</v>
      </c>
      <c r="I541" s="154">
        <v>8.6011184229469056E-5</v>
      </c>
      <c r="J541" s="154">
        <v>1.9961810868829068E-3</v>
      </c>
      <c r="K541" s="154">
        <v>1.6907248441954705E-2</v>
      </c>
      <c r="L541" s="154">
        <v>0</v>
      </c>
      <c r="M541" s="154">
        <v>6.1733034624737292E-3</v>
      </c>
    </row>
    <row r="542" spans="1:13" x14ac:dyDescent="0.25">
      <c r="A542" s="197"/>
      <c r="B542" s="154" t="s">
        <v>375</v>
      </c>
      <c r="C542" s="154">
        <v>1.0347449498978036E-3</v>
      </c>
      <c r="D542" s="154">
        <v>-5.2575506979843073E-5</v>
      </c>
      <c r="E542" s="154">
        <v>3.4491498329926784E-4</v>
      </c>
      <c r="F542" s="154">
        <v>-3.4491498329926788E-5</v>
      </c>
      <c r="G542" s="154">
        <v>1.0654632223259673E-3</v>
      </c>
      <c r="H542" s="154">
        <v>4.305425874053325E-4</v>
      </c>
      <c r="I542" s="154">
        <v>1.7869725535414797E-4</v>
      </c>
      <c r="J542" s="154">
        <v>3.8143587647444083E-3</v>
      </c>
      <c r="K542" s="154">
        <v>1.6846680868769288E-2</v>
      </c>
      <c r="L542" s="154">
        <v>0</v>
      </c>
      <c r="M542" s="154">
        <v>5.8582618483787648E-3</v>
      </c>
    </row>
    <row r="543" spans="1:13" x14ac:dyDescent="0.25">
      <c r="A543" s="197"/>
      <c r="B543" s="154" t="s">
        <v>376</v>
      </c>
      <c r="C543" s="154">
        <v>1.0347449498978036E-3</v>
      </c>
      <c r="D543" s="154">
        <v>-5.2575506979843073E-5</v>
      </c>
      <c r="E543" s="154">
        <v>6.8982996659853576E-5</v>
      </c>
      <c r="F543" s="154">
        <v>-6.8982996659853564E-6</v>
      </c>
      <c r="G543" s="154">
        <v>1.0654632223259673E-3</v>
      </c>
      <c r="H543" s="154">
        <v>4.305425874053325E-4</v>
      </c>
      <c r="I543" s="154">
        <v>8.6011184229469056E-5</v>
      </c>
      <c r="J543" s="154">
        <v>3.8143587647444083E-3</v>
      </c>
      <c r="K543" s="154">
        <v>1.925830741348698E-2</v>
      </c>
      <c r="L543" s="154">
        <v>0</v>
      </c>
      <c r="M543" s="154">
        <v>5.8582618483787648E-3</v>
      </c>
    </row>
    <row r="544" spans="1:13" x14ac:dyDescent="0.25">
      <c r="A544" s="197"/>
      <c r="B544" s="154" t="s">
        <v>351</v>
      </c>
      <c r="C544" s="154">
        <v>7.6317014160409149E-4</v>
      </c>
      <c r="D544" s="154">
        <v>-3.832836099071531E-5</v>
      </c>
      <c r="E544" s="154">
        <v>7.6311881817276459E-4</v>
      </c>
      <c r="F544" s="154">
        <v>-3.8155940908638231E-5</v>
      </c>
      <c r="G544" s="154">
        <v>3.6264505802320927E-3</v>
      </c>
      <c r="H544" s="154">
        <v>2.6260504201680674E-3</v>
      </c>
      <c r="I544" s="154">
        <v>4.0016006402561026E-3</v>
      </c>
      <c r="J544" s="154">
        <v>2.7715714285714288E-3</v>
      </c>
      <c r="K544" s="154">
        <v>1.4573579345799854E-2</v>
      </c>
      <c r="L544" s="154">
        <v>0</v>
      </c>
      <c r="M544" s="154">
        <v>2.5563252752773664E-3</v>
      </c>
    </row>
    <row r="545" spans="1:13" x14ac:dyDescent="0.25">
      <c r="A545" s="197"/>
      <c r="B545" s="154" t="s">
        <v>347</v>
      </c>
      <c r="C545" s="154">
        <v>7.6317014160409149E-4</v>
      </c>
      <c r="D545" s="154">
        <v>-3.832836099071531E-5</v>
      </c>
      <c r="E545" s="154">
        <v>5.087458787818432E-4</v>
      </c>
      <c r="F545" s="154">
        <v>-2.5437293939092156E-5</v>
      </c>
      <c r="G545" s="154">
        <v>1.525610244097639E-3</v>
      </c>
      <c r="H545" s="154">
        <v>2.6260504201680674E-3</v>
      </c>
      <c r="I545" s="154">
        <v>1.6256502601040416E-3</v>
      </c>
      <c r="J545" s="154">
        <v>2.7715714285714288E-3</v>
      </c>
      <c r="K545" s="154">
        <v>2.6273994235799812E-2</v>
      </c>
      <c r="L545" s="154">
        <v>0</v>
      </c>
      <c r="M545" s="154">
        <v>2.5563252752773664E-3</v>
      </c>
    </row>
    <row r="546" spans="1:13" x14ac:dyDescent="0.25">
      <c r="A546" s="197"/>
      <c r="B546" s="154" t="s">
        <v>355</v>
      </c>
      <c r="C546" s="154">
        <v>6.1053611328327313E-4</v>
      </c>
      <c r="D546" s="154">
        <v>-3.0662688792572247E-5</v>
      </c>
      <c r="E546" s="154">
        <v>5.0874587878184309E-4</v>
      </c>
      <c r="F546" s="154">
        <v>-2.5437293939092159E-5</v>
      </c>
      <c r="G546" s="154">
        <v>1.3005202080832333E-3</v>
      </c>
      <c r="H546" s="154">
        <v>2.1008403361344541E-3</v>
      </c>
      <c r="I546" s="154">
        <v>1.4005602240896359E-3</v>
      </c>
      <c r="J546" s="154">
        <v>2.217257142857143E-3</v>
      </c>
      <c r="K546" s="154">
        <v>2.9580669054987924E-2</v>
      </c>
      <c r="L546" s="154">
        <v>0</v>
      </c>
      <c r="M546" s="154">
        <v>2.0450602202218928E-3</v>
      </c>
    </row>
    <row r="547" spans="1:13" x14ac:dyDescent="0.25">
      <c r="A547" s="197"/>
      <c r="B547" s="154" t="s">
        <v>343</v>
      </c>
      <c r="C547" s="154">
        <v>7.6317014160409149E-4</v>
      </c>
      <c r="D547" s="154">
        <v>-3.832836099071531E-5</v>
      </c>
      <c r="E547" s="154">
        <v>1.0174917575636864E-3</v>
      </c>
      <c r="F547" s="154">
        <v>-5.0874587878184312E-5</v>
      </c>
      <c r="G547" s="154">
        <v>1.5506202480992397E-3</v>
      </c>
      <c r="H547" s="154">
        <v>2.6260504201680674E-3</v>
      </c>
      <c r="I547" s="154">
        <v>1.6256502601040416E-3</v>
      </c>
      <c r="J547" s="154">
        <v>2.7715714285714288E-3</v>
      </c>
      <c r="K547" s="154">
        <v>2.7462279736335207E-2</v>
      </c>
      <c r="L547" s="154">
        <v>0</v>
      </c>
      <c r="M547" s="154">
        <v>2.5563252752773664E-3</v>
      </c>
    </row>
    <row r="548" spans="1:13" x14ac:dyDescent="0.25">
      <c r="A548" s="197"/>
      <c r="B548" s="154" t="s">
        <v>363</v>
      </c>
      <c r="C548" s="154">
        <v>8.497708528469412E-3</v>
      </c>
      <c r="D548" s="154">
        <v>-2.1233726283419697E-3</v>
      </c>
      <c r="E548" s="154">
        <v>2.964391815717463E-3</v>
      </c>
      <c r="F548" s="154">
        <v>-7.4109795392936575E-4</v>
      </c>
      <c r="G548" s="154">
        <v>2.5454545454545455E-2</v>
      </c>
      <c r="H548" s="154">
        <v>5.4545454545454541E-3</v>
      </c>
      <c r="I548" s="154">
        <v>4.4000000000000003E-3</v>
      </c>
      <c r="J548" s="154">
        <v>3.3744831090442885E-3</v>
      </c>
      <c r="K548" s="154">
        <v>5.2829487710786029E-2</v>
      </c>
      <c r="L548" s="154">
        <v>2.5726284928699536E-3</v>
      </c>
      <c r="M548" s="154">
        <v>2.2812758930212777E-6</v>
      </c>
    </row>
    <row r="549" spans="1:13" x14ac:dyDescent="0.25">
      <c r="A549" s="197"/>
      <c r="B549" s="154" t="s">
        <v>366</v>
      </c>
      <c r="C549" s="154">
        <v>8.9023613155393838E-3</v>
      </c>
      <c r="D549" s="154">
        <v>-2.2244856106439686E-3</v>
      </c>
      <c r="E549" s="154">
        <v>1.552776665375814E-3</v>
      </c>
      <c r="F549" s="154">
        <v>-3.8819416634395349E-4</v>
      </c>
      <c r="G549" s="154">
        <v>2.6666666666666665E-2</v>
      </c>
      <c r="H549" s="154">
        <v>5.7142857142857143E-3</v>
      </c>
      <c r="I549" s="154">
        <v>4.4000000000000003E-3</v>
      </c>
      <c r="J549" s="154">
        <v>3.3744831090442877E-3</v>
      </c>
      <c r="K549" s="154">
        <v>5.7259443876853541E-2</v>
      </c>
      <c r="L549" s="154">
        <v>2.5732025895309971E-3</v>
      </c>
      <c r="M549" s="154">
        <v>2.2812758930212777E-6</v>
      </c>
    </row>
    <row r="550" spans="1:13" x14ac:dyDescent="0.25">
      <c r="A550" s="197"/>
      <c r="B550" s="154" t="s">
        <v>364</v>
      </c>
      <c r="C550" s="154">
        <v>9.0858113202051029E-3</v>
      </c>
      <c r="D550" s="154">
        <v>-2.2699193820295231E-3</v>
      </c>
      <c r="E550" s="154">
        <v>2.964391815717463E-3</v>
      </c>
      <c r="F550" s="154">
        <v>-7.4109795392936575E-4</v>
      </c>
      <c r="G550" s="154">
        <v>2.5454545454545455E-2</v>
      </c>
      <c r="H550" s="154">
        <v>6.5474078574617092E-3</v>
      </c>
      <c r="I550" s="154">
        <v>4.4000000000000003E-3</v>
      </c>
      <c r="J550" s="154">
        <v>7.3102100315233995E-3</v>
      </c>
      <c r="K550" s="154">
        <v>5.8759413488361334E-2</v>
      </c>
      <c r="L550" s="154">
        <v>1.1106988281009422E-3</v>
      </c>
      <c r="M550" s="154">
        <v>5.9135532882621105E-6</v>
      </c>
    </row>
    <row r="551" spans="1:13" x14ac:dyDescent="0.25">
      <c r="A551" s="197"/>
      <c r="B551" s="154" t="s">
        <v>367</v>
      </c>
      <c r="C551" s="154">
        <v>9.5184690021196325E-3</v>
      </c>
      <c r="D551" s="154">
        <v>-2.3780107811737857E-3</v>
      </c>
      <c r="E551" s="154">
        <v>1.552776665375814E-3</v>
      </c>
      <c r="F551" s="154">
        <v>-3.8819416634395349E-4</v>
      </c>
      <c r="G551" s="154">
        <v>2.6666666666666665E-2</v>
      </c>
      <c r="H551" s="154">
        <v>6.8591891840075045E-3</v>
      </c>
      <c r="I551" s="154">
        <v>4.4000000000000003E-3</v>
      </c>
      <c r="J551" s="154">
        <v>7.3102100315233995E-3</v>
      </c>
      <c r="K551" s="154">
        <v>6.3770957790438648E-2</v>
      </c>
      <c r="L551" s="154">
        <v>1.1124179278049692E-3</v>
      </c>
      <c r="M551" s="154">
        <v>5.9135532882621105E-6</v>
      </c>
    </row>
    <row r="552" spans="1:13" x14ac:dyDescent="0.25">
      <c r="A552" s="197"/>
      <c r="B552" s="154" t="s">
        <v>372</v>
      </c>
      <c r="C552" s="154">
        <v>1.0386088201462616E-2</v>
      </c>
      <c r="D552" s="154">
        <v>-2.5952332124179632E-3</v>
      </c>
      <c r="E552" s="154">
        <v>2.1135015723170798E-3</v>
      </c>
      <c r="F552" s="154">
        <v>-5.2837539307926996E-4</v>
      </c>
      <c r="G552" s="154">
        <v>3.111111111111111E-2</v>
      </c>
      <c r="H552" s="154">
        <v>6.6666666666666662E-3</v>
      </c>
      <c r="I552" s="154">
        <v>4.4000000000000003E-3</v>
      </c>
      <c r="J552" s="154">
        <v>3.3744831090442877E-3</v>
      </c>
      <c r="K552" s="154">
        <v>6.0652880293585773E-2</v>
      </c>
      <c r="L552" s="154">
        <v>2.9536028982929466E-3</v>
      </c>
      <c r="M552" s="154">
        <v>2.2812758930212777E-6</v>
      </c>
    </row>
    <row r="553" spans="1:13" x14ac:dyDescent="0.25">
      <c r="A553" s="197"/>
      <c r="B553" s="154" t="s">
        <v>373</v>
      </c>
      <c r="C553" s="154">
        <v>1.1104880502472903E-2</v>
      </c>
      <c r="D553" s="154">
        <v>-2.7743459113694167E-3</v>
      </c>
      <c r="E553" s="154">
        <v>2.1135015723170798E-3</v>
      </c>
      <c r="F553" s="154">
        <v>-5.2837539307926996E-4</v>
      </c>
      <c r="G553" s="154">
        <v>3.111111111111111E-2</v>
      </c>
      <c r="H553" s="154">
        <v>8.0023873813420895E-3</v>
      </c>
      <c r="I553" s="154">
        <v>4.4000000000000003E-3</v>
      </c>
      <c r="J553" s="154">
        <v>7.3102100315233995E-3</v>
      </c>
      <c r="K553" s="154">
        <v>6.6952203103245081E-2</v>
      </c>
      <c r="L553" s="154">
        <v>1.2655628964077376E-3</v>
      </c>
      <c r="M553" s="154">
        <v>5.9135532882621105E-6</v>
      </c>
    </row>
    <row r="554" spans="1:13" x14ac:dyDescent="0.25">
      <c r="A554" s="197"/>
      <c r="B554" s="154" t="s">
        <v>362</v>
      </c>
      <c r="C554" s="154">
        <v>6.7329270291914978E-3</v>
      </c>
      <c r="D554" s="154">
        <v>-1.0113075190954952E-3</v>
      </c>
      <c r="E554" s="154">
        <v>2.964391815717463E-3</v>
      </c>
      <c r="F554" s="154">
        <v>-7.4109795392936575E-4</v>
      </c>
      <c r="G554" s="154">
        <v>2.5454545454545455E-2</v>
      </c>
      <c r="H554" s="154">
        <v>7.2727272727272727E-3</v>
      </c>
      <c r="I554" s="154">
        <v>4.4000000000000003E-3</v>
      </c>
      <c r="J554" s="154">
        <v>9.604451272429336E-3</v>
      </c>
      <c r="K554" s="154">
        <v>7.0440409181026703E-2</v>
      </c>
      <c r="L554" s="154">
        <v>0</v>
      </c>
      <c r="M554" s="154">
        <v>8.8630828876566804E-3</v>
      </c>
    </row>
    <row r="555" spans="1:13" x14ac:dyDescent="0.25">
      <c r="A555" s="197"/>
      <c r="B555" s="154" t="s">
        <v>371</v>
      </c>
      <c r="C555" s="154">
        <v>8.2291330356784979E-3</v>
      </c>
      <c r="D555" s="154">
        <v>-1.2360425233389387E-3</v>
      </c>
      <c r="E555" s="154">
        <v>2.1135015723170798E-3</v>
      </c>
      <c r="F555" s="154">
        <v>-5.2837539307926996E-4</v>
      </c>
      <c r="G555" s="154">
        <v>3.111111111111111E-2</v>
      </c>
      <c r="H555" s="154">
        <v>8.8888888888888889E-3</v>
      </c>
      <c r="I555" s="154">
        <v>4.4000000000000003E-3</v>
      </c>
      <c r="J555" s="154">
        <v>9.604451272429336E-3</v>
      </c>
      <c r="K555" s="154">
        <v>6.8942703646012363E-2</v>
      </c>
      <c r="L555" s="154">
        <v>0</v>
      </c>
      <c r="M555" s="154">
        <v>8.8630828876566786E-3</v>
      </c>
    </row>
    <row r="556" spans="1:13" x14ac:dyDescent="0.25">
      <c r="A556" s="197"/>
      <c r="B556" s="154" t="s">
        <v>365</v>
      </c>
      <c r="C556" s="154">
        <v>7.0535426020101408E-3</v>
      </c>
      <c r="D556" s="154">
        <v>-1.0594650200048046E-3</v>
      </c>
      <c r="E556" s="154">
        <v>1.552776665375814E-3</v>
      </c>
      <c r="F556" s="154">
        <v>-3.8819416634395349E-4</v>
      </c>
      <c r="G556" s="154">
        <v>2.6666666666666665E-2</v>
      </c>
      <c r="H556" s="154">
        <v>7.619047619047619E-3</v>
      </c>
      <c r="I556" s="154">
        <v>4.4000000000000003E-3</v>
      </c>
      <c r="J556" s="154">
        <v>9.604451272429336E-3</v>
      </c>
      <c r="K556" s="154">
        <v>7.6408000661182016E-2</v>
      </c>
      <c r="L556" s="154">
        <v>0</v>
      </c>
      <c r="M556" s="154">
        <v>8.8630828876566786E-3</v>
      </c>
    </row>
    <row r="557" spans="1:13" x14ac:dyDescent="0.25">
      <c r="A557" s="197"/>
      <c r="B557" s="154" t="s">
        <v>369</v>
      </c>
      <c r="C557" s="154">
        <v>1.1983947924764555E-2</v>
      </c>
      <c r="D557" s="154">
        <v>-2.9944998604822652E-3</v>
      </c>
      <c r="E557" s="154">
        <v>2.7870350404181278E-3</v>
      </c>
      <c r="F557" s="154">
        <v>-6.9675876010453195E-4</v>
      </c>
      <c r="G557" s="154">
        <v>3.5897435897435902E-2</v>
      </c>
      <c r="H557" s="154">
        <v>7.6923076923076927E-3</v>
      </c>
      <c r="I557" s="154">
        <v>4.4000000000000003E-3</v>
      </c>
      <c r="J557" s="154">
        <v>3.3744831090442877E-3</v>
      </c>
      <c r="K557" s="154">
        <v>7.4942315028961634E-2</v>
      </c>
      <c r="L557" s="154">
        <v>3.3678594488747021E-3</v>
      </c>
      <c r="M557" s="154">
        <v>2.2812758930212777E-6</v>
      </c>
    </row>
    <row r="558" spans="1:13" x14ac:dyDescent="0.25">
      <c r="A558" s="197"/>
      <c r="B558" s="154" t="s">
        <v>370</v>
      </c>
      <c r="C558" s="154">
        <v>1.2813323656699505E-2</v>
      </c>
      <c r="D558" s="154">
        <v>-3.2011683592724038E-3</v>
      </c>
      <c r="E558" s="154">
        <v>2.7870350404181278E-3</v>
      </c>
      <c r="F558" s="154">
        <v>-6.9675876010453195E-4</v>
      </c>
      <c r="G558" s="154">
        <v>3.5897435897435902E-2</v>
      </c>
      <c r="H558" s="154">
        <v>9.2335239015485654E-3</v>
      </c>
      <c r="I558" s="154">
        <v>4.4000000000000003E-3</v>
      </c>
      <c r="J558" s="154">
        <v>7.3102100315233995E-3</v>
      </c>
      <c r="K558" s="154">
        <v>8.2107038130745158E-2</v>
      </c>
      <c r="L558" s="154">
        <v>1.4322717484619857E-3</v>
      </c>
      <c r="M558" s="154">
        <v>5.9135532882621105E-6</v>
      </c>
    </row>
    <row r="559" spans="1:13" x14ac:dyDescent="0.25">
      <c r="A559" s="197"/>
      <c r="B559" s="154" t="s">
        <v>368</v>
      </c>
      <c r="C559" s="154">
        <v>9.4951535027059594E-3</v>
      </c>
      <c r="D559" s="154">
        <v>-1.4262029115449293E-3</v>
      </c>
      <c r="E559" s="154">
        <v>2.7870350404181278E-3</v>
      </c>
      <c r="F559" s="154">
        <v>-6.9675876010453195E-4</v>
      </c>
      <c r="G559" s="154">
        <v>3.5897435897435902E-2</v>
      </c>
      <c r="H559" s="154">
        <v>1.0256410256410255E-2</v>
      </c>
      <c r="I559" s="154">
        <v>4.4000000000000003E-3</v>
      </c>
      <c r="J559" s="154">
        <v>9.604451272429336E-3</v>
      </c>
      <c r="K559" s="154">
        <v>9.4587015958766452E-2</v>
      </c>
      <c r="L559" s="154">
        <v>0</v>
      </c>
      <c r="M559" s="154">
        <v>8.8630828876566786E-3</v>
      </c>
    </row>
    <row r="560" spans="1:13" x14ac:dyDescent="0.25">
      <c r="A560" s="197"/>
      <c r="B560" s="154" t="s">
        <v>360</v>
      </c>
      <c r="C560" s="154">
        <v>1.6995417056938824E-2</v>
      </c>
      <c r="D560" s="154">
        <v>-4.2467452566839394E-3</v>
      </c>
      <c r="E560" s="154">
        <v>3.9525224209566176E-3</v>
      </c>
      <c r="F560" s="154">
        <v>-9.8813060523915441E-4</v>
      </c>
      <c r="G560" s="154">
        <v>5.0909090909090911E-2</v>
      </c>
      <c r="H560" s="154">
        <v>1.0909090909090908E-2</v>
      </c>
      <c r="I560" s="154">
        <v>4.4000000000000003E-3</v>
      </c>
      <c r="J560" s="154">
        <v>3.3744831090442885E-3</v>
      </c>
      <c r="K560" s="154">
        <v>0.12053542189797735</v>
      </c>
      <c r="L560" s="154">
        <v>4.6046727573994528E-3</v>
      </c>
      <c r="M560" s="154">
        <v>2.2812758930212777E-6</v>
      </c>
    </row>
    <row r="561" spans="1:14" x14ac:dyDescent="0.25">
      <c r="A561" s="197"/>
      <c r="B561" s="154" t="s">
        <v>361</v>
      </c>
      <c r="C561" s="154">
        <v>1.8171622640410206E-2</v>
      </c>
      <c r="D561" s="154">
        <v>-4.5398387640590461E-3</v>
      </c>
      <c r="E561" s="154">
        <v>3.9525224209566176E-3</v>
      </c>
      <c r="F561" s="154">
        <v>-9.8813060523915441E-4</v>
      </c>
      <c r="G561" s="154">
        <v>5.0909090909090911E-2</v>
      </c>
      <c r="H561" s="154">
        <v>1.3094815714923418E-2</v>
      </c>
      <c r="I561" s="154">
        <v>4.4000000000000003E-3</v>
      </c>
      <c r="J561" s="154">
        <v>7.3102100315233995E-3</v>
      </c>
      <c r="K561" s="154">
        <v>0.13021340696332451</v>
      </c>
      <c r="L561" s="154">
        <v>1.9308919265353247E-3</v>
      </c>
      <c r="M561" s="154">
        <v>5.9135532882621105E-6</v>
      </c>
    </row>
    <row r="562" spans="1:14" x14ac:dyDescent="0.25">
      <c r="A562" s="198"/>
      <c r="B562" s="160" t="s">
        <v>359</v>
      </c>
      <c r="C562" s="160">
        <v>1.3465854058382996E-2</v>
      </c>
      <c r="D562" s="160">
        <v>-2.0226150381909905E-3</v>
      </c>
      <c r="E562" s="160">
        <v>3.9525224209566176E-3</v>
      </c>
      <c r="F562" s="160">
        <v>-9.8813060523915441E-4</v>
      </c>
      <c r="G562" s="160">
        <v>5.0909090909090911E-2</v>
      </c>
      <c r="H562" s="160">
        <v>1.4545454545454545E-2</v>
      </c>
      <c r="I562" s="160">
        <v>4.4000000000000003E-3</v>
      </c>
      <c r="J562" s="160">
        <v>9.604451272429336E-3</v>
      </c>
      <c r="K562" s="160">
        <v>0.14459396086521706</v>
      </c>
      <c r="L562" s="160">
        <v>0</v>
      </c>
      <c r="M562" s="160">
        <v>8.8630828876566804E-3</v>
      </c>
      <c r="N562" s="160"/>
    </row>
  </sheetData>
  <mergeCells count="17">
    <mergeCell ref="A398:A452"/>
    <mergeCell ref="A453:A507"/>
    <mergeCell ref="A508:A562"/>
    <mergeCell ref="B4:BD4"/>
    <mergeCell ref="BE4:DG4"/>
    <mergeCell ref="P253:P264"/>
    <mergeCell ref="P302:P305"/>
    <mergeCell ref="P306:P309"/>
    <mergeCell ref="P310:P313"/>
    <mergeCell ref="P280:P283"/>
    <mergeCell ref="P284:P287"/>
    <mergeCell ref="P288:P291"/>
    <mergeCell ref="DH4:FJ4"/>
    <mergeCell ref="B49:L49"/>
    <mergeCell ref="AF19:AN19"/>
    <mergeCell ref="P229:P240"/>
    <mergeCell ref="P241:P252"/>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0.16008550383733161</v>
      </c>
      <c r="F2" s="126">
        <f>'Semi-trailer truck (Diesel)'!C$85</f>
        <v>0.15927108242717111</v>
      </c>
      <c r="G2" s="126">
        <f>'Semi-trailer truck (Diesel)'!D$85</f>
        <v>0.15846347095000207</v>
      </c>
      <c r="H2" s="126">
        <f>'Semi-trailer truck (Diesel)'!E$85</f>
        <v>0.15766588881698124</v>
      </c>
      <c r="I2" s="126">
        <f>'Semi-trailer truck (Diesel)'!F$85</f>
        <v>0.15688288706980683</v>
      </c>
      <c r="J2" s="126">
        <f>'Semi-trailer truck (Diesel)'!G$85</f>
        <v>0.15612070653913285</v>
      </c>
      <c r="K2" s="126">
        <f>'Semi-trailer truck (Diesel)'!H$85</f>
        <v>0.15538752305214107</v>
      </c>
      <c r="L2" s="126">
        <f>'Semi-trailer truck (Diesel)'!I$85</f>
        <v>0.1546933151546464</v>
      </c>
      <c r="M2" s="126">
        <f>'Semi-trailer truck (Diesel)'!J$85</f>
        <v>0.15472683430967626</v>
      </c>
      <c r="N2" s="126">
        <f>'Semi-trailer truck (Diesel)'!K$85</f>
        <v>0.15480341556753688</v>
      </c>
      <c r="O2" s="126">
        <f>'Semi-trailer truck (Diesel)'!L$85</f>
        <v>0.15492277051636621</v>
      </c>
      <c r="P2" s="126">
        <f>'Semi-trailer truck (Diesel)'!M$85</f>
        <v>0.15507712829099893</v>
      </c>
      <c r="Q2" s="126">
        <f>'Semi-trailer truck (Diesel)'!N$85</f>
        <v>0.15525072016905569</v>
      </c>
      <c r="R2" s="126">
        <f>'Semi-trailer truck (Diesel)'!O$85</f>
        <v>0.15542273860212891</v>
      </c>
      <c r="S2" s="126">
        <f>'Semi-trailer truck (Diesel)'!P$85</f>
        <v>0.15557300618592901</v>
      </c>
      <c r="T2" s="126">
        <f>'Semi-trailer truck (Diesel)'!Q$85</f>
        <v>0.15568733639311333</v>
      </c>
      <c r="U2" s="126">
        <f>'Semi-trailer truck (Diesel)'!R$85</f>
        <v>0.15575980251134675</v>
      </c>
      <c r="V2" s="126">
        <f>'Semi-trailer truck (Diesel)'!S$85</f>
        <v>0.15579160428280986</v>
      </c>
      <c r="W2" s="126">
        <f>'Semi-trailer truck (Diesel)'!T$85</f>
        <v>0.1557882315999338</v>
      </c>
      <c r="X2" s="126">
        <f>'Semi-trailer truck (Diesel)'!U$85</f>
        <v>0.15575673153295702</v>
      </c>
      <c r="Y2" s="126">
        <f>'Semi-trailer truck (Diesel)'!V$85</f>
        <v>0.15570392132084804</v>
      </c>
      <c r="Z2" s="126">
        <f>'Semi-trailer truck (Diesel)'!W$85</f>
        <v>0.15563555380521404</v>
      </c>
      <c r="AA2" s="126">
        <f>'Semi-trailer truck (Diesel)'!X$85</f>
        <v>0.15555611337024963</v>
      </c>
      <c r="AB2" s="126">
        <f>'Semi-trailer truck (Diesel)'!Y$85</f>
        <v>0.15546892677318974</v>
      </c>
      <c r="AC2" s="126">
        <f>'Semi-trailer truck (Diesel)'!Z$85</f>
        <v>0.15537638441206875</v>
      </c>
      <c r="AD2" s="126">
        <f>'Semi-trailer truck (Diesel)'!AA$85</f>
        <v>0.15528016827275887</v>
      </c>
      <c r="AE2" s="126">
        <f>'Semi-trailer truck (Diesel)'!AB$85</f>
        <v>0.15518144557317454</v>
      </c>
      <c r="AF2" s="126">
        <f>'Semi-trailer truck (Diesel)'!AC$85</f>
        <v>0.15508101886292719</v>
      </c>
    </row>
    <row r="3" spans="1:32" x14ac:dyDescent="0.25">
      <c r="A3">
        <v>2</v>
      </c>
      <c r="B3" t="s">
        <v>221</v>
      </c>
      <c r="C3" t="s">
        <v>11</v>
      </c>
      <c r="D3" t="s">
        <v>223</v>
      </c>
      <c r="E3" s="126">
        <f>'Semi-trailer truck (Diesel)'!B$191</f>
        <v>8.0027147488310843E-2</v>
      </c>
      <c r="F3" s="126">
        <f>'Semi-trailer truck (Diesel)'!C$191</f>
        <v>7.9304701671896294E-2</v>
      </c>
      <c r="G3" s="126">
        <f>'Semi-trailer truck (Diesel)'!D$191</f>
        <v>7.8584088580919059E-2</v>
      </c>
      <c r="H3" s="126">
        <f>'Semi-trailer truck (Diesel)'!E$191</f>
        <v>7.7866482921337937E-2</v>
      </c>
      <c r="I3" s="126">
        <f>'Semi-trailer truck (Diesel)'!F$191</f>
        <v>7.7153668052726138E-2</v>
      </c>
      <c r="J3" s="126">
        <f>'Semi-trailer truck (Diesel)'!G$191</f>
        <v>7.6448263244838277E-2</v>
      </c>
      <c r="K3" s="126">
        <f>'Semi-trailer truck (Diesel)'!H$191</f>
        <v>7.5753949961385805E-2</v>
      </c>
      <c r="L3" s="126">
        <f>'Semi-trailer truck (Diesel)'!I$191</f>
        <v>7.5075590434253298E-2</v>
      </c>
      <c r="M3" s="126">
        <f>'Semi-trailer truck (Diesel)'!J$191</f>
        <v>7.501220359750671E-2</v>
      </c>
      <c r="N3" s="126">
        <f>'Semi-trailer truck (Diesel)'!K$191</f>
        <v>7.4962451944516797E-2</v>
      </c>
      <c r="O3" s="126">
        <f>'Semi-trailer truck (Diesel)'!L$191</f>
        <v>7.492677857200454E-2</v>
      </c>
      <c r="P3" s="126">
        <f>'Semi-trailer truck (Diesel)'!M$191</f>
        <v>7.4903410112360652E-2</v>
      </c>
      <c r="Q3" s="126">
        <f>'Semi-trailer truck (Diesel)'!N$191</f>
        <v>7.4888047507997629E-2</v>
      </c>
      <c r="R3" s="126">
        <f>'Semi-trailer truck (Diesel)'!O$191</f>
        <v>7.4874599414625348E-2</v>
      </c>
      <c r="S3" s="126">
        <f>'Semi-trailer truck (Diesel)'!P$191</f>
        <v>7.4856823543913917E-2</v>
      </c>
      <c r="T3" s="126">
        <f>'Semi-trailer truck (Diesel)'!Q$191</f>
        <v>7.4830012724677847E-2</v>
      </c>
      <c r="U3" s="126">
        <f>'Semi-trailer truck (Diesel)'!R$191</f>
        <v>7.4791836645466875E-2</v>
      </c>
      <c r="V3" s="126">
        <f>'Semi-trailer truck (Diesel)'!S$191</f>
        <v>7.4742150146256847E-2</v>
      </c>
      <c r="W3" s="126">
        <f>'Semi-trailer truck (Diesel)'!T$191</f>
        <v>7.4682220740993205E-2</v>
      </c>
      <c r="X3" s="126">
        <f>'Semi-trailer truck (Diesel)'!U$191</f>
        <v>7.4613919516635402E-2</v>
      </c>
      <c r="Y3" s="126">
        <f>'Semi-trailer truck (Diesel)'!V$191</f>
        <v>7.4539158792619048E-2</v>
      </c>
      <c r="Z3" s="126">
        <f>'Semi-trailer truck (Diesel)'!W$191</f>
        <v>7.4459606175710291E-2</v>
      </c>
      <c r="AA3" s="126">
        <f>'Semi-trailer truck (Diesel)'!X$191</f>
        <v>7.437659286071012E-2</v>
      </c>
      <c r="AB3" s="126">
        <f>'Semi-trailer truck (Diesel)'!Y$191</f>
        <v>7.4291125534346331E-2</v>
      </c>
      <c r="AC3" s="126">
        <f>'Semi-trailer truck (Diesel)'!Z$191</f>
        <v>7.4203939604705782E-2</v>
      </c>
      <c r="AD3" s="126">
        <f>'Semi-trailer truck (Diesel)'!AA$191</f>
        <v>7.4115560290400034E-2</v>
      </c>
      <c r="AE3" s="126">
        <f>'Semi-trailer truck (Diesel)'!AB$191</f>
        <v>7.4026357111548702E-2</v>
      </c>
      <c r="AF3" s="126">
        <f>'Semi-trailer truck (Diesel)'!AC$191</f>
        <v>7.393658744712471E-2</v>
      </c>
    </row>
    <row r="4" spans="1:32" x14ac:dyDescent="0.25">
      <c r="A4">
        <v>3</v>
      </c>
      <c r="B4" t="s">
        <v>221</v>
      </c>
      <c r="C4" t="s">
        <v>11</v>
      </c>
      <c r="D4" t="s">
        <v>224</v>
      </c>
      <c r="E4" s="126">
        <f>'Semi-trailer truck (Diesel)'!B$299</f>
        <v>8.4300018728238085E-2</v>
      </c>
      <c r="F4" s="126">
        <f>'Semi-trailer truck (Diesel)'!C$299</f>
        <v>8.3546650526390556E-2</v>
      </c>
      <c r="G4" s="126">
        <f>'Semi-trailer truck (Diesel)'!D$299</f>
        <v>8.2795399750635656E-2</v>
      </c>
      <c r="H4" s="126">
        <f>'Semi-trailer truck (Diesel)'!E$299</f>
        <v>8.204757378501995E-2</v>
      </c>
      <c r="I4" s="126">
        <f>'Semi-trailer truck (Diesel)'!F$299</f>
        <v>8.1305142783727385E-2</v>
      </c>
      <c r="J4" s="126">
        <f>'Semi-trailer truck (Diesel)'!G$299</f>
        <v>8.0570981088219445E-2</v>
      </c>
      <c r="K4" s="126">
        <f>'Semi-trailer truck (Diesel)'!H$299</f>
        <v>7.9849102766720442E-2</v>
      </c>
      <c r="L4" s="126">
        <f>'Semi-trailer truck (Diesel)'!I$299</f>
        <v>7.9144773700734944E-2</v>
      </c>
      <c r="M4" s="126">
        <f>'Semi-trailer truck (Diesel)'!J$299</f>
        <v>7.9083237925615418E-2</v>
      </c>
      <c r="N4" s="126">
        <f>'Semi-trailer truck (Diesel)'!K$299</f>
        <v>7.9037124909010659E-2</v>
      </c>
      <c r="O4" s="126">
        <f>'Semi-trailer truck (Diesel)'!L$299</f>
        <v>7.9006862455842028E-2</v>
      </c>
      <c r="P4" s="126">
        <f>'Semi-trailer truck (Diesel)'!M$299</f>
        <v>7.8990350349502914E-2</v>
      </c>
      <c r="Q4" s="126">
        <f>'Semi-trailer truck (Diesel)'!N$299</f>
        <v>7.8982630638001761E-2</v>
      </c>
      <c r="R4" s="126">
        <f>'Semi-trailer truck (Diesel)'!O$299</f>
        <v>7.8976745135467291E-2</v>
      </c>
      <c r="S4" s="126">
        <f>'Semi-trailer truck (Diesel)'!P$299</f>
        <v>7.8965613047099398E-2</v>
      </c>
      <c r="T4" s="126">
        <f>'Semi-trailer truck (Diesel)'!Q$299</f>
        <v>7.8943939633264126E-2</v>
      </c>
      <c r="U4" s="126">
        <f>'Semi-trailer truck (Diesel)'!R$299</f>
        <v>7.890915137335032E-2</v>
      </c>
      <c r="V4" s="126">
        <f>'Semi-trailer truck (Diesel)'!S$299</f>
        <v>7.8861156171652416E-2</v>
      </c>
      <c r="W4" s="126">
        <f>'Semi-trailer truck (Diesel)'!T$299</f>
        <v>7.8801452360333701E-2</v>
      </c>
      <c r="X4" s="126">
        <f>'Semi-trailer truck (Diesel)'!U$299</f>
        <v>7.8732205799053656E-2</v>
      </c>
      <c r="Y4" s="126">
        <f>'Semi-trailer truck (Diesel)'!V$299</f>
        <v>7.8655613331181734E-2</v>
      </c>
      <c r="Z4" s="126">
        <f>'Semi-trailer truck (Diesel)'!W$299</f>
        <v>7.8573582329226205E-2</v>
      </c>
      <c r="AA4" s="126">
        <f>'Semi-trailer truck (Diesel)'!X$299</f>
        <v>7.8487630692923249E-2</v>
      </c>
      <c r="AB4" s="126">
        <f>'Semi-trailer truck (Diesel)'!Y$299</f>
        <v>7.839890349790693E-2</v>
      </c>
      <c r="AC4" s="126">
        <f>'Semi-trailer truck (Diesel)'!Z$299</f>
        <v>7.830823551486138E-2</v>
      </c>
      <c r="AD4" s="126">
        <f>'Semi-trailer truck (Diesel)'!AA$299</f>
        <v>7.8216221829991273E-2</v>
      </c>
      <c r="AE4" s="126">
        <f>'Semi-trailer truck (Diesel)'!AB$299</f>
        <v>7.8123280416865143E-2</v>
      </c>
      <c r="AF4" s="126">
        <f>'Semi-trailer truck (Diesel)'!AC$299</f>
        <v>7.8029701949290181E-2</v>
      </c>
    </row>
    <row r="5" spans="1:32" x14ac:dyDescent="0.25">
      <c r="A5">
        <v>4</v>
      </c>
      <c r="B5" t="s">
        <v>221</v>
      </c>
      <c r="C5" t="s">
        <v>11</v>
      </c>
      <c r="D5" t="s">
        <v>225</v>
      </c>
      <c r="E5" s="126">
        <f>'Semi-trailer truck (Diesel)'!B$408</f>
        <v>0.10828383175735644</v>
      </c>
      <c r="F5" s="126">
        <f>'Semi-trailer truck (Diesel)'!C$408</f>
        <v>0.10753418216485393</v>
      </c>
      <c r="G5" s="126">
        <f>'Semi-trailer truck (Diesel)'!D$408</f>
        <v>0.10678821128129962</v>
      </c>
      <c r="H5" s="126">
        <f>'Semi-trailer truck (Diesel)'!E$408</f>
        <v>0.10604784793594421</v>
      </c>
      <c r="I5" s="126">
        <f>'Semi-trailer truck (Diesel)'!F$408</f>
        <v>0.10531589431886025</v>
      </c>
      <c r="J5" s="126">
        <f>'Semi-trailer truck (Diesel)'!G$408</f>
        <v>0.10459629999081058</v>
      </c>
      <c r="K5" s="126">
        <f>'Semi-trailer truck (Diesel)'!H$408</f>
        <v>0.10389439298513055</v>
      </c>
      <c r="L5" s="126">
        <f>'Semi-trailer truck (Diesel)'!I$408</f>
        <v>0.10321690322756603</v>
      </c>
      <c r="M5" s="126">
        <f>'Semi-trailer truck (Diesel)'!J$408</f>
        <v>0.10319045161352582</v>
      </c>
      <c r="N5" s="126">
        <f>'Semi-trailer truck (Diesel)'!K$408</f>
        <v>0.10318852116780756</v>
      </c>
      <c r="O5" s="126">
        <f>'Semi-trailer truck (Diesel)'!L$408</f>
        <v>0.10321127653144178</v>
      </c>
      <c r="P5" s="126">
        <f>'Semi-trailer truck (Diesel)'!M$408</f>
        <v>0.10325471557553673</v>
      </c>
      <c r="Q5" s="126">
        <f>'Semi-trailer truck (Diesel)'!N$408</f>
        <v>0.1033102860475754</v>
      </c>
      <c r="R5" s="126">
        <f>'Semi-trailer truck (Diesel)'!O$408</f>
        <v>0.10336644529614965</v>
      </c>
      <c r="S5" s="126">
        <f>'Semi-trailer truck (Diesel)'!P$408</f>
        <v>0.10341179382181756</v>
      </c>
      <c r="T5" s="126">
        <f>'Semi-trailer truck (Diesel)'!Q$408</f>
        <v>0.1034381208869186</v>
      </c>
      <c r="U5" s="126">
        <f>'Semi-trailer truck (Diesel)'!R$408</f>
        <v>0.10344177241423405</v>
      </c>
      <c r="V5" s="126">
        <f>'Semi-trailer truck (Diesel)'!S$408</f>
        <v>0.10342310847627158</v>
      </c>
      <c r="W5" s="126">
        <f>'Semi-trailer truck (Diesel)'!T$408</f>
        <v>0.10338496549616917</v>
      </c>
      <c r="X5" s="126">
        <f>'Semi-trailer truck (Diesel)'!U$408</f>
        <v>0.10333113461729546</v>
      </c>
      <c r="Y5" s="126">
        <f>'Semi-trailer truck (Diesel)'!V$408</f>
        <v>0.10326534626620777</v>
      </c>
      <c r="Z5" s="126">
        <f>'Semi-trailer truck (Diesel)'!W$408</f>
        <v>0.10319078157302311</v>
      </c>
      <c r="AA5" s="126">
        <f>'Semi-trailer truck (Diesel)'!X$408</f>
        <v>0.10310993950387246</v>
      </c>
      <c r="AB5" s="126">
        <f>'Semi-trailer truck (Diesel)'!Y$408</f>
        <v>0.10302468570145892</v>
      </c>
      <c r="AC5" s="126">
        <f>'Semi-trailer truck (Diesel)'!Z$408</f>
        <v>0.10293636812453781</v>
      </c>
      <c r="AD5" s="126">
        <f>'Semi-trailer truck (Diesel)'!AA$408</f>
        <v>0.10284594002609314</v>
      </c>
      <c r="AE5" s="126">
        <f>'Semi-trailer truck (Diesel)'!AB$408</f>
        <v>0.10275406602187209</v>
      </c>
      <c r="AF5" s="126">
        <f>'Semi-trailer truck (Diesel)'!AC$408</f>
        <v>0.1026612051195252</v>
      </c>
    </row>
    <row r="6" spans="1:32" x14ac:dyDescent="0.25">
      <c r="A6">
        <v>5</v>
      </c>
      <c r="B6" t="s">
        <v>221</v>
      </c>
      <c r="C6" t="s">
        <v>11</v>
      </c>
      <c r="D6" t="s">
        <v>226</v>
      </c>
      <c r="E6" s="126">
        <f>'Semi-trailer truck (Diesel)'!B$513</f>
        <v>9.1760643921659973E-2</v>
      </c>
      <c r="F6" s="126">
        <f>'Semi-trailer truck (Diesel)'!C$513</f>
        <v>9.1040381901361891E-2</v>
      </c>
      <c r="G6" s="126">
        <f>'Semi-trailer truck (Diesel)'!D$513</f>
        <v>9.0322869487818952E-2</v>
      </c>
      <c r="H6" s="126">
        <f>'Semi-trailer truck (Diesel)'!E$513</f>
        <v>9.0666397123993658E-2</v>
      </c>
      <c r="I6" s="126">
        <f>'Semi-trailer truck (Diesel)'!F$513</f>
        <v>8.9959735219789477E-2</v>
      </c>
      <c r="J6" s="126">
        <f>'Semi-trailer truck (Diesel)'!G$513</f>
        <v>8.9262885266023412E-2</v>
      </c>
      <c r="K6" s="126">
        <f>'Semi-trailer truck (Diesel)'!H$513</f>
        <v>8.8580300367534198E-2</v>
      </c>
      <c r="L6" s="126">
        <f>'Semi-trailer truck (Diesel)'!I$513</f>
        <v>8.7917702533029413E-2</v>
      </c>
      <c r="M6" s="126">
        <f>'Semi-trailer truck (Diesel)'!J$513</f>
        <v>8.7874919273482316E-2</v>
      </c>
      <c r="N6" s="126">
        <f>'Semi-trailer truck (Diesel)'!K$513</f>
        <v>8.785111434351861E-2</v>
      </c>
      <c r="O6" s="126">
        <f>'Semi-trailer truck (Diesel)'!L$513</f>
        <v>8.7846576293836992E-2</v>
      </c>
      <c r="P6" s="126">
        <f>'Semi-trailer truck (Diesel)'!M$513</f>
        <v>8.785841483695922E-2</v>
      </c>
      <c r="Q6" s="126">
        <f>'Semi-trailer truck (Diesel)'!N$513</f>
        <v>8.7880220120965691E-2</v>
      </c>
      <c r="R6" s="126">
        <f>'Semi-trailer truck (Diesel)'!O$513</f>
        <v>8.7903208521440374E-2</v>
      </c>
      <c r="S6" s="126">
        <f>'Semi-trailer truck (Diesel)'!P$513</f>
        <v>8.7918601541070396E-2</v>
      </c>
      <c r="T6" s="126">
        <f>'Semi-trailer truck (Diesel)'!Q$513</f>
        <v>8.7919979555283731E-2</v>
      </c>
      <c r="U6" s="126">
        <f>'Semi-trailer truck (Diesel)'!R$513</f>
        <v>8.7904377683331703E-2</v>
      </c>
      <c r="V6" s="126">
        <f>'Semi-trailer truck (Diesel)'!S$513</f>
        <v>8.7871916306175052E-2</v>
      </c>
      <c r="W6" s="126">
        <f>'Semi-trailer truck (Diesel)'!T$513</f>
        <v>8.7824648747077447E-2</v>
      </c>
      <c r="X6" s="126">
        <f>'Semi-trailer truck (Diesel)'!U$513</f>
        <v>8.7765400559553661E-2</v>
      </c>
      <c r="Y6" s="126">
        <f>'Semi-trailer truck (Diesel)'!V$513</f>
        <v>8.7696984677408649E-2</v>
      </c>
      <c r="Z6" s="126">
        <f>'Semi-trailer truck (Diesel)'!W$513</f>
        <v>8.7621816736217439E-2</v>
      </c>
      <c r="AA6" s="126">
        <f>'Semi-trailer truck (Diesel)'!X$513</f>
        <v>8.7541804073307555E-2</v>
      </c>
      <c r="AB6" s="126">
        <f>'Semi-trailer truck (Diesel)'!Y$513</f>
        <v>8.7458376536707419E-2</v>
      </c>
      <c r="AC6" s="126">
        <f>'Semi-trailer truck (Diesel)'!Z$513</f>
        <v>8.7372570910102365E-2</v>
      </c>
      <c r="AD6" s="126">
        <f>'Semi-trailer truck (Diesel)'!AA$513</f>
        <v>8.7285122749665406E-2</v>
      </c>
      <c r="AE6" s="126">
        <f>'Semi-trailer truck (Diesel)'!AB$513</f>
        <v>8.7196546418972981E-2</v>
      </c>
      <c r="AF6" s="126">
        <f>'Semi-trailer truck (Diesel)'!AC$513</f>
        <v>8.7107198152983983E-2</v>
      </c>
    </row>
    <row r="7" spans="1:32" x14ac:dyDescent="0.25">
      <c r="A7">
        <v>6</v>
      </c>
      <c r="B7" t="s">
        <v>221</v>
      </c>
      <c r="C7" t="s">
        <v>87</v>
      </c>
      <c r="D7" t="s">
        <v>222</v>
      </c>
      <c r="E7" s="126">
        <f>'Semi-trailer truck (Battery)'!B$85</f>
        <v>0.21637192652690349</v>
      </c>
      <c r="F7" s="126">
        <f>'Semi-trailer truck (Battery)'!C$85</f>
        <v>0.21951104207722003</v>
      </c>
      <c r="G7" s="126">
        <f>'Semi-trailer truck (Battery)'!D$85</f>
        <v>0.21774038691418135</v>
      </c>
      <c r="H7" s="126">
        <f>'Semi-trailer truck (Battery)'!E$85</f>
        <v>0.21535650325440328</v>
      </c>
      <c r="I7" s="126">
        <f>'Semi-trailer truck (Battery)'!F$85</f>
        <v>0.21223165111129222</v>
      </c>
      <c r="J7" s="126">
        <f>'Semi-trailer truck (Battery)'!G$85</f>
        <v>0.20827970186713166</v>
      </c>
      <c r="K7" s="126">
        <f>'Semi-trailer truck (Battery)'!H$85</f>
        <v>0.20350672500663491</v>
      </c>
      <c r="L7" s="126">
        <f>'Semi-trailer truck (Battery)'!I$85</f>
        <v>0.19805651534550769</v>
      </c>
      <c r="M7" s="126">
        <f>'Semi-trailer truck (Battery)'!J$85</f>
        <v>0.19221812747364972</v>
      </c>
      <c r="N7" s="126">
        <f>'Semi-trailer truck (Battery)'!K$85</f>
        <v>0.18637168156255102</v>
      </c>
      <c r="O7" s="126">
        <f>'Semi-trailer truck (Battery)'!L$85</f>
        <v>0.18088911847517575</v>
      </c>
      <c r="P7" s="126">
        <f>'Semi-trailer truck (Battery)'!M$85</f>
        <v>0.17604400717380625</v>
      </c>
      <c r="Q7" s="126">
        <f>'Semi-trailer truck (Battery)'!N$85</f>
        <v>0.17197490026309797</v>
      </c>
      <c r="R7" s="126">
        <f>'Semi-trailer truck (Battery)'!O$85</f>
        <v>0.1687014572165727</v>
      </c>
      <c r="S7" s="126">
        <f>'Semi-trailer truck (Battery)'!P$85</f>
        <v>0.16616327353760002</v>
      </c>
      <c r="T7" s="126">
        <f>'Semi-trailer truck (Battery)'!Q$85</f>
        <v>0.16425693316860029</v>
      </c>
      <c r="U7" s="126">
        <f>'Semi-trailer truck (Battery)'!R$85</f>
        <v>0.16286365669373826</v>
      </c>
      <c r="V7" s="126">
        <f>'Semi-trailer truck (Battery)'!S$85</f>
        <v>0.16186804706049535</v>
      </c>
      <c r="W7" s="126">
        <f>'Semi-trailer truck (Battery)'!T$85</f>
        <v>0.16116917124098462</v>
      </c>
      <c r="X7" s="126">
        <f>'Semi-trailer truck (Battery)'!U$85</f>
        <v>0.16068518041493196</v>
      </c>
      <c r="Y7" s="126">
        <f>'Semi-trailer truck (Battery)'!V$85</f>
        <v>0.16035330999297903</v>
      </c>
      <c r="Z7" s="126">
        <f>'Semi-trailer truck (Battery)'!W$85</f>
        <v>0.16012735276709789</v>
      </c>
      <c r="AA7" s="126">
        <f>'Semi-trailer truck (Battery)'!X$85</f>
        <v>0.15997426809106063</v>
      </c>
      <c r="AB7" s="126">
        <f>'Semi-trailer truck (Battery)'!Y$85</f>
        <v>0.15987090849638358</v>
      </c>
      <c r="AC7" s="126">
        <f>'Semi-trailer truck (Battery)'!Z$85</f>
        <v>0.15980128544457209</v>
      </c>
      <c r="AD7" s="126">
        <f>'Semi-trailer truck (Battery)'!AA$85</f>
        <v>0.15975446190069742</v>
      </c>
      <c r="AE7" s="126">
        <f>'Semi-trailer truck (Battery)'!AB$85</f>
        <v>0.15972300557646724</v>
      </c>
      <c r="AF7" s="126">
        <f>'Semi-trailer truck (Battery)'!AC$85</f>
        <v>0.15970188837788224</v>
      </c>
    </row>
    <row r="8" spans="1:32" x14ac:dyDescent="0.25">
      <c r="A8">
        <v>7</v>
      </c>
      <c r="B8" t="s">
        <v>221</v>
      </c>
      <c r="C8" t="s">
        <v>87</v>
      </c>
      <c r="D8" t="s">
        <v>223</v>
      </c>
      <c r="E8" s="126">
        <f>'Semi-trailer truck (Battery)'!B$191</f>
        <v>0.10531087632523629</v>
      </c>
      <c r="F8" s="126">
        <f>'Semi-trailer truck (Battery)'!C$191</f>
        <v>0.10473550749037042</v>
      </c>
      <c r="G8" s="126">
        <f>'Semi-trailer truck (Battery)'!D$191</f>
        <v>0.10394602256673009</v>
      </c>
      <c r="H8" s="126">
        <f>'Semi-trailer truck (Battery)'!E$191</f>
        <v>0.10288364693717506</v>
      </c>
      <c r="I8" s="126">
        <f>'Semi-trailer truck (Battery)'!F$191</f>
        <v>0.10149212680225049</v>
      </c>
      <c r="J8" s="126">
        <f>'Semi-trailer truck (Battery)'!G$191</f>
        <v>9.9734359914276746E-2</v>
      </c>
      <c r="K8" s="126">
        <f>'Semi-trailer truck (Battery)'!H$191</f>
        <v>9.7615210533501584E-2</v>
      </c>
      <c r="L8" s="126">
        <f>'Semi-trailer truck (Battery)'!I$191</f>
        <v>9.5201916568160655E-2</v>
      </c>
      <c r="M8" s="126">
        <f>'Semi-trailer truck (Battery)'!J$191</f>
        <v>9.2788149275787823E-2</v>
      </c>
      <c r="N8" s="126">
        <f>'Semi-trailer truck (Battery)'!K$191</f>
        <v>9.0376503661637492E-2</v>
      </c>
      <c r="O8" s="126">
        <f>'Semi-trailer truck (Battery)'!L$191</f>
        <v>8.8135330503506748E-2</v>
      </c>
      <c r="P8" s="126">
        <f>'Semi-trailer truck (Battery)'!M$191</f>
        <v>8.6186731956471668E-2</v>
      </c>
      <c r="Q8" s="126">
        <f>'Semi-trailer truck (Battery)'!N$191</f>
        <v>8.4589344089089913E-2</v>
      </c>
      <c r="R8" s="126">
        <f>'Semi-trailer truck (Battery)'!O$191</f>
        <v>8.3125683351075508E-2</v>
      </c>
      <c r="S8" s="126">
        <f>'Semi-trailer truck (Battery)'!P$191</f>
        <v>8.1989256124135684E-2</v>
      </c>
      <c r="T8" s="126">
        <f>'Semi-trailer truck (Battery)'!Q$191</f>
        <v>8.1127336728427979E-2</v>
      </c>
      <c r="U8" s="126">
        <f>'Semi-trailer truck (Battery)'!R$191</f>
        <v>8.0483529458206887E-2</v>
      </c>
      <c r="V8" s="126">
        <f>'Semi-trailer truck (Battery)'!S$191</f>
        <v>8.0005740978412787E-2</v>
      </c>
      <c r="W8" s="126">
        <f>'Semi-trailer truck (Battery)'!T$191</f>
        <v>7.9650080607777923E-2</v>
      </c>
      <c r="X8" s="126">
        <f>'Semi-trailer truck (Battery)'!U$191</f>
        <v>7.9381912832722501E-2</v>
      </c>
      <c r="Y8" s="126">
        <f>'Semi-trailer truck (Battery)'!V$191</f>
        <v>7.9175189423155379E-2</v>
      </c>
      <c r="Z8" s="126">
        <f>'Semi-trailer truck (Battery)'!W$191</f>
        <v>7.9010995375950868E-2</v>
      </c>
      <c r="AA8" s="126">
        <f>'Semi-trailer truck (Battery)'!X$191</f>
        <v>7.8875935933557129E-2</v>
      </c>
      <c r="AB8" s="126">
        <f>'Semi-trailer truck (Battery)'!Y$191</f>
        <v>7.8760691477223227E-2</v>
      </c>
      <c r="AC8" s="126">
        <f>'Semi-trailer truck (Battery)'!Z$191</f>
        <v>7.8658856604441774E-2</v>
      </c>
      <c r="AD8" s="126">
        <f>'Semi-trailer truck (Battery)'!AA$191</f>
        <v>7.8566065680302416E-2</v>
      </c>
      <c r="AE8" s="126">
        <f>'Semi-trailer truck (Battery)'!AB$191</f>
        <v>7.8479360256866859E-2</v>
      </c>
      <c r="AF8" s="126">
        <f>'Semi-trailer truck (Battery)'!AC$191</f>
        <v>7.8396743248474315E-2</v>
      </c>
    </row>
    <row r="9" spans="1:32" x14ac:dyDescent="0.25">
      <c r="A9">
        <v>8</v>
      </c>
      <c r="B9" t="s">
        <v>221</v>
      </c>
      <c r="C9" t="s">
        <v>87</v>
      </c>
      <c r="D9" t="s">
        <v>224</v>
      </c>
      <c r="E9" s="126">
        <f>'Semi-trailer truck (Battery)'!B$299</f>
        <v>0.11143385784995678</v>
      </c>
      <c r="F9" s="126">
        <f>'Semi-trailer truck (Battery)'!C$299</f>
        <v>0.11081095282621557</v>
      </c>
      <c r="G9" s="126">
        <f>'Semi-trailer truck (Battery)'!D$299</f>
        <v>0.10995630396229884</v>
      </c>
      <c r="H9" s="126">
        <f>'Semi-trailer truck (Battery)'!E$299</f>
        <v>0.10880636662538078</v>
      </c>
      <c r="I9" s="126">
        <f>'Semi-trailer truck (Battery)'!F$299</f>
        <v>0.10730040704478783</v>
      </c>
      <c r="J9" s="126">
        <f>'Semi-trailer truck (Battery)'!G$299</f>
        <v>0.10539855825130365</v>
      </c>
      <c r="K9" s="126">
        <f>'Semi-trailer truck (Battery)'!H$299</f>
        <v>0.10310657226399533</v>
      </c>
      <c r="L9" s="126">
        <f>'Semi-trailer truck (Battery)'!I$299</f>
        <v>0.10049792810826105</v>
      </c>
      <c r="M9" s="126">
        <f>'Semi-trailer truck (Battery)'!J$299</f>
        <v>9.7884643466625093E-2</v>
      </c>
      <c r="N9" s="126">
        <f>'Semi-trailer truck (Battery)'!K$299</f>
        <v>9.527735972632409E-2</v>
      </c>
      <c r="O9" s="126">
        <f>'Semi-trailer truck (Battery)'!L$299</f>
        <v>9.2858559747352021E-2</v>
      </c>
      <c r="P9" s="126">
        <f>'Semi-trailer truck (Battery)'!M$299</f>
        <v>9.075990136878348E-2</v>
      </c>
      <c r="Q9" s="126">
        <f>'Semi-trailer truck (Battery)'!N$299</f>
        <v>8.9043567823607478E-2</v>
      </c>
      <c r="R9" s="126">
        <f>'Semi-trailer truck (Battery)'!O$299</f>
        <v>8.748143616237751E-2</v>
      </c>
      <c r="S9" s="126">
        <f>'Semi-trailer truck (Battery)'!P$299</f>
        <v>8.6271980782402891E-2</v>
      </c>
      <c r="T9" s="126">
        <f>'Semi-trailer truck (Battery)'!Q$299</f>
        <v>8.5357082205755164E-2</v>
      </c>
      <c r="U9" s="126">
        <f>'Semi-trailer truck (Battery)'!R$299</f>
        <v>8.4675288663069601E-2</v>
      </c>
      <c r="V9" s="126">
        <f>'Semi-trailer truck (Battery)'!S$299</f>
        <v>8.4170330767590215E-2</v>
      </c>
      <c r="W9" s="126">
        <f>'Semi-trailer truck (Battery)'!T$299</f>
        <v>8.3795117230171745E-2</v>
      </c>
      <c r="X9" s="126">
        <f>'Semi-trailer truck (Battery)'!U$299</f>
        <v>8.3512671697669696E-2</v>
      </c>
      <c r="Y9" s="126">
        <f>'Semi-trailer truck (Battery)'!V$299</f>
        <v>8.329528456981633E-2</v>
      </c>
      <c r="Z9" s="126">
        <f>'Semi-trailer truck (Battery)'!W$299</f>
        <v>8.3122884522398771E-2</v>
      </c>
      <c r="AA9" s="126">
        <f>'Semi-trailer truck (Battery)'!X$299</f>
        <v>8.2981282236199341E-2</v>
      </c>
      <c r="AB9" s="126">
        <f>'Semi-trailer truck (Battery)'!Y$299</f>
        <v>8.286061670692918E-2</v>
      </c>
      <c r="AC9" s="126">
        <f>'Semi-trailer truck (Battery)'!Z$299</f>
        <v>8.2754115711758003E-2</v>
      </c>
      <c r="AD9" s="126">
        <f>'Semi-trailer truck (Battery)'!AA$299</f>
        <v>8.2657165997467724E-2</v>
      </c>
      <c r="AE9" s="126">
        <f>'Semi-trailer truck (Battery)'!AB$299</f>
        <v>8.2566642378348293E-2</v>
      </c>
      <c r="AF9" s="126">
        <f>'Semi-trailer truck (Battery)'!AC$299</f>
        <v>8.2480435679140041E-2</v>
      </c>
    </row>
    <row r="10" spans="1:32" x14ac:dyDescent="0.25">
      <c r="A10">
        <v>9</v>
      </c>
      <c r="B10" t="s">
        <v>221</v>
      </c>
      <c r="C10" t="s">
        <v>87</v>
      </c>
      <c r="D10" t="s">
        <v>225</v>
      </c>
      <c r="E10" s="126">
        <f>'Semi-trailer truck (Battery)'!B$408</f>
        <v>0.14511916971521754</v>
      </c>
      <c r="F10" s="126">
        <f>'Semi-trailer truck (Battery)'!C$408</f>
        <v>0.14430014442718125</v>
      </c>
      <c r="G10" s="126">
        <f>'Semi-trailer truck (Battery)'!D$408</f>
        <v>0.14317642122701657</v>
      </c>
      <c r="H10" s="126">
        <f>'Semi-trailer truck (Battery)'!E$408</f>
        <v>0.14166446214625897</v>
      </c>
      <c r="I10" s="126">
        <f>'Semi-trailer truck (Battery)'!F$408</f>
        <v>0.13968443775973252</v>
      </c>
      <c r="J10" s="126">
        <f>'Semi-trailer truck (Battery)'!G$408</f>
        <v>0.13718397574133306</v>
      </c>
      <c r="K10" s="126">
        <f>'Semi-trailer truck (Battery)'!H$408</f>
        <v>0.13417071394529606</v>
      </c>
      <c r="L10" s="126">
        <f>'Semi-trailer truck (Battery)'!I$408</f>
        <v>0.13074137088167351</v>
      </c>
      <c r="M10" s="126">
        <f>'Semi-trailer truck (Battery)'!J$408</f>
        <v>0.12725355111517206</v>
      </c>
      <c r="N10" s="126">
        <f>'Semi-trailer truck (Battery)'!K$408</f>
        <v>0.12377714971472829</v>
      </c>
      <c r="O10" s="126">
        <f>'Semi-trailer truck (Battery)'!L$408</f>
        <v>0.12055181456586964</v>
      </c>
      <c r="P10" s="126">
        <f>'Semi-trailer truck (Battery)'!M$408</f>
        <v>0.11774997366588581</v>
      </c>
      <c r="Q10" s="126">
        <f>'Semi-trailer truck (Battery)'!N$408</f>
        <v>0.11545250167603095</v>
      </c>
      <c r="R10" s="126">
        <f>'Semi-trailer truck (Battery)'!O$408</f>
        <v>0.11343091783136794</v>
      </c>
      <c r="S10" s="126">
        <f>'Semi-trailer truck (Battery)'!P$408</f>
        <v>0.11187122203646577</v>
      </c>
      <c r="T10" s="126">
        <f>'Semi-trailer truck (Battery)'!Q$408</f>
        <v>0.11069724807240844</v>
      </c>
      <c r="U10" s="126">
        <f>'Semi-trailer truck (Battery)'!R$408</f>
        <v>0.10982848304796937</v>
      </c>
      <c r="V10" s="126">
        <f>'Semi-trailer truck (Battery)'!S$408</f>
        <v>0.10919123007674041</v>
      </c>
      <c r="W10" s="126">
        <f>'Semi-trailer truck (Battery)'!T$408</f>
        <v>0.10872383164959933</v>
      </c>
      <c r="X10" s="126">
        <f>'Semi-trailer truck (Battery)'!U$408</f>
        <v>0.10837788356049714</v>
      </c>
      <c r="Y10" s="126">
        <f>'Semi-trailer truck (Battery)'!V$408</f>
        <v>0.10811711568691768</v>
      </c>
      <c r="Z10" s="126">
        <f>'Semi-trailer truck (Battery)'!W$408</f>
        <v>0.10791525603325183</v>
      </c>
      <c r="AA10" s="126">
        <f>'Semi-trailer truck (Battery)'!X$408</f>
        <v>0.10775373056591699</v>
      </c>
      <c r="AB10" s="126">
        <f>'Semi-trailer truck (Battery)'!Y$408</f>
        <v>0.1076196296270502</v>
      </c>
      <c r="AC10" s="126">
        <f>'Semi-trailer truck (Battery)'!Z$408</f>
        <v>0.10750408597060701</v>
      </c>
      <c r="AD10" s="126">
        <f>'Semi-trailer truck (Battery)'!AA$408</f>
        <v>0.10740105817449599</v>
      </c>
      <c r="AE10" s="126">
        <f>'Semi-trailer truck (Battery)'!AB$408</f>
        <v>0.10730645279080381</v>
      </c>
      <c r="AF10" s="126">
        <f>'Semi-trailer truck (Battery)'!AC$408</f>
        <v>0.10721750661777942</v>
      </c>
    </row>
    <row r="11" spans="1:32" x14ac:dyDescent="0.25">
      <c r="A11">
        <v>10</v>
      </c>
      <c r="B11" t="s">
        <v>221</v>
      </c>
      <c r="C11" t="s">
        <v>87</v>
      </c>
      <c r="D11" t="s">
        <v>226</v>
      </c>
      <c r="E11" s="126">
        <f>'Semi-trailer truck (Battery)'!B$513</f>
        <v>0.12257559398774524</v>
      </c>
      <c r="F11" s="126">
        <f>'Semi-trailer truck (Battery)'!C$513</f>
        <v>0.12188527051856508</v>
      </c>
      <c r="G11" s="126">
        <f>'Semi-trailer truck (Battery)'!D$513</f>
        <v>0.12093809750947351</v>
      </c>
      <c r="H11" s="126">
        <f>'Semi-trailer truck (Battery)'!E$513</f>
        <v>0.11966361938964454</v>
      </c>
      <c r="I11" s="126">
        <f>'Semi-trailer truck (Battery)'!F$513</f>
        <v>0.11799446290725628</v>
      </c>
      <c r="J11" s="126">
        <f>'Semi-trailer truck (Battery)'!G$513</f>
        <v>0.11588632588093746</v>
      </c>
      <c r="K11" s="126">
        <f>'Semi-trailer truck (Battery)'!H$513</f>
        <v>0.11334538564086004</v>
      </c>
      <c r="L11" s="126">
        <f>'Semi-trailer truck (Battery)'!I$513</f>
        <v>0.11045279156137923</v>
      </c>
      <c r="M11" s="126">
        <f>'Semi-trailer truck (Battery)'!J$513</f>
        <v>0.10752927013752651</v>
      </c>
      <c r="N11" s="126">
        <f>'Semi-trailer truck (Battery)'!K$513</f>
        <v>0.10461243177478609</v>
      </c>
      <c r="O11" s="126">
        <f>'Semi-trailer truck (Battery)'!L$513</f>
        <v>0.10190423158797018</v>
      </c>
      <c r="P11" s="126">
        <f>'Semi-trailer truck (Battery)'!M$513</f>
        <v>9.9550466319943506E-2</v>
      </c>
      <c r="Q11" s="126">
        <f>'Semi-trailer truck (Battery)'!N$513</f>
        <v>9.7620215868248636E-2</v>
      </c>
      <c r="R11" s="126">
        <f>'Semi-trailer truck (Battery)'!O$513</f>
        <v>9.5895094669613379E-2</v>
      </c>
      <c r="S11" s="126">
        <f>'Semi-trailer truck (Battery)'!P$513</f>
        <v>9.456063625383973E-2</v>
      </c>
      <c r="T11" s="126">
        <f>'Semi-trailer truck (Battery)'!Q$513</f>
        <v>9.3553084839918421E-2</v>
      </c>
      <c r="U11" s="126">
        <f>'Semi-trailer truck (Battery)'!R$513</f>
        <v>9.2804690153400746E-2</v>
      </c>
      <c r="V11" s="126">
        <f>'Semi-trailer truck (Battery)'!S$513</f>
        <v>9.225318374920706E-2</v>
      </c>
      <c r="W11" s="126">
        <f>'Semi-trailer truck (Battery)'!T$513</f>
        <v>9.184630429930829E-2</v>
      </c>
      <c r="X11" s="126">
        <f>'Semi-trailer truck (Battery)'!U$513</f>
        <v>9.1542927709465538E-2</v>
      </c>
      <c r="Y11" s="126">
        <f>'Semi-trailer truck (Battery)'!V$513</f>
        <v>9.1312187667579786E-2</v>
      </c>
      <c r="Z11" s="126">
        <f>'Semi-trailer truck (Battery)'!W$513</f>
        <v>9.1131700906401603E-2</v>
      </c>
      <c r="AA11" s="126">
        <f>'Semi-trailer truck (Battery)'!X$513</f>
        <v>9.0985630714093435E-2</v>
      </c>
      <c r="AB11" s="126">
        <f>'Semi-trailer truck (Battery)'!Y$513</f>
        <v>9.0862964633204688E-2</v>
      </c>
      <c r="AC11" s="126">
        <f>'Semi-trailer truck (Battery)'!Z$513</f>
        <v>9.0756136297087897E-2</v>
      </c>
      <c r="AD11" s="126">
        <f>'Semi-trailer truck (Battery)'!AA$513</f>
        <v>9.0659989728664903E-2</v>
      </c>
      <c r="AE11" s="126">
        <f>'Semi-trailer truck (Battery)'!AB$513</f>
        <v>9.0571031142839237E-2</v>
      </c>
      <c r="AF11" s="126">
        <f>'Semi-trailer truck (Battery)'!AC$513</f>
        <v>9.0486902077712511E-2</v>
      </c>
    </row>
    <row r="12" spans="1:32" x14ac:dyDescent="0.25">
      <c r="A12">
        <v>11</v>
      </c>
      <c r="B12" t="s">
        <v>221</v>
      </c>
      <c r="C12" t="s">
        <v>103</v>
      </c>
      <c r="D12" t="s">
        <v>222</v>
      </c>
      <c r="E12" s="126">
        <f>'Semi-trailer truck (Hydrogen)'!B$85</f>
        <v>0.24891004870420008</v>
      </c>
      <c r="F12" s="126">
        <f>'Semi-trailer truck (Hydrogen)'!C$85</f>
        <v>0.24686948965581962</v>
      </c>
      <c r="G12" s="126">
        <f>'Semi-trailer truck (Hydrogen)'!D$85</f>
        <v>0.24441003081780699</v>
      </c>
      <c r="H12" s="126">
        <f>'Semi-trailer truck (Hydrogen)'!E$85</f>
        <v>0.24167883382739944</v>
      </c>
      <c r="I12" s="126">
        <f>'Semi-trailer truck (Hydrogen)'!F$85</f>
        <v>0.23824376249588991</v>
      </c>
      <c r="J12" s="126">
        <f>'Semi-trailer truck (Hydrogen)'!G$85</f>
        <v>0.23396617162270528</v>
      </c>
      <c r="K12" s="126">
        <f>'Semi-trailer truck (Hydrogen)'!H$85</f>
        <v>0.22876151197232558</v>
      </c>
      <c r="L12" s="126">
        <f>'Semi-trailer truck (Hydrogen)'!I$85</f>
        <v>0.22265915905493006</v>
      </c>
      <c r="M12" s="126">
        <f>'Semi-trailer truck (Hydrogen)'!J$85</f>
        <v>0.21640668673553104</v>
      </c>
      <c r="N12" s="126">
        <f>'Semi-trailer truck (Hydrogen)'!K$85</f>
        <v>0.20978098994427952</v>
      </c>
      <c r="O12" s="126">
        <f>'Semi-trailer truck (Hydrogen)'!L$85</f>
        <v>0.20324865822433011</v>
      </c>
      <c r="P12" s="126">
        <f>'Semi-trailer truck (Hydrogen)'!M$85</f>
        <v>0.19725556359642915</v>
      </c>
      <c r="Q12" s="126">
        <f>'Semi-trailer truck (Hydrogen)'!N$85</f>
        <v>0.19211175280138088</v>
      </c>
      <c r="R12" s="126">
        <f>'Semi-trailer truck (Hydrogen)'!O$85</f>
        <v>0.18745385698996528</v>
      </c>
      <c r="S12" s="126">
        <f>'Semi-trailer truck (Hydrogen)'!P$85</f>
        <v>0.18376212454975488</v>
      </c>
      <c r="T12" s="126">
        <f>'Semi-trailer truck (Hydrogen)'!Q$85</f>
        <v>0.18090469799572684</v>
      </c>
      <c r="U12" s="126">
        <f>'Semi-trailer truck (Hydrogen)'!R$85</f>
        <v>0.17871521279562419</v>
      </c>
      <c r="V12" s="126">
        <f>'Semi-trailer truck (Hydrogen)'!S$85</f>
        <v>0.17703247540625017</v>
      </c>
      <c r="W12" s="126">
        <f>'Semi-trailer truck (Hydrogen)'!T$85</f>
        <v>0.17575436316080051</v>
      </c>
      <c r="X12" s="126">
        <f>'Semi-trailer truck (Hydrogen)'!U$85</f>
        <v>0.17473885551398066</v>
      </c>
      <c r="Y12" s="126">
        <f>'Semi-trailer truck (Hydrogen)'!V$85</f>
        <v>0.17390641684161318</v>
      </c>
      <c r="Z12" s="126">
        <f>'Semi-trailer truck (Hydrogen)'!W$85</f>
        <v>0.17319990683756836</v>
      </c>
      <c r="AA12" s="126">
        <f>'Semi-trailer truck (Hydrogen)'!X$85</f>
        <v>0.17257922567859729</v>
      </c>
      <c r="AB12" s="126">
        <f>'Semi-trailer truck (Hydrogen)'!Y$85</f>
        <v>0.17209349498333115</v>
      </c>
      <c r="AC12" s="126">
        <f>'Semi-trailer truck (Hydrogen)'!Z$85</f>
        <v>0.17164688796190419</v>
      </c>
      <c r="AD12" s="126">
        <f>'Semi-trailer truck (Hydrogen)'!AA$85</f>
        <v>0.17122660175811061</v>
      </c>
      <c r="AE12" s="126">
        <f>'Semi-trailer truck (Hydrogen)'!AB$85</f>
        <v>0.17082398839061927</v>
      </c>
      <c r="AF12" s="126">
        <f>'Semi-trailer truck (Hydrogen)'!AC$85</f>
        <v>0.17043322555935234</v>
      </c>
    </row>
    <row r="13" spans="1:32" x14ac:dyDescent="0.25">
      <c r="A13">
        <v>12</v>
      </c>
      <c r="B13" t="s">
        <v>221</v>
      </c>
      <c r="C13" t="s">
        <v>103</v>
      </c>
      <c r="D13" t="s">
        <v>223</v>
      </c>
      <c r="E13" s="126">
        <f>'Semi-trailer truck (Hydrogen)'!B$191</f>
        <v>0.1301849178703009</v>
      </c>
      <c r="F13" s="126">
        <f>'Semi-trailer truck (Hydrogen)'!C$191</f>
        <v>0.12879834045908395</v>
      </c>
      <c r="G13" s="126">
        <f>'Semi-trailer truck (Hydrogen)'!D$191</f>
        <v>0.12720241092968354</v>
      </c>
      <c r="H13" s="126">
        <f>'Semi-trailer truck (Hydrogen)'!E$191</f>
        <v>0.12557750088189429</v>
      </c>
      <c r="I13" s="126">
        <f>'Semi-trailer truck (Hydrogen)'!F$191</f>
        <v>0.12360103478153095</v>
      </c>
      <c r="J13" s="126">
        <f>'Semi-trailer truck (Hydrogen)'!G$191</f>
        <v>0.12120519100478705</v>
      </c>
      <c r="K13" s="126">
        <f>'Semi-trailer truck (Hydrogen)'!H$191</f>
        <v>0.11834985053087776</v>
      </c>
      <c r="L13" s="126">
        <f>'Semi-trailer truck (Hydrogen)'!I$191</f>
        <v>0.11505230804518336</v>
      </c>
      <c r="M13" s="126">
        <f>'Semi-trailer truck (Hydrogen)'!J$191</f>
        <v>0.11189766374969658</v>
      </c>
      <c r="N13" s="126">
        <f>'Semi-trailer truck (Hydrogen)'!K$191</f>
        <v>0.10855308080160889</v>
      </c>
      <c r="O13" s="126">
        <f>'Semi-trailer truck (Hydrogen)'!L$191</f>
        <v>0.10525235821296482</v>
      </c>
      <c r="P13" s="126">
        <f>'Semi-trailer truck (Hydrogen)'!M$191</f>
        <v>0.10221949414527944</v>
      </c>
      <c r="Q13" s="126">
        <f>'Semi-trailer truck (Hydrogen)'!N$191</f>
        <v>9.9611083648628335E-2</v>
      </c>
      <c r="R13" s="126">
        <f>'Semi-trailer truck (Hydrogen)'!O$191</f>
        <v>9.7062053349601468E-2</v>
      </c>
      <c r="S13" s="126">
        <f>'Semi-trailer truck (Hydrogen)'!P$191</f>
        <v>9.5006421683778361E-2</v>
      </c>
      <c r="T13" s="126">
        <f>'Semi-trailer truck (Hydrogen)'!Q$191</f>
        <v>9.3376459396151718E-2</v>
      </c>
      <c r="U13" s="126">
        <f>'Semi-trailer truck (Hydrogen)'!R$191</f>
        <v>9.2087164722839704E-2</v>
      </c>
      <c r="V13" s="126">
        <f>'Semi-trailer truck (Hydrogen)'!S$191</f>
        <v>9.1056244713108817E-2</v>
      </c>
      <c r="W13" s="126">
        <f>'Semi-trailer truck (Hydrogen)'!T$191</f>
        <v>9.0244234548353897E-2</v>
      </c>
      <c r="X13" s="126">
        <f>'Semi-trailer truck (Hydrogen)'!U$191</f>
        <v>8.9565833713513232E-2</v>
      </c>
      <c r="Y13" s="126">
        <f>'Semi-trailer truck (Hydrogen)'!V$191</f>
        <v>8.8980478708406044E-2</v>
      </c>
      <c r="Z13" s="126">
        <f>'Semi-trailer truck (Hydrogen)'!W$191</f>
        <v>8.8459042007557886E-2</v>
      </c>
      <c r="AA13" s="126">
        <f>'Semi-trailer truck (Hydrogen)'!X$191</f>
        <v>8.798110134314481E-2</v>
      </c>
      <c r="AB13" s="126">
        <f>'Semi-trailer truck (Hydrogen)'!Y$191</f>
        <v>8.7599895946824213E-2</v>
      </c>
      <c r="AC13" s="126">
        <f>'Semi-trailer truck (Hydrogen)'!Z$191</f>
        <v>8.7238414974134398E-2</v>
      </c>
      <c r="AD13" s="126">
        <f>'Semi-trailer truck (Hydrogen)'!AA$191</f>
        <v>8.6890182362002549E-2</v>
      </c>
      <c r="AE13" s="126">
        <f>'Semi-trailer truck (Hydrogen)'!AB$191</f>
        <v>8.6550830228324771E-2</v>
      </c>
      <c r="AF13" s="126">
        <f>'Semi-trailer truck (Hydrogen)'!AC$191</f>
        <v>8.6217422559525025E-2</v>
      </c>
    </row>
    <row r="14" spans="1:32" x14ac:dyDescent="0.25">
      <c r="A14">
        <v>13</v>
      </c>
      <c r="B14" t="s">
        <v>221</v>
      </c>
      <c r="C14" t="s">
        <v>103</v>
      </c>
      <c r="D14" t="s">
        <v>224</v>
      </c>
      <c r="E14" s="126">
        <f>'Semi-trailer truck (Hydrogen)'!B$299</f>
        <v>0.13776629264773832</v>
      </c>
      <c r="F14" s="126">
        <f>'Semi-trailer truck (Hydrogen)'!C$299</f>
        <v>0.13630207043029938</v>
      </c>
      <c r="G14" s="126">
        <f>'Semi-trailer truck (Hydrogen)'!D$299</f>
        <v>0.1346121540729979</v>
      </c>
      <c r="H14" s="126">
        <f>'Semi-trailer truck (Hydrogen)'!E$299</f>
        <v>0.13288209983528232</v>
      </c>
      <c r="I14" s="126">
        <f>'Semi-trailer truck (Hydrogen)'!F$299</f>
        <v>0.13077309136067969</v>
      </c>
      <c r="J14" s="126">
        <f>'Semi-trailer truck (Hydrogen)'!G$299</f>
        <v>0.12821197599246581</v>
      </c>
      <c r="K14" s="126">
        <f>'Semi-trailer truck (Hydrogen)'!H$299</f>
        <v>0.12515548073309263</v>
      </c>
      <c r="L14" s="126">
        <f>'Semi-trailer truck (Hydrogen)'!I$299</f>
        <v>0.12162228161438476</v>
      </c>
      <c r="M14" s="126">
        <f>'Semi-trailer truck (Hydrogen)'!J$299</f>
        <v>0.11822590456848113</v>
      </c>
      <c r="N14" s="126">
        <f>'Semi-trailer truck (Hydrogen)'!K$299</f>
        <v>0.1146263380955117</v>
      </c>
      <c r="O14" s="126">
        <f>'Semi-trailer truck (Hydrogen)'!L$299</f>
        <v>0.11107582386819879</v>
      </c>
      <c r="P14" s="126">
        <f>'Semi-trailer truck (Hydrogen)'!M$299</f>
        <v>0.10781569950851688</v>
      </c>
      <c r="Q14" s="126">
        <f>'Semi-trailer truck (Hydrogen)'!N$299</f>
        <v>0.10501422727718901</v>
      </c>
      <c r="R14" s="126">
        <f>'Semi-trailer truck (Hydrogen)'!O$299</f>
        <v>0.10229225794444202</v>
      </c>
      <c r="S14" s="126">
        <f>'Semi-trailer truck (Hydrogen)'!P$299</f>
        <v>0.10010090757764012</v>
      </c>
      <c r="T14" s="126">
        <f>'Semi-trailer truck (Hydrogen)'!Q$299</f>
        <v>9.8366768196476412E-2</v>
      </c>
      <c r="U14" s="126">
        <f>'Semi-trailer truck (Hydrogen)'!R$299</f>
        <v>9.6998101415976465E-2</v>
      </c>
      <c r="V14" s="126">
        <f>'Semi-trailer truck (Hydrogen)'!S$299</f>
        <v>9.5906332915231179E-2</v>
      </c>
      <c r="W14" s="126">
        <f>'Semi-trailer truck (Hydrogen)'!T$299</f>
        <v>9.5048124455288707E-2</v>
      </c>
      <c r="X14" s="126">
        <f>'Semi-trailer truck (Hydrogen)'!U$299</f>
        <v>9.4332904730400541E-2</v>
      </c>
      <c r="Y14" s="126">
        <f>'Semi-trailer truck (Hydrogen)'!V$299</f>
        <v>9.3717220104064969E-2</v>
      </c>
      <c r="Z14" s="126">
        <f>'Semi-trailer truck (Hydrogen)'!W$299</f>
        <v>9.31698933665219E-2</v>
      </c>
      <c r="AA14" s="126">
        <f>'Semi-trailer truck (Hydrogen)'!X$299</f>
        <v>9.2669077060665364E-2</v>
      </c>
      <c r="AB14" s="126">
        <f>'Semi-trailer truck (Hydrogen)'!Y$299</f>
        <v>9.2269921260751175E-2</v>
      </c>
      <c r="AC14" s="126">
        <f>'Semi-trailer truck (Hydrogen)'!Z$299</f>
        <v>9.1891858154688949E-2</v>
      </c>
      <c r="AD14" s="126">
        <f>'Semi-trailer truck (Hydrogen)'!AA$299</f>
        <v>9.1527962854660749E-2</v>
      </c>
      <c r="AE14" s="126">
        <f>'Semi-trailer truck (Hydrogen)'!AB$299</f>
        <v>9.117356492248134E-2</v>
      </c>
      <c r="AF14" s="126">
        <f>'Semi-trailer truck (Hydrogen)'!AC$299</f>
        <v>9.0825524918120487E-2</v>
      </c>
    </row>
    <row r="15" spans="1:32" x14ac:dyDescent="0.25">
      <c r="A15">
        <v>14</v>
      </c>
      <c r="B15" t="s">
        <v>221</v>
      </c>
      <c r="C15" t="s">
        <v>103</v>
      </c>
      <c r="D15" t="s">
        <v>225</v>
      </c>
      <c r="E15" s="126">
        <f>'Semi-trailer truck (Hydrogen)'!B$408</f>
        <v>0.17252924484292287</v>
      </c>
      <c r="F15" s="126">
        <f>'Semi-trailer truck (Hydrogen)'!C$408</f>
        <v>0.17091032336708489</v>
      </c>
      <c r="G15" s="126">
        <f>'Semi-trailer truck (Hydrogen)'!D$408</f>
        <v>0.16900526195180893</v>
      </c>
      <c r="H15" s="126">
        <f>'Semi-trailer truck (Hydrogen)'!E$408</f>
        <v>0.16698013112799293</v>
      </c>
      <c r="I15" s="126">
        <f>'Semi-trailer truck (Hydrogen)'!F$408</f>
        <v>0.16447432149925922</v>
      </c>
      <c r="J15" s="126">
        <f>'Semi-trailer truck (Hydrogen)'!G$408</f>
        <v>0.16139401049450558</v>
      </c>
      <c r="K15" s="126">
        <f>'Semi-trailer truck (Hydrogen)'!H$408</f>
        <v>0.1576827197400098</v>
      </c>
      <c r="L15" s="126">
        <f>'Semi-trailer truck (Hydrogen)'!I$408</f>
        <v>0.15336205956783835</v>
      </c>
      <c r="M15" s="126">
        <f>'Semi-trailer truck (Hydrogen)'!J$408</f>
        <v>0.14907235491728138</v>
      </c>
      <c r="N15" s="126">
        <f>'Semi-trailer truck (Hydrogen)'!K$408</f>
        <v>0.14452530077083922</v>
      </c>
      <c r="O15" s="126">
        <f>'Semi-trailer truck (Hydrogen)'!L$408</f>
        <v>0.14003991993108283</v>
      </c>
      <c r="P15" s="126">
        <f>'Semi-trailer truck (Hydrogen)'!M$408</f>
        <v>0.13592149433202599</v>
      </c>
      <c r="Q15" s="126">
        <f>'Semi-trailer truck (Hydrogen)'!N$408</f>
        <v>0.13238291593755463</v>
      </c>
      <c r="R15" s="126">
        <f>'Semi-trailer truck (Hydrogen)'!O$408</f>
        <v>0.12906361601375047</v>
      </c>
      <c r="S15" s="126">
        <f>'Semi-trailer truck (Hydrogen)'!P$408</f>
        <v>0.12641083871291386</v>
      </c>
      <c r="T15" s="126">
        <f>'Semi-trailer truck (Hydrogen)'!Q$408</f>
        <v>0.12433353405757167</v>
      </c>
      <c r="U15" s="126">
        <f>'Semi-trailer truck (Hydrogen)'!R$408</f>
        <v>0.12271699168525739</v>
      </c>
      <c r="V15" s="126">
        <f>'Semi-trailer truck (Hydrogen)'!S$408</f>
        <v>0.12145004416266796</v>
      </c>
      <c r="W15" s="126">
        <f>'Semi-trailer truck (Hydrogen)'!T$408</f>
        <v>0.12046999301948033</v>
      </c>
      <c r="X15" s="126">
        <f>'Semi-trailer truck (Hydrogen)'!U$408</f>
        <v>0.11967099055836475</v>
      </c>
      <c r="Y15" s="126">
        <f>'Semi-trailer truck (Hydrogen)'!V$408</f>
        <v>0.11899815571272986</v>
      </c>
      <c r="Z15" s="126">
        <f>'Semi-trailer truck (Hydrogen)'!W$408</f>
        <v>0.11841206237321535</v>
      </c>
      <c r="AA15" s="126">
        <f>'Semi-trailer truck (Hydrogen)'!X$408</f>
        <v>0.11788505020207485</v>
      </c>
      <c r="AB15" s="126">
        <f>'Semi-trailer truck (Hydrogen)'!Y$408</f>
        <v>0.11746823919993211</v>
      </c>
      <c r="AC15" s="126">
        <f>'Semi-trailer truck (Hydrogen)'!Z$408</f>
        <v>0.11707829810589941</v>
      </c>
      <c r="AD15" s="126">
        <f>'Semi-trailer truck (Hydrogen)'!AA$408</f>
        <v>0.11670642115047182</v>
      </c>
      <c r="AE15" s="126">
        <f>'Semi-trailer truck (Hydrogen)'!AB$408</f>
        <v>0.11634666410964255</v>
      </c>
      <c r="AF15" s="126">
        <f>'Semi-trailer truck (Hydrogen)'!AC$408</f>
        <v>0.11599502780168205</v>
      </c>
    </row>
    <row r="16" spans="1:32" x14ac:dyDescent="0.25">
      <c r="A16">
        <v>15</v>
      </c>
      <c r="B16" t="s">
        <v>221</v>
      </c>
      <c r="C16" t="s">
        <v>103</v>
      </c>
      <c r="D16" t="s">
        <v>226</v>
      </c>
      <c r="E16" s="126">
        <f>'Semi-trailer truck (Hydrogen)'!B$513</f>
        <v>0.14817175095677115</v>
      </c>
      <c r="F16" s="126">
        <f>'Semi-trailer truck (Hydrogen)'!C$513</f>
        <v>0.1466944819922564</v>
      </c>
      <c r="G16" s="126">
        <f>'Semi-trailer truck (Hydrogen)'!D$513</f>
        <v>0.14497243428625065</v>
      </c>
      <c r="H16" s="126">
        <f>'Semi-trailer truck (Hydrogen)'!E$513</f>
        <v>0.14317456918899765</v>
      </c>
      <c r="I16" s="126">
        <f>'Semi-trailer truck (Hydrogen)'!F$513</f>
        <v>0.14096556145076633</v>
      </c>
      <c r="J16" s="126">
        <f>'Semi-trailer truck (Hydrogen)'!G$513</f>
        <v>0.13826552094813155</v>
      </c>
      <c r="K16" s="126">
        <f>'Semi-trailer truck (Hydrogen)'!H$513</f>
        <v>0.1350266711424577</v>
      </c>
      <c r="L16" s="126">
        <f>'Semi-trailer truck (Hydrogen)'!I$513</f>
        <v>0.13126815529680835</v>
      </c>
      <c r="M16" s="126">
        <f>'Semi-trailer truck (Hydrogen)'!J$513</f>
        <v>0.12759095150867014</v>
      </c>
      <c r="N16" s="126">
        <f>'Semi-trailer truck (Hydrogen)'!K$513</f>
        <v>0.12369270568523892</v>
      </c>
      <c r="O16" s="126">
        <f>'Semi-trailer truck (Hydrogen)'!L$513</f>
        <v>0.11984647026895449</v>
      </c>
      <c r="P16" s="126">
        <f>'Semi-trailer truck (Hydrogen)'!M$513</f>
        <v>0.11631368968632125</v>
      </c>
      <c r="Q16" s="126">
        <f>'Semi-trailer truck (Hydrogen)'!N$513</f>
        <v>0.1132769054634926</v>
      </c>
      <c r="R16" s="126">
        <f>'Semi-trailer truck (Hydrogen)'!O$513</f>
        <v>0.1103815926600997</v>
      </c>
      <c r="S16" s="126">
        <f>'Semi-trailer truck (Hydrogen)'!P$513</f>
        <v>0.1080591412889777</v>
      </c>
      <c r="T16" s="126">
        <f>'Semi-trailer truck (Hydrogen)'!Q$513</f>
        <v>0.10623121465901968</v>
      </c>
      <c r="U16" s="126">
        <f>'Semi-trailer truck (Hydrogen)'!R$513</f>
        <v>0.10479921973459989</v>
      </c>
      <c r="V16" s="126">
        <f>'Semi-trailer truck (Hydrogen)'!S$513</f>
        <v>0.10366761807530456</v>
      </c>
      <c r="W16" s="126">
        <f>'Semi-trailer truck (Hydrogen)'!T$513</f>
        <v>0.10278566999173805</v>
      </c>
      <c r="X16" s="126">
        <f>'Semi-trailer truck (Hydrogen)'!U$513</f>
        <v>0.10205922302919926</v>
      </c>
      <c r="Y16" s="126">
        <f>'Semi-trailer truck (Hydrogen)'!V$513</f>
        <v>0.10144111673048425</v>
      </c>
      <c r="Z16" s="126">
        <f>'Semi-trailer truck (Hydrogen)'!W$513</f>
        <v>0.10089747442995581</v>
      </c>
      <c r="AA16" s="126">
        <f>'Semi-trailer truck (Hydrogen)'!X$513</f>
        <v>0.10040453362885955</v>
      </c>
      <c r="AB16" s="126">
        <f>'Semi-trailer truck (Hydrogen)'!Y$513</f>
        <v>0.10001322087235465</v>
      </c>
      <c r="AC16" s="126">
        <f>'Semi-trailer truck (Hydrogen)'!Z$513</f>
        <v>9.9644940952193353E-2</v>
      </c>
      <c r="AD16" s="126">
        <f>'Semi-trailer truck (Hydrogen)'!AA$513</f>
        <v>9.9292140120731467E-2</v>
      </c>
      <c r="AE16" s="126">
        <f>'Semi-trailer truck (Hydrogen)'!AB$513</f>
        <v>9.8949720969302449E-2</v>
      </c>
      <c r="AF16" s="126">
        <f>'Semi-trailer truck (Hydrogen)'!AC$513</f>
        <v>9.8614255232537446E-2</v>
      </c>
    </row>
    <row r="17" spans="1:32" x14ac:dyDescent="0.25">
      <c r="A17">
        <v>16</v>
      </c>
      <c r="B17" t="s">
        <v>227</v>
      </c>
      <c r="C17" t="s">
        <v>11</v>
      </c>
      <c r="D17" t="s">
        <v>222</v>
      </c>
      <c r="E17" s="126">
        <f>'Railway (Diesel)'!B$85</f>
        <v>1.4673217391859582E-2</v>
      </c>
      <c r="F17" s="126">
        <f>'Railway (Diesel)'!C$85</f>
        <v>1.4459848262810002E-2</v>
      </c>
      <c r="G17" s="126">
        <f>'Railway (Diesel)'!D$85</f>
        <v>1.4246762144737796E-2</v>
      </c>
      <c r="H17" s="126">
        <f>'Railway (Diesel)'!E$85</f>
        <v>1.4034071685914194E-2</v>
      </c>
      <c r="I17" s="126">
        <f>'Railway (Diesel)'!F$85</f>
        <v>1.3821927708010757E-2</v>
      </c>
      <c r="J17" s="126">
        <f>'Railway (Diesel)'!G$85</f>
        <v>1.3610525114125438E-2</v>
      </c>
      <c r="K17" s="126">
        <f>'Railway (Diesel)'!H$85</f>
        <v>1.3400102084386198E-2</v>
      </c>
      <c r="L17" s="126">
        <f>'Railway (Diesel)'!I$85</f>
        <v>1.3190924003499058E-2</v>
      </c>
      <c r="M17" s="126">
        <f>'Railway (Diesel)'!J$85</f>
        <v>1.3164794948017814E-2</v>
      </c>
      <c r="N17" s="126">
        <f>'Railway (Diesel)'!K$85</f>
        <v>1.3140315145164195E-2</v>
      </c>
      <c r="O17" s="126">
        <f>'Railway (Diesel)'!L$85</f>
        <v>1.3117436891685916E-2</v>
      </c>
      <c r="P17" s="126">
        <f>'Railway (Diesel)'!M$85</f>
        <v>1.3095815431312328E-2</v>
      </c>
      <c r="Q17" s="126">
        <f>'Railway (Diesel)'!N$85</f>
        <v>1.3074799231554624E-2</v>
      </c>
      <c r="R17" s="126">
        <f>'Railway (Diesel)'!O$85</f>
        <v>1.3053557274466459E-2</v>
      </c>
      <c r="S17" s="126">
        <f>'Railway (Diesel)'!P$85</f>
        <v>1.3031306716108132E-2</v>
      </c>
      <c r="T17" s="126">
        <f>'Railway (Diesel)'!Q$85</f>
        <v>1.3007518978683156E-2</v>
      </c>
      <c r="U17" s="126">
        <f>'Railway (Diesel)'!R$85</f>
        <v>1.2981998191609516E-2</v>
      </c>
      <c r="V17" s="126">
        <f>'Railway (Diesel)'!S$85</f>
        <v>1.2954826318618195E-2</v>
      </c>
      <c r="W17" s="126">
        <f>'Railway (Diesel)'!T$85</f>
        <v>1.29262459130897E-2</v>
      </c>
      <c r="X17" s="126">
        <f>'Railway (Diesel)'!U$85</f>
        <v>1.2896551587322757E-2</v>
      </c>
      <c r="Y17" s="126">
        <f>'Railway (Diesel)'!V$85</f>
        <v>1.2866021331225035E-2</v>
      </c>
      <c r="Z17" s="126">
        <f>'Railway (Diesel)'!W$85</f>
        <v>1.2834886036581755E-2</v>
      </c>
      <c r="AA17" s="126">
        <f>'Railway (Diesel)'!X$85</f>
        <v>1.2803323539560334E-2</v>
      </c>
      <c r="AB17" s="126">
        <f>'Railway (Diesel)'!Y$85</f>
        <v>1.2771464456076846E-2</v>
      </c>
      <c r="AC17" s="126">
        <f>'Railway (Diesel)'!Z$85</f>
        <v>1.2739401810823845E-2</v>
      </c>
      <c r="AD17" s="126">
        <f>'Railway (Diesel)'!AA$85</f>
        <v>1.2707200528058904E-2</v>
      </c>
      <c r="AE17" s="126">
        <f>'Railway (Diesel)'!AB$85</f>
        <v>1.2674905316172814E-2</v>
      </c>
      <c r="AF17" s="126">
        <f>'Railway (Diesel)'!AC$85</f>
        <v>1.2642546688743159E-2</v>
      </c>
    </row>
    <row r="18" spans="1:32" x14ac:dyDescent="0.25">
      <c r="A18">
        <v>17</v>
      </c>
      <c r="B18" t="s">
        <v>227</v>
      </c>
      <c r="C18" t="s">
        <v>11</v>
      </c>
      <c r="D18" t="s">
        <v>223</v>
      </c>
      <c r="E18" s="126">
        <f>'Railway (Diesel)'!B$191</f>
        <v>2.2179603065261261E-2</v>
      </c>
      <c r="F18" s="126">
        <f>'Railway (Diesel)'!C$191</f>
        <v>2.1859549371686889E-2</v>
      </c>
      <c r="G18" s="126">
        <f>'Railway (Diesel)'!D$191</f>
        <v>2.1539920194578573E-2</v>
      </c>
      <c r="H18" s="126">
        <f>'Railway (Diesel)'!E$191</f>
        <v>2.1220884506343171E-2</v>
      </c>
      <c r="I18" s="126">
        <f>'Railway (Diesel)'!F$191</f>
        <v>2.0902668539488016E-2</v>
      </c>
      <c r="J18" s="126">
        <f>'Railway (Diesel)'!G$191</f>
        <v>2.0585564648660043E-2</v>
      </c>
      <c r="K18" s="126">
        <f>'Railway (Diesel)'!H$191</f>
        <v>2.0269930104051179E-2</v>
      </c>
      <c r="L18" s="126">
        <f>'Railway (Diesel)'!I$191</f>
        <v>1.9956162982720467E-2</v>
      </c>
      <c r="M18" s="126">
        <f>'Railway (Diesel)'!J$191</f>
        <v>1.9916969399498604E-2</v>
      </c>
      <c r="N18" s="126">
        <f>'Railway (Diesel)'!K$191</f>
        <v>1.9880249695218174E-2</v>
      </c>
      <c r="O18" s="126">
        <f>'Railway (Diesel)'!L$191</f>
        <v>1.9845932315000751E-2</v>
      </c>
      <c r="P18" s="126">
        <f>'Railway (Diesel)'!M$191</f>
        <v>1.9813500124440376E-2</v>
      </c>
      <c r="Q18" s="126">
        <f>'Railway (Diesel)'!N$191</f>
        <v>1.9781975824803823E-2</v>
      </c>
      <c r="R18" s="126">
        <f>'Railway (Diesel)'!O$191</f>
        <v>1.975011288917157E-2</v>
      </c>
      <c r="S18" s="126">
        <f>'Railway (Diesel)'!P$191</f>
        <v>1.971673705163408E-2</v>
      </c>
      <c r="T18" s="126">
        <f>'Railway (Diesel)'!Q$191</f>
        <v>1.9681055445496618E-2</v>
      </c>
      <c r="U18" s="126">
        <f>'Railway (Diesel)'!R$191</f>
        <v>1.964277426488616E-2</v>
      </c>
      <c r="V18" s="126">
        <f>'Railway (Diesel)'!S$191</f>
        <v>1.9602016455399177E-2</v>
      </c>
      <c r="W18" s="126">
        <f>'Railway (Diesel)'!T$191</f>
        <v>1.9559145847106434E-2</v>
      </c>
      <c r="X18" s="126">
        <f>'Railway (Diesel)'!U$191</f>
        <v>1.951460435845602E-2</v>
      </c>
      <c r="Y18" s="126">
        <f>'Railway (Diesel)'!V$191</f>
        <v>1.9468808974309436E-2</v>
      </c>
      <c r="Z18" s="126">
        <f>'Railway (Diesel)'!W$191</f>
        <v>1.9422106032344521E-2</v>
      </c>
      <c r="AA18" s="126">
        <f>'Railway (Diesel)'!X$191</f>
        <v>1.937476228681238E-2</v>
      </c>
      <c r="AB18" s="126">
        <f>'Railway (Diesel)'!Y$191</f>
        <v>1.9326973661587157E-2</v>
      </c>
      <c r="AC18" s="126">
        <f>'Railway (Diesel)'!Z$191</f>
        <v>1.9278879693707653E-2</v>
      </c>
      <c r="AD18" s="126">
        <f>'Railway (Diesel)'!AA$191</f>
        <v>1.9230577769560237E-2</v>
      </c>
      <c r="AE18" s="126">
        <f>'Railway (Diesel)'!AB$191</f>
        <v>1.9182134951731104E-2</v>
      </c>
      <c r="AF18" s="126">
        <f>'Railway (Diesel)'!AC$191</f>
        <v>1.9133597010586624E-2</v>
      </c>
    </row>
    <row r="19" spans="1:32" x14ac:dyDescent="0.25">
      <c r="A19">
        <v>18</v>
      </c>
      <c r="B19" t="s">
        <v>227</v>
      </c>
      <c r="C19" t="s">
        <v>11</v>
      </c>
      <c r="D19" t="s">
        <v>224</v>
      </c>
      <c r="E19" s="126">
        <f>'Railway (Diesel)'!B$299</f>
        <v>2.0919868645195999E-2</v>
      </c>
      <c r="F19" s="126">
        <f>'Railway (Diesel)'!C$299</f>
        <v>2.0599814951621626E-2</v>
      </c>
      <c r="G19" s="126">
        <f>'Railway (Diesel)'!D$299</f>
        <v>2.0280185774513314E-2</v>
      </c>
      <c r="H19" s="126">
        <f>'Railway (Diesel)'!E$299</f>
        <v>1.9961150086277912E-2</v>
      </c>
      <c r="I19" s="126">
        <f>'Railway (Diesel)'!F$299</f>
        <v>1.9642934119422761E-2</v>
      </c>
      <c r="J19" s="126">
        <f>'Railway (Diesel)'!G$299</f>
        <v>1.9325830228594781E-2</v>
      </c>
      <c r="K19" s="126">
        <f>'Railway (Diesel)'!H$299</f>
        <v>1.9010195683985921E-2</v>
      </c>
      <c r="L19" s="126">
        <f>'Railway (Diesel)'!I$299</f>
        <v>1.8696428562655212E-2</v>
      </c>
      <c r="M19" s="126">
        <f>'Railway (Diesel)'!J$299</f>
        <v>1.8657234979433345E-2</v>
      </c>
      <c r="N19" s="126">
        <f>'Railway (Diesel)'!K$299</f>
        <v>1.8620515275152915E-2</v>
      </c>
      <c r="O19" s="126">
        <f>'Railway (Diesel)'!L$299</f>
        <v>1.8586197894935493E-2</v>
      </c>
      <c r="P19" s="126">
        <f>'Railway (Diesel)'!M$299</f>
        <v>1.8553765704375114E-2</v>
      </c>
      <c r="Q19" s="126">
        <f>'Railway (Diesel)'!N$299</f>
        <v>1.852224140473856E-2</v>
      </c>
      <c r="R19" s="126">
        <f>'Railway (Diesel)'!O$299</f>
        <v>1.8490378469106311E-2</v>
      </c>
      <c r="S19" s="126">
        <f>'Railway (Diesel)'!P$299</f>
        <v>1.8457002631568822E-2</v>
      </c>
      <c r="T19" s="126">
        <f>'Railway (Diesel)'!Q$299</f>
        <v>1.8421321025431356E-2</v>
      </c>
      <c r="U19" s="126">
        <f>'Railway (Diesel)'!R$299</f>
        <v>1.8383039844820898E-2</v>
      </c>
      <c r="V19" s="126">
        <f>'Railway (Diesel)'!S$299</f>
        <v>1.8342282035333918E-2</v>
      </c>
      <c r="W19" s="126">
        <f>'Railway (Diesel)'!T$299</f>
        <v>1.8299411427041175E-2</v>
      </c>
      <c r="X19" s="126">
        <f>'Railway (Diesel)'!U$299</f>
        <v>1.8254869938390757E-2</v>
      </c>
      <c r="Y19" s="126">
        <f>'Railway (Diesel)'!V$299</f>
        <v>1.8209074554244177E-2</v>
      </c>
      <c r="Z19" s="126">
        <f>'Railway (Diesel)'!W$299</f>
        <v>1.8162371612279259E-2</v>
      </c>
      <c r="AA19" s="126">
        <f>'Railway (Diesel)'!X$299</f>
        <v>1.8115027866747121E-2</v>
      </c>
      <c r="AB19" s="126">
        <f>'Railway (Diesel)'!Y$299</f>
        <v>1.8067239241521899E-2</v>
      </c>
      <c r="AC19" s="126">
        <f>'Railway (Diesel)'!Z$299</f>
        <v>1.8019145273642387E-2</v>
      </c>
      <c r="AD19" s="126">
        <f>'Railway (Diesel)'!AA$299</f>
        <v>1.7970843349494978E-2</v>
      </c>
      <c r="AE19" s="126">
        <f>'Railway (Diesel)'!AB$299</f>
        <v>1.7922400531665845E-2</v>
      </c>
      <c r="AF19" s="126">
        <f>'Railway (Diesel)'!AC$299</f>
        <v>1.7873862590521362E-2</v>
      </c>
    </row>
    <row r="20" spans="1:32" x14ac:dyDescent="0.25">
      <c r="A20">
        <v>19</v>
      </c>
      <c r="B20" t="s">
        <v>227</v>
      </c>
      <c r="C20" t="s">
        <v>11</v>
      </c>
      <c r="D20" t="s">
        <v>225</v>
      </c>
      <c r="E20" s="126">
        <f>'Railway (Diesel)'!B$408</f>
        <v>1.8939520639606751E-2</v>
      </c>
      <c r="F20" s="126">
        <f>'Railway (Diesel)'!C$408</f>
        <v>1.8749859191562676E-2</v>
      </c>
      <c r="G20" s="126">
        <f>'Railway (Diesel)'!D$408</f>
        <v>1.8560449308831824E-2</v>
      </c>
      <c r="H20" s="126">
        <f>'Railway (Diesel)'!E$408</f>
        <v>1.8371391123210845E-2</v>
      </c>
      <c r="I20" s="126">
        <f>'Railway (Diesel)'!F$408</f>
        <v>1.8182818698407793E-2</v>
      </c>
      <c r="J20" s="126">
        <f>'Railway (Diesel)'!G$408</f>
        <v>1.7994905281620843E-2</v>
      </c>
      <c r="K20" s="126">
        <f>'Railway (Diesel)'!H$408</f>
        <v>1.7807862588519296E-2</v>
      </c>
      <c r="L20" s="126">
        <f>'Railway (Diesel)'!I$408</f>
        <v>1.7621926516619611E-2</v>
      </c>
      <c r="M20" s="126">
        <f>'Railway (Diesel)'!J$408</f>
        <v>1.7598700689525175E-2</v>
      </c>
      <c r="N20" s="126">
        <f>'Railway (Diesel)'!K$408</f>
        <v>1.7576940864766404E-2</v>
      </c>
      <c r="O20" s="126">
        <f>'Railway (Diesel)'!L$408</f>
        <v>1.7556604639452376E-2</v>
      </c>
      <c r="P20" s="126">
        <f>'Railway (Diesel)'!M$408</f>
        <v>1.7537385563564746E-2</v>
      </c>
      <c r="Q20" s="126">
        <f>'Railway (Diesel)'!N$408</f>
        <v>1.7518704497113451E-2</v>
      </c>
      <c r="R20" s="126">
        <f>'Railway (Diesel)'!O$408</f>
        <v>1.7499822757479529E-2</v>
      </c>
      <c r="S20" s="126">
        <f>'Railway (Diesel)'!P$408</f>
        <v>1.748004448338324E-2</v>
      </c>
      <c r="T20" s="126">
        <f>'Railway (Diesel)'!Q$408</f>
        <v>1.7458899827894371E-2</v>
      </c>
      <c r="U20" s="126">
        <f>'Railway (Diesel)'!R$408</f>
        <v>1.7436214683828909E-2</v>
      </c>
      <c r="V20" s="126">
        <f>'Railway (Diesel)'!S$408</f>
        <v>1.7412061907836625E-2</v>
      </c>
      <c r="W20" s="126">
        <f>'Railway (Diesel)'!T$408</f>
        <v>1.7386657102922413E-2</v>
      </c>
      <c r="X20" s="126">
        <f>'Railway (Diesel)'!U$408</f>
        <v>1.7360262146685124E-2</v>
      </c>
      <c r="Y20" s="126">
        <f>'Railway (Diesel)'!V$408</f>
        <v>1.7333124141264929E-2</v>
      </c>
      <c r="Z20" s="126">
        <f>'Railway (Diesel)'!W$408</f>
        <v>1.7305448323804238E-2</v>
      </c>
      <c r="AA20" s="126">
        <f>'Railway (Diesel)'!X$408</f>
        <v>1.7277392770896301E-2</v>
      </c>
      <c r="AB20" s="126">
        <f>'Railway (Diesel)'!Y$408</f>
        <v>1.7249073585577653E-2</v>
      </c>
      <c r="AC20" s="126">
        <f>'Railway (Diesel)'!Z$408</f>
        <v>1.722057345646387E-2</v>
      </c>
      <c r="AD20" s="126">
        <f>'Railway (Diesel)'!AA$408</f>
        <v>1.7191950094006148E-2</v>
      </c>
      <c r="AE20" s="126">
        <f>'Railway (Diesel)'!AB$408</f>
        <v>1.7163243238996286E-2</v>
      </c>
      <c r="AF20" s="126">
        <f>'Railway (Diesel)'!AC$408</f>
        <v>1.7134480014614373E-2</v>
      </c>
    </row>
    <row r="21" spans="1:32" x14ac:dyDescent="0.25">
      <c r="A21">
        <v>20</v>
      </c>
      <c r="B21" t="s">
        <v>227</v>
      </c>
      <c r="C21" t="s">
        <v>11</v>
      </c>
      <c r="D21" t="s">
        <v>226</v>
      </c>
      <c r="E21" s="126">
        <f>'Railway (Diesel)'!B$513</f>
        <v>2.1760421369870931E-2</v>
      </c>
      <c r="F21" s="126">
        <f>'Railway (Diesel)'!C$513</f>
        <v>2.1440367676296562E-2</v>
      </c>
      <c r="G21" s="126">
        <f>'Railway (Diesel)'!D$513</f>
        <v>2.1120738499188246E-2</v>
      </c>
      <c r="H21" s="126">
        <f>'Railway (Diesel)'!E$513</f>
        <v>2.0801702810952848E-2</v>
      </c>
      <c r="I21" s="126">
        <f>'Railway (Diesel)'!F$513</f>
        <v>2.0483486844097697E-2</v>
      </c>
      <c r="J21" s="126">
        <f>'Railway (Diesel)'!G$513</f>
        <v>2.0166382953269717E-2</v>
      </c>
      <c r="K21" s="126">
        <f>'Railway (Diesel)'!H$513</f>
        <v>1.9850748408660857E-2</v>
      </c>
      <c r="L21" s="126">
        <f>'Railway (Diesel)'!I$513</f>
        <v>1.9536981287330144E-2</v>
      </c>
      <c r="M21" s="126">
        <f>'Railway (Diesel)'!J$513</f>
        <v>1.9497787704108281E-2</v>
      </c>
      <c r="N21" s="126">
        <f>'Railway (Diesel)'!K$513</f>
        <v>1.9461067999827851E-2</v>
      </c>
      <c r="O21" s="126">
        <f>'Railway (Diesel)'!L$513</f>
        <v>1.9426750619610432E-2</v>
      </c>
      <c r="P21" s="126">
        <f>'Railway (Diesel)'!M$513</f>
        <v>1.939431842905005E-2</v>
      </c>
      <c r="Q21" s="126">
        <f>'Railway (Diesel)'!N$513</f>
        <v>1.9362794129413496E-2</v>
      </c>
      <c r="R21" s="126">
        <f>'Railway (Diesel)'!O$513</f>
        <v>1.9330931193781251E-2</v>
      </c>
      <c r="S21" s="126">
        <f>'Railway (Diesel)'!P$513</f>
        <v>1.9297555356243758E-2</v>
      </c>
      <c r="T21" s="126">
        <f>'Railway (Diesel)'!Q$513</f>
        <v>1.9261873750106295E-2</v>
      </c>
      <c r="U21" s="126">
        <f>'Railway (Diesel)'!R$513</f>
        <v>1.9223592569495834E-2</v>
      </c>
      <c r="V21" s="126">
        <f>'Railway (Diesel)'!S$513</f>
        <v>1.9182834760008854E-2</v>
      </c>
      <c r="W21" s="126">
        <f>'Railway (Diesel)'!T$513</f>
        <v>1.9139964151716114E-2</v>
      </c>
      <c r="X21" s="126">
        <f>'Railway (Diesel)'!U$513</f>
        <v>1.9095422663065693E-2</v>
      </c>
      <c r="Y21" s="126">
        <f>'Railway (Diesel)'!V$513</f>
        <v>1.9049627278919113E-2</v>
      </c>
      <c r="Z21" s="126">
        <f>'Railway (Diesel)'!W$513</f>
        <v>1.9002924336954191E-2</v>
      </c>
      <c r="AA21" s="126">
        <f>'Railway (Diesel)'!X$513</f>
        <v>1.895558059142206E-2</v>
      </c>
      <c r="AB21" s="126">
        <f>'Railway (Diesel)'!Y$513</f>
        <v>1.8907791966196831E-2</v>
      </c>
      <c r="AC21" s="126">
        <f>'Railway (Diesel)'!Z$513</f>
        <v>1.8859697998317326E-2</v>
      </c>
      <c r="AD21" s="126">
        <f>'Railway (Diesel)'!AA$513</f>
        <v>1.8811396074169914E-2</v>
      </c>
      <c r="AE21" s="126">
        <f>'Railway (Diesel)'!AB$513</f>
        <v>1.8762953256340781E-2</v>
      </c>
      <c r="AF21" s="126">
        <f>'Railway (Diesel)'!AC$513</f>
        <v>1.8714415315196298E-2</v>
      </c>
    </row>
    <row r="22" spans="1:32" x14ac:dyDescent="0.25">
      <c r="A22">
        <v>21</v>
      </c>
      <c r="B22" t="s">
        <v>227</v>
      </c>
      <c r="C22" t="s">
        <v>136</v>
      </c>
      <c r="D22" t="s">
        <v>222</v>
      </c>
      <c r="E22" s="126">
        <f>'Railway (Catenary)'!B$85</f>
        <v>1.2515885154245758E-2</v>
      </c>
      <c r="F22" s="126">
        <f>'Railway (Catenary)'!C$85</f>
        <v>1.2515885154245758E-2</v>
      </c>
      <c r="G22" s="126">
        <f>'Railway (Catenary)'!D$85</f>
        <v>1.2515885154245758E-2</v>
      </c>
      <c r="H22" s="126">
        <f>'Railway (Catenary)'!E$85</f>
        <v>1.2515885154245758E-2</v>
      </c>
      <c r="I22" s="126">
        <f>'Railway (Catenary)'!F$85</f>
        <v>1.2515885154245758E-2</v>
      </c>
      <c r="J22" s="126">
        <f>'Railway (Catenary)'!G$85</f>
        <v>1.2515885154245758E-2</v>
      </c>
      <c r="K22" s="126">
        <f>'Railway (Catenary)'!H$85</f>
        <v>1.2515885154245758E-2</v>
      </c>
      <c r="L22" s="126">
        <f>'Railway (Catenary)'!I$85</f>
        <v>1.2515885154245758E-2</v>
      </c>
      <c r="M22" s="126">
        <f>'Railway (Catenary)'!J$85</f>
        <v>1.2556314531330272E-2</v>
      </c>
      <c r="N22" s="126">
        <f>'Railway (Catenary)'!K$85</f>
        <v>1.2596743908414785E-2</v>
      </c>
      <c r="O22" s="126">
        <f>'Railway (Catenary)'!L$85</f>
        <v>1.2637173285499299E-2</v>
      </c>
      <c r="P22" s="126">
        <f>'Railway (Catenary)'!M$85</f>
        <v>1.2677602662583812E-2</v>
      </c>
      <c r="Q22" s="126">
        <f>'Railway (Catenary)'!N$85</f>
        <v>1.2718032039668323E-2</v>
      </c>
      <c r="R22" s="126">
        <f>'Railway (Catenary)'!O$85</f>
        <v>1.2695979652167681E-2</v>
      </c>
      <c r="S22" s="126">
        <f>'Railway (Catenary)'!P$85</f>
        <v>1.2673927264667038E-2</v>
      </c>
      <c r="T22" s="126">
        <f>'Railway (Catenary)'!Q$85</f>
        <v>1.2651874877166392E-2</v>
      </c>
      <c r="U22" s="126">
        <f>'Railway (Catenary)'!R$85</f>
        <v>1.262982248966575E-2</v>
      </c>
      <c r="V22" s="126">
        <f>'Railway (Catenary)'!S$85</f>
        <v>1.2607770102165107E-2</v>
      </c>
      <c r="W22" s="126">
        <f>'Railway (Catenary)'!T$85</f>
        <v>1.2585717714664463E-2</v>
      </c>
      <c r="X22" s="126">
        <f>'Railway (Catenary)'!U$85</f>
        <v>1.2563665327163819E-2</v>
      </c>
      <c r="Y22" s="126">
        <f>'Railway (Catenary)'!V$85</f>
        <v>1.2541612939663176E-2</v>
      </c>
      <c r="Z22" s="126">
        <f>'Railway (Catenary)'!W$85</f>
        <v>1.2519560552162532E-2</v>
      </c>
      <c r="AA22" s="126">
        <f>'Railway (Catenary)'!X$85</f>
        <v>1.2497508164661891E-2</v>
      </c>
      <c r="AB22" s="126">
        <f>'Railway (Catenary)'!Y$85</f>
        <v>1.2475455777161245E-2</v>
      </c>
      <c r="AC22" s="126">
        <f>'Railway (Catenary)'!Z$85</f>
        <v>1.2453403389660602E-2</v>
      </c>
      <c r="AD22" s="126">
        <f>'Railway (Catenary)'!AA$85</f>
        <v>1.243135100215996E-2</v>
      </c>
      <c r="AE22" s="126">
        <f>'Railway (Catenary)'!AB$85</f>
        <v>1.2409298614659314E-2</v>
      </c>
      <c r="AF22" s="126">
        <f>'Railway (Catenary)'!AC$85</f>
        <v>1.2387246227158675E-2</v>
      </c>
    </row>
    <row r="23" spans="1:32" x14ac:dyDescent="0.25">
      <c r="A23">
        <v>22</v>
      </c>
      <c r="B23" t="s">
        <v>227</v>
      </c>
      <c r="C23" t="s">
        <v>136</v>
      </c>
      <c r="D23" t="s">
        <v>223</v>
      </c>
      <c r="E23" s="126">
        <f>'Railway (Catenary)'!B$191</f>
        <v>1.8943604708840517E-2</v>
      </c>
      <c r="F23" s="126">
        <f>'Railway (Catenary)'!C$191</f>
        <v>1.8943604708840517E-2</v>
      </c>
      <c r="G23" s="126">
        <f>'Railway (Catenary)'!D$191</f>
        <v>1.8943604708840517E-2</v>
      </c>
      <c r="H23" s="126">
        <f>'Railway (Catenary)'!E$191</f>
        <v>1.8943604708840517E-2</v>
      </c>
      <c r="I23" s="126">
        <f>'Railway (Catenary)'!F$191</f>
        <v>1.8943604708840517E-2</v>
      </c>
      <c r="J23" s="126">
        <f>'Railway (Catenary)'!G$191</f>
        <v>1.8943604708840517E-2</v>
      </c>
      <c r="K23" s="126">
        <f>'Railway (Catenary)'!H$191</f>
        <v>1.8943604708840517E-2</v>
      </c>
      <c r="L23" s="126">
        <f>'Railway (Catenary)'!I$191</f>
        <v>1.8943604708840517E-2</v>
      </c>
      <c r="M23" s="126">
        <f>'Railway (Catenary)'!J$191</f>
        <v>1.900424877446729E-2</v>
      </c>
      <c r="N23" s="126">
        <f>'Railway (Catenary)'!K$191</f>
        <v>1.9064892840094057E-2</v>
      </c>
      <c r="O23" s="126">
        <f>'Railway (Catenary)'!L$191</f>
        <v>1.912553690572083E-2</v>
      </c>
      <c r="P23" s="126">
        <f>'Railway (Catenary)'!M$191</f>
        <v>1.9186180971347597E-2</v>
      </c>
      <c r="Q23" s="126">
        <f>'Railway (Catenary)'!N$191</f>
        <v>1.924682503697437E-2</v>
      </c>
      <c r="R23" s="126">
        <f>'Railway (Catenary)'!O$191</f>
        <v>1.92137464557234E-2</v>
      </c>
      <c r="S23" s="126">
        <f>'Railway (Catenary)'!P$191</f>
        <v>1.9180667874472437E-2</v>
      </c>
      <c r="T23" s="126">
        <f>'Railway (Catenary)'!Q$191</f>
        <v>1.9147589293221468E-2</v>
      </c>
      <c r="U23" s="126">
        <f>'Railway (Catenary)'!R$191</f>
        <v>1.9114510711970505E-2</v>
      </c>
      <c r="V23" s="126">
        <f>'Railway (Catenary)'!S$191</f>
        <v>1.9081432130719542E-2</v>
      </c>
      <c r="W23" s="126">
        <f>'Railway (Catenary)'!T$191</f>
        <v>1.9048353549468579E-2</v>
      </c>
      <c r="X23" s="126">
        <f>'Railway (Catenary)'!U$191</f>
        <v>1.9015274968217609E-2</v>
      </c>
      <c r="Y23" s="126">
        <f>'Railway (Catenary)'!V$191</f>
        <v>1.8982196386966646E-2</v>
      </c>
      <c r="Z23" s="126">
        <f>'Railway (Catenary)'!W$191</f>
        <v>1.894911780571568E-2</v>
      </c>
      <c r="AA23" s="126">
        <f>'Railway (Catenary)'!X$191</f>
        <v>1.891603922446472E-2</v>
      </c>
      <c r="AB23" s="126">
        <f>'Railway (Catenary)'!Y$191</f>
        <v>1.888296064321375E-2</v>
      </c>
      <c r="AC23" s="126">
        <f>'Railway (Catenary)'!Z$191</f>
        <v>1.8849882061962787E-2</v>
      </c>
      <c r="AD23" s="126">
        <f>'Railway (Catenary)'!AA$191</f>
        <v>1.8816803480711821E-2</v>
      </c>
      <c r="AE23" s="126">
        <f>'Railway (Catenary)'!AB$191</f>
        <v>1.8783724899460855E-2</v>
      </c>
      <c r="AF23" s="126">
        <f>'Railway (Catenary)'!AC$191</f>
        <v>1.8750646318209892E-2</v>
      </c>
    </row>
    <row r="24" spans="1:32" x14ac:dyDescent="0.25">
      <c r="A24">
        <v>23</v>
      </c>
      <c r="B24" t="s">
        <v>227</v>
      </c>
      <c r="C24" t="s">
        <v>136</v>
      </c>
      <c r="D24" t="s">
        <v>224</v>
      </c>
      <c r="E24" s="126">
        <f>'Railway (Catenary)'!B$299</f>
        <v>1.7683870288775261E-2</v>
      </c>
      <c r="F24" s="126">
        <f>'Railway (Catenary)'!C$299</f>
        <v>1.7683870288775261E-2</v>
      </c>
      <c r="G24" s="126">
        <f>'Railway (Catenary)'!D$299</f>
        <v>1.7683870288775261E-2</v>
      </c>
      <c r="H24" s="126">
        <f>'Railway (Catenary)'!E$299</f>
        <v>1.7683870288775261E-2</v>
      </c>
      <c r="I24" s="126">
        <f>'Railway (Catenary)'!F$299</f>
        <v>1.7683870288775261E-2</v>
      </c>
      <c r="J24" s="126">
        <f>'Railway (Catenary)'!G$299</f>
        <v>1.7683870288775261E-2</v>
      </c>
      <c r="K24" s="126">
        <f>'Railway (Catenary)'!H$299</f>
        <v>1.7683870288775261E-2</v>
      </c>
      <c r="L24" s="126">
        <f>'Railway (Catenary)'!I$299</f>
        <v>1.7683870288775261E-2</v>
      </c>
      <c r="M24" s="126">
        <f>'Railway (Catenary)'!J$299</f>
        <v>1.7744514354402031E-2</v>
      </c>
      <c r="N24" s="126">
        <f>'Railway (Catenary)'!K$299</f>
        <v>1.7805158420028801E-2</v>
      </c>
      <c r="O24" s="126">
        <f>'Railway (Catenary)'!L$299</f>
        <v>1.7865802485655564E-2</v>
      </c>
      <c r="P24" s="126">
        <f>'Railway (Catenary)'!M$299</f>
        <v>1.7926446551282338E-2</v>
      </c>
      <c r="Q24" s="126">
        <f>'Railway (Catenary)'!N$299</f>
        <v>1.7987090616909104E-2</v>
      </c>
      <c r="R24" s="126">
        <f>'Railway (Catenary)'!O$299</f>
        <v>1.7954012035658141E-2</v>
      </c>
      <c r="S24" s="126">
        <f>'Railway (Catenary)'!P$299</f>
        <v>1.7920933454407175E-2</v>
      </c>
      <c r="T24" s="126">
        <f>'Railway (Catenary)'!Q$299</f>
        <v>1.7887854873156212E-2</v>
      </c>
      <c r="U24" s="126">
        <f>'Railway (Catenary)'!R$299</f>
        <v>1.7854776291905246E-2</v>
      </c>
      <c r="V24" s="126">
        <f>'Railway (Catenary)'!S$299</f>
        <v>1.7821697710654279E-2</v>
      </c>
      <c r="W24" s="126">
        <f>'Railway (Catenary)'!T$299</f>
        <v>1.7788619129403316E-2</v>
      </c>
      <c r="X24" s="126">
        <f>'Railway (Catenary)'!U$299</f>
        <v>1.7755540548152354E-2</v>
      </c>
      <c r="Y24" s="126">
        <f>'Railway (Catenary)'!V$299</f>
        <v>1.7722461966901384E-2</v>
      </c>
      <c r="Z24" s="126">
        <f>'Railway (Catenary)'!W$299</f>
        <v>1.7689383385650421E-2</v>
      </c>
      <c r="AA24" s="126">
        <f>'Railway (Catenary)'!X$299</f>
        <v>1.7656304804399454E-2</v>
      </c>
      <c r="AB24" s="126">
        <f>'Railway (Catenary)'!Y$299</f>
        <v>1.7623226223148492E-2</v>
      </c>
      <c r="AC24" s="126">
        <f>'Railway (Catenary)'!Z$299</f>
        <v>1.7590147641897525E-2</v>
      </c>
      <c r="AD24" s="126">
        <f>'Railway (Catenary)'!AA$299</f>
        <v>1.7557069060646559E-2</v>
      </c>
      <c r="AE24" s="126">
        <f>'Railway (Catenary)'!AB$299</f>
        <v>1.7523990479395596E-2</v>
      </c>
      <c r="AF24" s="126">
        <f>'Railway (Catenary)'!AC$299</f>
        <v>1.7490911898144633E-2</v>
      </c>
    </row>
    <row r="25" spans="1:32" x14ac:dyDescent="0.25">
      <c r="A25">
        <v>24</v>
      </c>
      <c r="B25" t="s">
        <v>227</v>
      </c>
      <c r="C25" t="s">
        <v>136</v>
      </c>
      <c r="D25" t="s">
        <v>225</v>
      </c>
      <c r="E25" s="126">
        <f>'Railway (Catenary)'!B$408</f>
        <v>1.7021891983950016E-2</v>
      </c>
      <c r="F25" s="126">
        <f>'Railway (Catenary)'!C$408</f>
        <v>1.7021891983950016E-2</v>
      </c>
      <c r="G25" s="126">
        <f>'Railway (Catenary)'!D$408</f>
        <v>1.7021891983950016E-2</v>
      </c>
      <c r="H25" s="126">
        <f>'Railway (Catenary)'!E$408</f>
        <v>1.7021891983950016E-2</v>
      </c>
      <c r="I25" s="126">
        <f>'Railway (Catenary)'!F$408</f>
        <v>1.7021891983950016E-2</v>
      </c>
      <c r="J25" s="126">
        <f>'Railway (Catenary)'!G$408</f>
        <v>1.7021891983950016E-2</v>
      </c>
      <c r="K25" s="126">
        <f>'Railway (Catenary)'!H$408</f>
        <v>1.7021891983950016E-2</v>
      </c>
      <c r="L25" s="126">
        <f>'Railway (Catenary)'!I$408</f>
        <v>1.7021891983950016E-2</v>
      </c>
      <c r="M25" s="126">
        <f>'Railway (Catenary)'!J$408</f>
        <v>1.7057829208025139E-2</v>
      </c>
      <c r="N25" s="126">
        <f>'Railway (Catenary)'!K$408</f>
        <v>1.7093766432100262E-2</v>
      </c>
      <c r="O25" s="126">
        <f>'Railway (Catenary)'!L$408</f>
        <v>1.7129703656175388E-2</v>
      </c>
      <c r="P25" s="126">
        <f>'Railway (Catenary)'!M$408</f>
        <v>1.7165640880250507E-2</v>
      </c>
      <c r="Q25" s="126">
        <f>'Railway (Catenary)'!N$408</f>
        <v>1.7201578104325634E-2</v>
      </c>
      <c r="R25" s="126">
        <f>'Railway (Catenary)'!O$408</f>
        <v>1.7181975982102832E-2</v>
      </c>
      <c r="S25" s="126">
        <f>'Railway (Catenary)'!P$408</f>
        <v>1.7162373859880044E-2</v>
      </c>
      <c r="T25" s="126">
        <f>'Railway (Catenary)'!Q$408</f>
        <v>1.7142771737657249E-2</v>
      </c>
      <c r="U25" s="126">
        <f>'Railway (Catenary)'!R$408</f>
        <v>1.7123169615434454E-2</v>
      </c>
      <c r="V25" s="126">
        <f>'Railway (Catenary)'!S$408</f>
        <v>1.7103567493211659E-2</v>
      </c>
      <c r="W25" s="126">
        <f>'Railway (Catenary)'!T$408</f>
        <v>1.7083965370988864E-2</v>
      </c>
      <c r="X25" s="126">
        <f>'Railway (Catenary)'!U$408</f>
        <v>1.7064363248766069E-2</v>
      </c>
      <c r="Y25" s="126">
        <f>'Railway (Catenary)'!V$408</f>
        <v>1.7044761126543274E-2</v>
      </c>
      <c r="Z25" s="126">
        <f>'Railway (Catenary)'!W$408</f>
        <v>1.7025159004320483E-2</v>
      </c>
      <c r="AA25" s="126">
        <f>'Railway (Catenary)'!X$408</f>
        <v>1.7005556882097685E-2</v>
      </c>
      <c r="AB25" s="126">
        <f>'Railway (Catenary)'!Y$408</f>
        <v>1.6985954759874897E-2</v>
      </c>
      <c r="AC25" s="126">
        <f>'Railway (Catenary)'!Z$408</f>
        <v>1.6966352637652102E-2</v>
      </c>
      <c r="AD25" s="126">
        <f>'Railway (Catenary)'!AA$408</f>
        <v>1.6946750515429307E-2</v>
      </c>
      <c r="AE25" s="126">
        <f>'Railway (Catenary)'!AB$408</f>
        <v>1.6927148393206512E-2</v>
      </c>
      <c r="AF25" s="126">
        <f>'Railway (Catenary)'!AC$408</f>
        <v>1.6907546270983717E-2</v>
      </c>
    </row>
    <row r="26" spans="1:32" x14ac:dyDescent="0.25">
      <c r="A26">
        <v>25</v>
      </c>
      <c r="B26" t="s">
        <v>227</v>
      </c>
      <c r="C26" t="s">
        <v>136</v>
      </c>
      <c r="D26" t="s">
        <v>226</v>
      </c>
      <c r="E26" s="126">
        <f>'Railway (Catenary)'!B$513</f>
        <v>1.8524423013450197E-2</v>
      </c>
      <c r="F26" s="126">
        <f>'Railway (Catenary)'!C$513</f>
        <v>1.8524423013450197E-2</v>
      </c>
      <c r="G26" s="126">
        <f>'Railway (Catenary)'!D$513</f>
        <v>1.8524423013450197E-2</v>
      </c>
      <c r="H26" s="126">
        <f>'Railway (Catenary)'!E$513</f>
        <v>1.8524423013450197E-2</v>
      </c>
      <c r="I26" s="126">
        <f>'Railway (Catenary)'!F$513</f>
        <v>1.8524423013450197E-2</v>
      </c>
      <c r="J26" s="126">
        <f>'Railway (Catenary)'!G$513</f>
        <v>1.8524423013450197E-2</v>
      </c>
      <c r="K26" s="126">
        <f>'Railway (Catenary)'!H$513</f>
        <v>1.8524423013450197E-2</v>
      </c>
      <c r="L26" s="126">
        <f>'Railway (Catenary)'!I$513</f>
        <v>1.8524423013450197E-2</v>
      </c>
      <c r="M26" s="126">
        <f>'Railway (Catenary)'!J$513</f>
        <v>1.8585067079076967E-2</v>
      </c>
      <c r="N26" s="126">
        <f>'Railway (Catenary)'!K$513</f>
        <v>1.8645711144703737E-2</v>
      </c>
      <c r="O26" s="126">
        <f>'Railway (Catenary)'!L$513</f>
        <v>1.8706355210330504E-2</v>
      </c>
      <c r="P26" s="126">
        <f>'Railway (Catenary)'!M$513</f>
        <v>1.8766999275957274E-2</v>
      </c>
      <c r="Q26" s="126">
        <f>'Railway (Catenary)'!N$513</f>
        <v>1.8827643341584044E-2</v>
      </c>
      <c r="R26" s="126">
        <f>'Railway (Catenary)'!O$513</f>
        <v>1.8794564760333081E-2</v>
      </c>
      <c r="S26" s="126">
        <f>'Railway (Catenary)'!P$513</f>
        <v>1.8761486179082111E-2</v>
      </c>
      <c r="T26" s="126">
        <f>'Railway (Catenary)'!Q$513</f>
        <v>1.8728407597831148E-2</v>
      </c>
      <c r="U26" s="126">
        <f>'Railway (Catenary)'!R$513</f>
        <v>1.8695329016580185E-2</v>
      </c>
      <c r="V26" s="126">
        <f>'Railway (Catenary)'!S$513</f>
        <v>1.8662250435329219E-2</v>
      </c>
      <c r="W26" s="126">
        <f>'Railway (Catenary)'!T$513</f>
        <v>1.8629171854078252E-2</v>
      </c>
      <c r="X26" s="126">
        <f>'Railway (Catenary)'!U$513</f>
        <v>1.859609327282729E-2</v>
      </c>
      <c r="Y26" s="126">
        <f>'Railway (Catenary)'!V$513</f>
        <v>1.8563014691576323E-2</v>
      </c>
      <c r="Z26" s="126">
        <f>'Railway (Catenary)'!W$513</f>
        <v>1.852993611032536E-2</v>
      </c>
      <c r="AA26" s="126">
        <f>'Railway (Catenary)'!X$513</f>
        <v>1.8496857529074394E-2</v>
      </c>
      <c r="AB26" s="126">
        <f>'Railway (Catenary)'!Y$513</f>
        <v>1.8463778947823431E-2</v>
      </c>
      <c r="AC26" s="126">
        <f>'Railway (Catenary)'!Z$513</f>
        <v>1.8430700366572468E-2</v>
      </c>
      <c r="AD26" s="126">
        <f>'Railway (Catenary)'!AA$513</f>
        <v>1.8397621785321498E-2</v>
      </c>
      <c r="AE26" s="126">
        <f>'Railway (Catenary)'!AB$513</f>
        <v>1.8364543204070535E-2</v>
      </c>
      <c r="AF26" s="126">
        <f>'Railway (Catenary)'!AC$513</f>
        <v>1.8331464622819565E-2</v>
      </c>
    </row>
    <row r="27" spans="1:32" x14ac:dyDescent="0.25">
      <c r="A27">
        <v>26</v>
      </c>
      <c r="B27" t="s">
        <v>227</v>
      </c>
      <c r="C27" t="s">
        <v>87</v>
      </c>
      <c r="D27" t="s">
        <v>222</v>
      </c>
      <c r="E27" s="126">
        <f>'Railway (Battery)'!B$85</f>
        <v>1.733080925299478E-2</v>
      </c>
      <c r="F27" s="126">
        <f>'Railway (Battery)'!C$85</f>
        <v>1.7310352749506382E-2</v>
      </c>
      <c r="G27" s="126">
        <f>'Railway (Battery)'!D$85</f>
        <v>1.7281312363546224E-2</v>
      </c>
      <c r="H27" s="126">
        <f>'Railway (Battery)'!E$85</f>
        <v>1.7240276404346045E-2</v>
      </c>
      <c r="I27" s="126">
        <f>'Railway (Battery)'!F$85</f>
        <v>1.7182682087087495E-2</v>
      </c>
      <c r="J27" s="126">
        <f>'Railway (Battery)'!G$85</f>
        <v>1.7102642755878597E-2</v>
      </c>
      <c r="K27" s="126">
        <f>'Railway (Battery)'!H$85</f>
        <v>1.6992982971883966E-2</v>
      </c>
      <c r="L27" s="126">
        <f>'Railway (Battery)'!I$85</f>
        <v>1.6845741332136243E-2</v>
      </c>
      <c r="M27" s="126">
        <f>'Railway (Battery)'!J$85</f>
        <v>1.6697360059426493E-2</v>
      </c>
      <c r="N27" s="126">
        <f>'Railway (Battery)'!K$85</f>
        <v>1.6499410775137627E-2</v>
      </c>
      <c r="O27" s="126">
        <f>'Railway (Battery)'!L$85</f>
        <v>1.6253553678021081E-2</v>
      </c>
      <c r="P27" s="126">
        <f>'Railway (Battery)'!M$85</f>
        <v>1.5970411683245658E-2</v>
      </c>
      <c r="Q27" s="126">
        <f>'Railway (Battery)'!N$85</f>
        <v>1.5669752747350177E-2</v>
      </c>
      <c r="R27" s="126">
        <f>'Railway (Battery)'!O$85</f>
        <v>1.5309103140169622E-2</v>
      </c>
      <c r="S27" s="126">
        <f>'Railway (Battery)'!P$85</f>
        <v>1.4979380264861031E-2</v>
      </c>
      <c r="T27" s="126">
        <f>'Railway (Battery)'!Q$85</f>
        <v>1.46961328982962E-2</v>
      </c>
      <c r="U27" s="126">
        <f>'Railway (Battery)'!R$85</f>
        <v>1.4464932157283242E-2</v>
      </c>
      <c r="V27" s="126">
        <f>'Railway (Battery)'!S$85</f>
        <v>1.4283110630502752E-2</v>
      </c>
      <c r="W27" s="126">
        <f>'Railway (Battery)'!T$85</f>
        <v>1.4143296362620975E-2</v>
      </c>
      <c r="X27" s="126">
        <f>'Railway (Battery)'!U$85</f>
        <v>1.4036638637300956E-2</v>
      </c>
      <c r="Y27" s="126">
        <f>'Railway (Battery)'!V$85</f>
        <v>1.3954829232215828E-2</v>
      </c>
      <c r="Z27" s="126">
        <f>'Railway (Battery)'!W$85</f>
        <v>1.3890987721672203E-2</v>
      </c>
      <c r="AA27" s="126">
        <f>'Railway (Battery)'!X$85</f>
        <v>1.3839824365067713E-2</v>
      </c>
      <c r="AB27" s="126">
        <f>'Railway (Battery)'!Y$85</f>
        <v>1.3797458623386652E-2</v>
      </c>
      <c r="AC27" s="126">
        <f>'Railway (Battery)'!Z$85</f>
        <v>1.3761129000392745E-2</v>
      </c>
      <c r="AD27" s="126">
        <f>'Railway (Battery)'!AA$85</f>
        <v>1.3728909253217401E-2</v>
      </c>
      <c r="AE27" s="126">
        <f>'Railway (Battery)'!AB$85</f>
        <v>1.3699473450737468E-2</v>
      </c>
      <c r="AF27" s="126">
        <f>'Railway (Battery)'!AC$85</f>
        <v>1.3671916904513842E-2</v>
      </c>
    </row>
    <row r="28" spans="1:32" x14ac:dyDescent="0.25">
      <c r="A28">
        <v>27</v>
      </c>
      <c r="B28" t="s">
        <v>227</v>
      </c>
      <c r="C28" t="s">
        <v>87</v>
      </c>
      <c r="D28" t="s">
        <v>223</v>
      </c>
      <c r="E28" s="126">
        <f>'Railway (Battery)'!B$191</f>
        <v>2.5968273679995914E-2</v>
      </c>
      <c r="F28" s="126">
        <f>'Railway (Battery)'!C$191</f>
        <v>2.593839312458121E-2</v>
      </c>
      <c r="G28" s="126">
        <f>'Railway (Battery)'!D$191</f>
        <v>2.5895971938453964E-2</v>
      </c>
      <c r="H28" s="126">
        <f>'Railway (Battery)'!E$191</f>
        <v>2.5836023509259044E-2</v>
      </c>
      <c r="I28" s="126">
        <f>'Railway (Battery)'!F$191</f>
        <v>2.5751876435665517E-2</v>
      </c>
      <c r="J28" s="126">
        <f>'Railway (Battery)'!G$191</f>
        <v>2.5634919154230967E-2</v>
      </c>
      <c r="K28" s="126">
        <f>'Railway (Battery)'!H$191</f>
        <v>2.5474646279400454E-2</v>
      </c>
      <c r="L28" s="126">
        <f>'Railway (Battery)'!I$191</f>
        <v>2.5259386137815573E-2</v>
      </c>
      <c r="M28" s="126">
        <f>'Railway (Battery)'!J$191</f>
        <v>2.5043569768212433E-2</v>
      </c>
      <c r="N28" s="126">
        <f>'Railway (Battery)'!K$191</f>
        <v>2.4755127629695312E-2</v>
      </c>
      <c r="O28" s="126">
        <f>'Railway (Battery)'!L$191</f>
        <v>2.4396386979861233E-2</v>
      </c>
      <c r="P28" s="126">
        <f>'Railway (Battery)'!M$191</f>
        <v>2.3982790832993116E-2</v>
      </c>
      <c r="Q28" s="126">
        <f>'Railway (Battery)'!N$191</f>
        <v>2.3543216160743952E-2</v>
      </c>
      <c r="R28" s="126">
        <f>'Railway (Battery)'!O$191</f>
        <v>2.301361404635642E-2</v>
      </c>
      <c r="S28" s="126">
        <f>'Railway (Battery)'!P$191</f>
        <v>2.2529039958164972E-2</v>
      </c>
      <c r="T28" s="126">
        <f>'Railway (Battery)'!Q$191</f>
        <v>2.2112432409508692E-2</v>
      </c>
      <c r="U28" s="126">
        <f>'Railway (Battery)'!R$191</f>
        <v>2.1772100772396816E-2</v>
      </c>
      <c r="V28" s="126">
        <f>'Railway (Battery)'!S$191</f>
        <v>2.1504231619367167E-2</v>
      </c>
      <c r="W28" s="126">
        <f>'Railway (Battery)'!T$191</f>
        <v>2.1298061879597003E-2</v>
      </c>
      <c r="X28" s="126">
        <f>'Railway (Battery)'!U$191</f>
        <v>2.1140621942879335E-2</v>
      </c>
      <c r="Y28" s="126">
        <f>'Railway (Battery)'!V$191</f>
        <v>2.1019717107869148E-2</v>
      </c>
      <c r="Z28" s="126">
        <f>'Railway (Battery)'!W$191</f>
        <v>2.0925238942223551E-2</v>
      </c>
      <c r="AA28" s="126">
        <f>'Railway (Battery)'!X$191</f>
        <v>2.084941145304834E-2</v>
      </c>
      <c r="AB28" s="126">
        <f>'Railway (Battery)'!Y$191</f>
        <v>2.0786528017647802E-2</v>
      </c>
      <c r="AC28" s="126">
        <f>'Railway (Battery)'!Z$191</f>
        <v>2.0732526603508328E-2</v>
      </c>
      <c r="AD28" s="126">
        <f>'Railway (Battery)'!AA$191</f>
        <v>2.0684573291471178E-2</v>
      </c>
      <c r="AE28" s="126">
        <f>'Railway (Battery)'!AB$191</f>
        <v>2.0640717103109853E-2</v>
      </c>
      <c r="AF28" s="126">
        <f>'Railway (Battery)'!AC$191</f>
        <v>2.0599626753889825E-2</v>
      </c>
    </row>
    <row r="29" spans="1:32" x14ac:dyDescent="0.25">
      <c r="A29">
        <v>28</v>
      </c>
      <c r="B29" t="s">
        <v>227</v>
      </c>
      <c r="C29" t="s">
        <v>87</v>
      </c>
      <c r="D29" t="s">
        <v>224</v>
      </c>
      <c r="E29" s="126">
        <f>'Railway (Battery)'!B$299</f>
        <v>2.4687970144163886E-2</v>
      </c>
      <c r="F29" s="126">
        <f>'Railway (Battery)'!C$299</f>
        <v>2.4658150257554357E-2</v>
      </c>
      <c r="G29" s="126">
        <f>'Railway (Battery)'!D$299</f>
        <v>2.4615815190623752E-2</v>
      </c>
      <c r="H29" s="126">
        <f>'Railway (Battery)'!E$299</f>
        <v>2.4555988439006207E-2</v>
      </c>
      <c r="I29" s="126">
        <f>'Railway (Battery)'!F$299</f>
        <v>2.4472012112348274E-2</v>
      </c>
      <c r="J29" s="126">
        <f>'Railway (Battery)'!G$299</f>
        <v>2.4355292064000778E-2</v>
      </c>
      <c r="K29" s="126">
        <f>'Railway (Battery)'!H$299</f>
        <v>2.419534411125826E-2</v>
      </c>
      <c r="L29" s="126">
        <f>'Railway (Battery)'!I$299</f>
        <v>2.3980520056302738E-2</v>
      </c>
      <c r="M29" s="126">
        <f>'Railway (Battery)'!J$299</f>
        <v>2.3765272746153199E-2</v>
      </c>
      <c r="N29" s="126">
        <f>'Railway (Battery)'!K$299</f>
        <v>2.3477545650632203E-2</v>
      </c>
      <c r="O29" s="126">
        <f>'Railway (Battery)'!L$299</f>
        <v>2.3119660699143972E-2</v>
      </c>
      <c r="P29" s="126">
        <f>'Railway (Battery)'!M$299</f>
        <v>2.2707029101169868E-2</v>
      </c>
      <c r="Q29" s="126">
        <f>'Railway (Battery)'!N$299</f>
        <v>2.2268469201250148E-2</v>
      </c>
      <c r="R29" s="126">
        <f>'Railway (Battery)'!O$299</f>
        <v>2.1739858420950289E-2</v>
      </c>
      <c r="S29" s="126">
        <f>'Railway (Battery)'!P$299</f>
        <v>2.1256183792978365E-2</v>
      </c>
      <c r="T29" s="126">
        <f>'Railway (Battery)'!Q$299</f>
        <v>2.0840338441510967E-2</v>
      </c>
      <c r="U29" s="126">
        <f>'Railway (Battery)'!R$299</f>
        <v>2.0500615725524966E-2</v>
      </c>
      <c r="V29" s="126">
        <f>'Railway (Battery)'!S$299</f>
        <v>2.0233210334321263E-2</v>
      </c>
      <c r="W29" s="126">
        <f>'Railway (Battery)'!T$299</f>
        <v>2.0027381016520622E-2</v>
      </c>
      <c r="X29" s="126">
        <f>'Railway (Battery)'!U$299</f>
        <v>1.9870184227604844E-2</v>
      </c>
      <c r="Y29" s="126">
        <f>'Railway (Battery)'!V$299</f>
        <v>1.974944967972302E-2</v>
      </c>
      <c r="Z29" s="126">
        <f>'Railway (Battery)'!W$299</f>
        <v>1.9655089133499476E-2</v>
      </c>
      <c r="AA29" s="126">
        <f>'Railway (Battery)'!X$299</f>
        <v>1.9579342109169975E-2</v>
      </c>
      <c r="AB29" s="126">
        <f>'Railway (Battery)'!Y$299</f>
        <v>1.9516513359357897E-2</v>
      </c>
      <c r="AC29" s="126">
        <f>'Railway (Battery)'!Z$299</f>
        <v>1.9462548944390402E-2</v>
      </c>
      <c r="AD29" s="126">
        <f>'Railway (Battery)'!AA$299</f>
        <v>1.9414620589317796E-2</v>
      </c>
      <c r="AE29" s="126">
        <f>'Railway (Battery)'!AB$299</f>
        <v>1.9370781200629024E-2</v>
      </c>
      <c r="AF29" s="126">
        <f>'Railway (Battery)'!AC$299</f>
        <v>1.9329702144425247E-2</v>
      </c>
    </row>
    <row r="30" spans="1:32" x14ac:dyDescent="0.25">
      <c r="A30">
        <v>29</v>
      </c>
      <c r="B30" t="s">
        <v>227</v>
      </c>
      <c r="C30" t="s">
        <v>87</v>
      </c>
      <c r="D30" t="s">
        <v>225</v>
      </c>
      <c r="E30" s="126">
        <f>'Railway (Battery)'!B$408</f>
        <v>2.1502702114462001E-2</v>
      </c>
      <c r="F30" s="126">
        <f>'Railway (Battery)'!C$408</f>
        <v>2.1483876947371597E-2</v>
      </c>
      <c r="G30" s="126">
        <f>'Railway (Battery)'!D$408</f>
        <v>2.1457152991067086E-2</v>
      </c>
      <c r="H30" s="126">
        <f>'Railway (Battery)'!E$408</f>
        <v>2.1419391414333189E-2</v>
      </c>
      <c r="I30" s="126">
        <f>'Railway (Battery)'!F$408</f>
        <v>2.1366394926292366E-2</v>
      </c>
      <c r="J30" s="126">
        <f>'Railway (Battery)'!G$408</f>
        <v>2.1292749517544649E-2</v>
      </c>
      <c r="K30" s="126">
        <f>'Railway (Battery)'!H$408</f>
        <v>2.1191857961637306E-2</v>
      </c>
      <c r="L30" s="126">
        <f>'Railway (Battery)'!I$408</f>
        <v>2.1056404243935477E-2</v>
      </c>
      <c r="M30" s="126">
        <f>'Railway (Battery)'!J$408</f>
        <v>2.0918666677397765E-2</v>
      </c>
      <c r="N30" s="126">
        <f>'Railway (Battery)'!K$408</f>
        <v>2.07353712044493E-2</v>
      </c>
      <c r="O30" s="126">
        <f>'Railway (Battery)'!L$408</f>
        <v>2.0508070442159868E-2</v>
      </c>
      <c r="P30" s="126">
        <f>'Railway (Battery)'!M$408</f>
        <v>2.0246558840251564E-2</v>
      </c>
      <c r="Q30" s="126">
        <f>'Railway (Battery)'!N$408</f>
        <v>1.9969027449121338E-2</v>
      </c>
      <c r="R30" s="126">
        <f>'Railway (Battery)'!O$408</f>
        <v>1.9638359056286941E-2</v>
      </c>
      <c r="S30" s="126">
        <f>'Railway (Battery)'!P$408</f>
        <v>1.9336184763466699E-2</v>
      </c>
      <c r="T30" s="126">
        <f>'Railway (Battery)'!Q$408</f>
        <v>1.9076757498978143E-2</v>
      </c>
      <c r="U30" s="126">
        <f>'Railway (Battery)'!R$408</f>
        <v>1.8865162056427177E-2</v>
      </c>
      <c r="V30" s="126">
        <f>'Railway (Battery)'!S$408</f>
        <v>1.8698923764597957E-2</v>
      </c>
      <c r="W30" s="126">
        <f>'Railway (Battery)'!T$408</f>
        <v>1.8571257769043809E-2</v>
      </c>
      <c r="X30" s="126">
        <f>'Railway (Battery)'!U$408</f>
        <v>1.8474029784385844E-2</v>
      </c>
      <c r="Y30" s="126">
        <f>'Railway (Battery)'!V$408</f>
        <v>1.839960897760276E-2</v>
      </c>
      <c r="Z30" s="126">
        <f>'Railway (Battery)'!W$408</f>
        <v>1.8341678187342864E-2</v>
      </c>
      <c r="AA30" s="126">
        <f>'Railway (Battery)'!X$408</f>
        <v>1.8295381809768661E-2</v>
      </c>
      <c r="AB30" s="126">
        <f>'Railway (Battery)'!Y$408</f>
        <v>1.8257158309606739E-2</v>
      </c>
      <c r="AC30" s="126">
        <f>'Railway (Battery)'!Z$408</f>
        <v>1.822447345105712E-2</v>
      </c>
      <c r="AD30" s="126">
        <f>'Railway (Battery)'!AA$408</f>
        <v>1.8195559632301295E-2</v>
      </c>
      <c r="AE30" s="126">
        <f>'Railway (Battery)'!AB$408</f>
        <v>1.8169200180071933E-2</v>
      </c>
      <c r="AF30" s="126">
        <f>'Railway (Battery)'!AC$408</f>
        <v>1.8144564980957366E-2</v>
      </c>
    </row>
    <row r="31" spans="1:32" x14ac:dyDescent="0.25">
      <c r="A31">
        <v>30</v>
      </c>
      <c r="B31" t="s">
        <v>227</v>
      </c>
      <c r="C31" t="s">
        <v>87</v>
      </c>
      <c r="D31" t="s">
        <v>226</v>
      </c>
      <c r="E31" s="126">
        <f>'Railway (Battery)'!B$513</f>
        <v>2.5397503776248789E-2</v>
      </c>
      <c r="F31" s="126">
        <f>'Railway (Battery)'!C$513</f>
        <v>2.5368236930157044E-2</v>
      </c>
      <c r="G31" s="126">
        <f>'Railway (Battery)'!D$513</f>
        <v>2.5326685247445795E-2</v>
      </c>
      <c r="H31" s="126">
        <f>'Railway (Battery)'!E$513</f>
        <v>2.5267962025626426E-2</v>
      </c>
      <c r="I31" s="126">
        <f>'Railway (Battery)'!F$513</f>
        <v>2.5185527710871205E-2</v>
      </c>
      <c r="J31" s="126">
        <f>'Railway (Battery)'!G$513</f>
        <v>2.5070937420385783E-2</v>
      </c>
      <c r="K31" s="126">
        <f>'Railway (Battery)'!H$513</f>
        <v>2.4913882486899699E-2</v>
      </c>
      <c r="L31" s="126">
        <f>'Railway (Battery)'!I$513</f>
        <v>2.4702897640694305E-2</v>
      </c>
      <c r="M31" s="126">
        <f>'Railway (Battery)'!J$513</f>
        <v>2.4492252575286769E-2</v>
      </c>
      <c r="N31" s="126">
        <f>'Railway (Battery)'!K$513</f>
        <v>2.4210298522401783E-2</v>
      </c>
      <c r="O31" s="126">
        <f>'Railway (Battery)'!L$513</f>
        <v>2.3859238467470331E-2</v>
      </c>
      <c r="P31" s="126">
        <f>'Railway (Battery)'!M$513</f>
        <v>2.3454140879343735E-2</v>
      </c>
      <c r="Q31" s="126">
        <f>'Railway (Battery)'!N$513</f>
        <v>2.3023291909204453E-2</v>
      </c>
      <c r="R31" s="126">
        <f>'Railway (Battery)'!O$513</f>
        <v>2.2502365264200665E-2</v>
      </c>
      <c r="S31" s="126">
        <f>'Railway (Battery)'!P$513</f>
        <v>2.202543012936484E-2</v>
      </c>
      <c r="T31" s="126">
        <f>'Railway (Battery)'!Q$513</f>
        <v>2.1615130425203431E-2</v>
      </c>
      <c r="U31" s="126">
        <f>'Railway (Battery)'!R$513</f>
        <v>2.1279738113232204E-2</v>
      </c>
      <c r="V31" s="126">
        <f>'Railway (Battery)'!S$513</f>
        <v>2.1015581941587189E-2</v>
      </c>
      <c r="W31" s="126">
        <f>'Railway (Battery)'!T$513</f>
        <v>2.0812123275565544E-2</v>
      </c>
      <c r="X31" s="126">
        <f>'Railway (Battery)'!U$513</f>
        <v>2.0656626212764755E-2</v>
      </c>
      <c r="Y31" s="126">
        <f>'Railway (Battery)'!V$513</f>
        <v>2.0537100380756703E-2</v>
      </c>
      <c r="Z31" s="126">
        <f>'Railway (Battery)'!W$513</f>
        <v>2.0443599487487085E-2</v>
      </c>
      <c r="AA31" s="126">
        <f>'Railway (Battery)'!X$513</f>
        <v>2.0368468803134681E-2</v>
      </c>
      <c r="AB31" s="126">
        <f>'Railway (Battery)'!Y$513</f>
        <v>2.0306089035269769E-2</v>
      </c>
      <c r="AC31" s="126">
        <f>'Railway (Battery)'!Z$513</f>
        <v>2.0252459516457724E-2</v>
      </c>
      <c r="AD31" s="126">
        <f>'Railway (Battery)'!AA$513</f>
        <v>2.0204788754750347E-2</v>
      </c>
      <c r="AE31" s="126">
        <f>'Railway (Battery)'!AB$513</f>
        <v>2.0161154792252896E-2</v>
      </c>
      <c r="AF31" s="126">
        <f>'Railway (Battery)'!AC$513</f>
        <v>2.0120246053379153E-2</v>
      </c>
    </row>
    <row r="32" spans="1:32" x14ac:dyDescent="0.25">
      <c r="A32">
        <v>31</v>
      </c>
      <c r="B32" t="s">
        <v>227</v>
      </c>
      <c r="C32" t="s">
        <v>103</v>
      </c>
      <c r="D32" t="s">
        <v>222</v>
      </c>
      <c r="E32" s="126">
        <f>'Railway (Hydrogen)'!B$85</f>
        <v>2.2041384862265825E-2</v>
      </c>
      <c r="F32" s="126">
        <f>'Railway (Hydrogen)'!C$85</f>
        <v>2.1828994846337033E-2</v>
      </c>
      <c r="G32" s="126">
        <f>'Railway (Hydrogen)'!D$85</f>
        <v>2.1601689630994451E-2</v>
      </c>
      <c r="H32" s="126">
        <f>'Railway (Hydrogen)'!E$85</f>
        <v>2.1406759800299571E-2</v>
      </c>
      <c r="I32" s="126">
        <f>'Railway (Hydrogen)'!F$85</f>
        <v>2.1183039436081109E-2</v>
      </c>
      <c r="J32" s="126">
        <f>'Railway (Hydrogen)'!G$85</f>
        <v>2.0920398211960293E-2</v>
      </c>
      <c r="K32" s="126">
        <f>'Railway (Hydrogen)'!H$85</f>
        <v>2.0606529179695937E-2</v>
      </c>
      <c r="L32" s="126">
        <f>'Railway (Hydrogen)'!I$85</f>
        <v>2.0227834802383431E-2</v>
      </c>
      <c r="M32" s="126">
        <f>'Railway (Hydrogen)'!J$85</f>
        <v>1.9885940453952304E-2</v>
      </c>
      <c r="N32" s="126">
        <f>'Railway (Hydrogen)'!K$85</f>
        <v>1.9456751621860023E-2</v>
      </c>
      <c r="O32" s="126">
        <f>'Railway (Hydrogen)'!L$85</f>
        <v>1.8942827443098775E-2</v>
      </c>
      <c r="P32" s="126">
        <f>'Railway (Hydrogen)'!M$85</f>
        <v>1.8362459770413571E-2</v>
      </c>
      <c r="Q32" s="126">
        <f>'Railway (Hydrogen)'!N$85</f>
        <v>1.7750178468871752E-2</v>
      </c>
      <c r="R32" s="126">
        <f>'Railway (Hydrogen)'!O$85</f>
        <v>1.7039529428979155E-2</v>
      </c>
      <c r="S32" s="126">
        <f>'Railway (Hydrogen)'!P$85</f>
        <v>1.638566098777924E-2</v>
      </c>
      <c r="T32" s="126">
        <f>'Railway (Hydrogen)'!Q$85</f>
        <v>1.5815809013511345E-2</v>
      </c>
      <c r="U32" s="126">
        <f>'Railway (Hydrogen)'!R$85</f>
        <v>1.5339460345856787E-2</v>
      </c>
      <c r="V32" s="126">
        <f>'Railway (Hydrogen)'!S$85</f>
        <v>1.495148715701535E-2</v>
      </c>
      <c r="W32" s="126">
        <f>'Railway (Hydrogen)'!T$85</f>
        <v>1.4646304566640287E-2</v>
      </c>
      <c r="X32" s="126">
        <f>'Railway (Hydrogen)'!U$85</f>
        <v>1.4400052835032979E-2</v>
      </c>
      <c r="Y32" s="126">
        <f>'Railway (Hydrogen)'!V$85</f>
        <v>1.4197855394316264E-2</v>
      </c>
      <c r="Z32" s="126">
        <f>'Railway (Hydrogen)'!W$85</f>
        <v>1.4027432190797355E-2</v>
      </c>
      <c r="AA32" s="126">
        <f>'Railway (Hydrogen)'!X$85</f>
        <v>1.3879369836166113E-2</v>
      </c>
      <c r="AB32" s="126">
        <f>'Railway (Hydrogen)'!Y$85</f>
        <v>1.3764119638679836E-2</v>
      </c>
      <c r="AC32" s="126">
        <f>'Railway (Hydrogen)'!Z$85</f>
        <v>1.3659435132682085E-2</v>
      </c>
      <c r="AD32" s="126">
        <f>'Railway (Hydrogen)'!AA$85</f>
        <v>1.3561928298669436E-2</v>
      </c>
      <c r="AE32" s="126">
        <f>'Railway (Hydrogen)'!AB$85</f>
        <v>1.3469272288699539E-2</v>
      </c>
      <c r="AF32" s="126">
        <f>'Railway (Hydrogen)'!AC$85</f>
        <v>1.3379883134876433E-2</v>
      </c>
    </row>
    <row r="33" spans="1:32" x14ac:dyDescent="0.25">
      <c r="A33">
        <v>32</v>
      </c>
      <c r="B33" t="s">
        <v>227</v>
      </c>
      <c r="C33" t="s">
        <v>103</v>
      </c>
      <c r="D33" t="s">
        <v>223</v>
      </c>
      <c r="E33" s="126">
        <f>'Railway (Hydrogen)'!B$191</f>
        <v>3.3105868080487003E-2</v>
      </c>
      <c r="F33" s="126">
        <f>'Railway (Hydrogen)'!C$191</f>
        <v>3.2788504566390667E-2</v>
      </c>
      <c r="G33" s="126">
        <f>'Railway (Hydrogen)'!D$191</f>
        <v>3.2448854034334909E-2</v>
      </c>
      <c r="H33" s="126">
        <f>'Railway (Hydrogen)'!E$191</f>
        <v>3.2157580380057914E-2</v>
      </c>
      <c r="I33" s="126">
        <f>'Railway (Hydrogen)'!F$191</f>
        <v>3.1823286507284325E-2</v>
      </c>
      <c r="J33" s="126">
        <f>'Railway (Hydrogen)'!G$191</f>
        <v>3.1430835188567478E-2</v>
      </c>
      <c r="K33" s="126">
        <f>'Railway (Hydrogen)'!H$191</f>
        <v>3.0961836781981243E-2</v>
      </c>
      <c r="L33" s="126">
        <f>'Railway (Hydrogen)'!I$191</f>
        <v>3.0395973185112765E-2</v>
      </c>
      <c r="M33" s="126">
        <f>'Railway (Hydrogen)'!J$191</f>
        <v>2.9885097985102631E-2</v>
      </c>
      <c r="N33" s="126">
        <f>'Railway (Hydrogen)'!K$191</f>
        <v>2.9243783112705937E-2</v>
      </c>
      <c r="O33" s="126">
        <f>'Railway (Hydrogen)'!L$191</f>
        <v>2.8475852555153638E-2</v>
      </c>
      <c r="P33" s="126">
        <f>'Railway (Hydrogen)'!M$191</f>
        <v>2.7608638890397191E-2</v>
      </c>
      <c r="Q33" s="126">
        <f>'Railway (Hydrogen)'!N$191</f>
        <v>2.6693738325871907E-2</v>
      </c>
      <c r="R33" s="126">
        <f>'Railway (Hydrogen)'!O$191</f>
        <v>2.5631851892071227E-2</v>
      </c>
      <c r="S33" s="126">
        <f>'Railway (Hydrogen)'!P$191</f>
        <v>2.4654809796432101E-2</v>
      </c>
      <c r="T33" s="126">
        <f>'Railway (Hydrogen)'!Q$191</f>
        <v>2.3803309200806054E-2</v>
      </c>
      <c r="U33" s="126">
        <f>'Railway (Hydrogen)'!R$191</f>
        <v>2.3091525803451633E-2</v>
      </c>
      <c r="V33" s="126">
        <f>'Railway (Hydrogen)'!S$191</f>
        <v>2.2511797354129615E-2</v>
      </c>
      <c r="W33" s="126">
        <f>'Railway (Hydrogen)'!T$191</f>
        <v>2.205577865240814E-2</v>
      </c>
      <c r="X33" s="126">
        <f>'Railway (Hydrogen)'!U$191</f>
        <v>2.1687817312260202E-2</v>
      </c>
      <c r="Y33" s="126">
        <f>'Railway (Hydrogen)'!V$191</f>
        <v>2.1385684040851369E-2</v>
      </c>
      <c r="Z33" s="126">
        <f>'Railway (Hydrogen)'!W$191</f>
        <v>2.1131029383400571E-2</v>
      </c>
      <c r="AA33" s="126">
        <f>'Railway (Hydrogen)'!X$191</f>
        <v>2.0909787396268267E-2</v>
      </c>
      <c r="AB33" s="126">
        <f>'Railway (Hydrogen)'!Y$191</f>
        <v>2.0737574933669262E-2</v>
      </c>
      <c r="AC33" s="126">
        <f>'Railway (Hydrogen)'!Z$191</f>
        <v>2.0581150242284404E-2</v>
      </c>
      <c r="AD33" s="126">
        <f>'Railway (Hydrogen)'!AA$191</f>
        <v>2.0435450778233152E-2</v>
      </c>
      <c r="AE33" s="126">
        <f>'Railway (Hydrogen)'!AB$191</f>
        <v>2.0296999651905019E-2</v>
      </c>
      <c r="AF33" s="126">
        <f>'Railway (Hydrogen)'!AC$191</f>
        <v>2.0163430021264243E-2</v>
      </c>
    </row>
    <row r="34" spans="1:32" x14ac:dyDescent="0.25">
      <c r="A34">
        <v>33</v>
      </c>
      <c r="B34" t="s">
        <v>227</v>
      </c>
      <c r="C34" t="s">
        <v>103</v>
      </c>
      <c r="D34" t="s">
        <v>224</v>
      </c>
      <c r="E34" s="126">
        <f>'Railway (Hydrogen)'!B$299</f>
        <v>3.1835966511754063E-2</v>
      </c>
      <c r="F34" s="126">
        <f>'Railway (Hydrogen)'!C$299</f>
        <v>3.151860299765772E-2</v>
      </c>
      <c r="G34" s="126">
        <f>'Railway (Hydrogen)'!D$299</f>
        <v>3.117895246560197E-2</v>
      </c>
      <c r="H34" s="126">
        <f>'Railway (Hydrogen)'!E$299</f>
        <v>3.0887678811324967E-2</v>
      </c>
      <c r="I34" s="126">
        <f>'Railway (Hydrogen)'!F$299</f>
        <v>3.0553384938551378E-2</v>
      </c>
      <c r="J34" s="126">
        <f>'Railway (Hydrogen)'!G$299</f>
        <v>3.0160933619834535E-2</v>
      </c>
      <c r="K34" s="126">
        <f>'Railway (Hydrogen)'!H$299</f>
        <v>2.9691935213248297E-2</v>
      </c>
      <c r="L34" s="126">
        <f>'Railway (Hydrogen)'!I$299</f>
        <v>2.9126071616379826E-2</v>
      </c>
      <c r="M34" s="126">
        <f>'Railway (Hydrogen)'!J$299</f>
        <v>2.8615196416369698E-2</v>
      </c>
      <c r="N34" s="126">
        <f>'Railway (Hydrogen)'!K$299</f>
        <v>2.7973881543972998E-2</v>
      </c>
      <c r="O34" s="126">
        <f>'Railway (Hydrogen)'!L$299</f>
        <v>2.7205950986420695E-2</v>
      </c>
      <c r="P34" s="126">
        <f>'Railway (Hydrogen)'!M$299</f>
        <v>2.6338737321664259E-2</v>
      </c>
      <c r="Q34" s="126">
        <f>'Railway (Hydrogen)'!N$299</f>
        <v>2.5423836757138968E-2</v>
      </c>
      <c r="R34" s="126">
        <f>'Railway (Hydrogen)'!O$299</f>
        <v>2.4361950323338287E-2</v>
      </c>
      <c r="S34" s="126">
        <f>'Railway (Hydrogen)'!P$299</f>
        <v>2.3384908227699158E-2</v>
      </c>
      <c r="T34" s="126">
        <f>'Railway (Hydrogen)'!Q$299</f>
        <v>2.2533407632073111E-2</v>
      </c>
      <c r="U34" s="126">
        <f>'Railway (Hydrogen)'!R$299</f>
        <v>2.1821624234718694E-2</v>
      </c>
      <c r="V34" s="126">
        <f>'Railway (Hydrogen)'!S$299</f>
        <v>2.1241895785396675E-2</v>
      </c>
      <c r="W34" s="126">
        <f>'Railway (Hydrogen)'!T$299</f>
        <v>2.0785877083675203E-2</v>
      </c>
      <c r="X34" s="126">
        <f>'Railway (Hydrogen)'!U$299</f>
        <v>2.0417915743527262E-2</v>
      </c>
      <c r="Y34" s="126">
        <f>'Railway (Hydrogen)'!V$299</f>
        <v>2.0115782472118423E-2</v>
      </c>
      <c r="Z34" s="126">
        <f>'Railway (Hydrogen)'!W$299</f>
        <v>1.9861127814667631E-2</v>
      </c>
      <c r="AA34" s="126">
        <f>'Railway (Hydrogen)'!X$299</f>
        <v>1.9639885827535328E-2</v>
      </c>
      <c r="AB34" s="126">
        <f>'Railway (Hydrogen)'!Y$299</f>
        <v>1.9467673364936312E-2</v>
      </c>
      <c r="AC34" s="126">
        <f>'Railway (Hydrogen)'!Z$299</f>
        <v>1.9311248673551468E-2</v>
      </c>
      <c r="AD34" s="126">
        <f>'Railway (Hydrogen)'!AA$299</f>
        <v>1.9165549209500213E-2</v>
      </c>
      <c r="AE34" s="126">
        <f>'Railway (Hydrogen)'!AB$299</f>
        <v>1.902709808317208E-2</v>
      </c>
      <c r="AF34" s="126">
        <f>'Railway (Hydrogen)'!AC$299</f>
        <v>1.8893528452531304E-2</v>
      </c>
    </row>
    <row r="35" spans="1:32" x14ac:dyDescent="0.25">
      <c r="A35">
        <v>34</v>
      </c>
      <c r="B35" t="s">
        <v>227</v>
      </c>
      <c r="C35" t="s">
        <v>103</v>
      </c>
      <c r="D35" t="s">
        <v>225</v>
      </c>
      <c r="E35" s="126">
        <f>'Railway (Hydrogen)'!B$408</f>
        <v>2.5594574169206932E-2</v>
      </c>
      <c r="F35" s="126">
        <f>'Railway (Hydrogen)'!C$408</f>
        <v>2.5405511597315363E-2</v>
      </c>
      <c r="G35" s="126">
        <f>'Railway (Hydrogen)'!D$408</f>
        <v>2.5203172007909048E-2</v>
      </c>
      <c r="H35" s="126">
        <f>'Railway (Hydrogen)'!E$408</f>
        <v>2.5029651915787963E-2</v>
      </c>
      <c r="I35" s="126">
        <f>'Railway (Hydrogen)'!F$408</f>
        <v>2.4830503442359542E-2</v>
      </c>
      <c r="J35" s="126">
        <f>'Railway (Hydrogen)'!G$408</f>
        <v>2.4596708905926721E-2</v>
      </c>
      <c r="K35" s="126">
        <f>'Railway (Hydrogen)'!H$408</f>
        <v>2.4317313067956123E-2</v>
      </c>
      <c r="L35" s="126">
        <f>'Railway (Hydrogen)'!I$408</f>
        <v>2.3980211850544941E-2</v>
      </c>
      <c r="M35" s="126">
        <f>'Railway (Hydrogen)'!J$408</f>
        <v>2.3675868802464712E-2</v>
      </c>
      <c r="N35" s="126">
        <f>'Railway (Hydrogen)'!K$408</f>
        <v>2.3293819090440076E-2</v>
      </c>
      <c r="O35" s="126">
        <f>'Railway (Hydrogen)'!L$408</f>
        <v>2.2836340773632401E-2</v>
      </c>
      <c r="P35" s="126">
        <f>'Railway (Hydrogen)'!M$408</f>
        <v>2.2319716654740793E-2</v>
      </c>
      <c r="Q35" s="126">
        <f>'Railway (Hydrogen)'!N$408</f>
        <v>2.1774684078306409E-2</v>
      </c>
      <c r="R35" s="126">
        <f>'Railway (Hydrogen)'!O$408</f>
        <v>2.1142087792615616E-2</v>
      </c>
      <c r="S35" s="126">
        <f>'Railway (Hydrogen)'!P$408</f>
        <v>2.0560035719068861E-2</v>
      </c>
      <c r="T35" s="126">
        <f>'Railway (Hydrogen)'!Q$408</f>
        <v>2.0052772327324993E-2</v>
      </c>
      <c r="U35" s="126">
        <f>'Railway (Hydrogen)'!R$408</f>
        <v>1.9628742488492633E-2</v>
      </c>
      <c r="V35" s="126">
        <f>'Railway (Hydrogen)'!S$408</f>
        <v>1.9283381579757987E-2</v>
      </c>
      <c r="W35" s="126">
        <f>'Railway (Hydrogen)'!T$408</f>
        <v>1.9011718125237685E-2</v>
      </c>
      <c r="X35" s="126">
        <f>'Railway (Hydrogen)'!U$408</f>
        <v>1.8792512973306072E-2</v>
      </c>
      <c r="Y35" s="126">
        <f>'Railway (Hydrogen)'!V$408</f>
        <v>1.861252349496538E-2</v>
      </c>
      <c r="Z35" s="126">
        <f>'Railway (Hydrogen)'!W$408</f>
        <v>1.8460818392320222E-2</v>
      </c>
      <c r="AA35" s="126">
        <f>'Railway (Hydrogen)'!X$408</f>
        <v>1.8329018178244776E-2</v>
      </c>
      <c r="AB35" s="126">
        <f>'Railway (Hydrogen)'!Y$408</f>
        <v>1.8226426261894663E-2</v>
      </c>
      <c r="AC35" s="126">
        <f>'Railway (Hydrogen)'!Z$408</f>
        <v>1.8133239574871819E-2</v>
      </c>
      <c r="AD35" s="126">
        <f>'Railway (Hydrogen)'!AA$408</f>
        <v>1.8046442214201087E-2</v>
      </c>
      <c r="AE35" s="126">
        <f>'Railway (Hydrogen)'!AB$408</f>
        <v>1.7963962896755239E-2</v>
      </c>
      <c r="AF35" s="126">
        <f>'Railway (Hydrogen)'!AC$408</f>
        <v>1.7884391626669393E-2</v>
      </c>
    </row>
    <row r="36" spans="1:32" x14ac:dyDescent="0.25">
      <c r="A36">
        <v>35</v>
      </c>
      <c r="B36" t="s">
        <v>227</v>
      </c>
      <c r="C36" t="s">
        <v>103</v>
      </c>
      <c r="D36" t="s">
        <v>226</v>
      </c>
      <c r="E36" s="126">
        <f>'Railway (Hydrogen)'!B$513</f>
        <v>3.259174240264022E-2</v>
      </c>
      <c r="F36" s="126">
        <f>'Railway (Hydrogen)'!C$513</f>
        <v>3.22752640405706E-2</v>
      </c>
      <c r="G36" s="126">
        <f>'Railway (Hydrogen)'!D$513</f>
        <v>3.1936560820803331E-2</v>
      </c>
      <c r="H36" s="126">
        <f>'Railway (Hydrogen)'!E$513</f>
        <v>3.1646099551863517E-2</v>
      </c>
      <c r="I36" s="126">
        <f>'Railway (Hydrogen)'!F$513</f>
        <v>3.1312738051230582E-2</v>
      </c>
      <c r="J36" s="126">
        <f>'Railway (Hydrogen)'!G$513</f>
        <v>3.0921381310386485E-2</v>
      </c>
      <c r="K36" s="126">
        <f>'Railway (Hydrogen)'!H$513</f>
        <v>3.0453690977575811E-2</v>
      </c>
      <c r="L36" s="126">
        <f>'Railway (Hydrogen)'!I$513</f>
        <v>2.9889405619185808E-2</v>
      </c>
      <c r="M36" s="126">
        <f>'Railway (Hydrogen)'!J$513</f>
        <v>2.9379955290651447E-2</v>
      </c>
      <c r="N36" s="126">
        <f>'Railway (Hydrogen)'!K$513</f>
        <v>2.8740429096328457E-2</v>
      </c>
      <c r="O36" s="126">
        <f>'Railway (Hydrogen)'!L$513</f>
        <v>2.7974640358043965E-2</v>
      </c>
      <c r="P36" s="126">
        <f>'Railway (Hydrogen)'!M$513</f>
        <v>2.7109845421020403E-2</v>
      </c>
      <c r="Q36" s="126">
        <f>'Railway (Hydrogen)'!N$513</f>
        <v>2.6197496586775868E-2</v>
      </c>
      <c r="R36" s="126">
        <f>'Railway (Hydrogen)'!O$513</f>
        <v>2.5138571838510121E-2</v>
      </c>
      <c r="S36" s="126">
        <f>'Railway (Hydrogen)'!P$513</f>
        <v>2.4164254790813564E-2</v>
      </c>
      <c r="T36" s="126">
        <f>'Railway (Hydrogen)'!Q$513</f>
        <v>2.3315129097923604E-2</v>
      </c>
      <c r="U36" s="126">
        <f>'Railway (Hydrogen)'!R$513</f>
        <v>2.2605330920951378E-2</v>
      </c>
      <c r="V36" s="126">
        <f>'Railway (Hydrogen)'!S$513</f>
        <v>2.2027219380281626E-2</v>
      </c>
      <c r="W36" s="126">
        <f>'Railway (Hydrogen)'!T$513</f>
        <v>2.1572472550908797E-2</v>
      </c>
      <c r="X36" s="126">
        <f>'Railway (Hydrogen)'!U$513</f>
        <v>2.1205537484139853E-2</v>
      </c>
      <c r="Y36" s="126">
        <f>'Railway (Hydrogen)'!V$513</f>
        <v>2.0904246886402203E-2</v>
      </c>
      <c r="Z36" s="126">
        <f>'Railway (Hydrogen)'!W$513</f>
        <v>2.0650302481000374E-2</v>
      </c>
      <c r="AA36" s="126">
        <f>'Railway (Hydrogen)'!X$513</f>
        <v>2.0429677555327892E-2</v>
      </c>
      <c r="AB36" s="126">
        <f>'Railway (Hydrogen)'!Y$513</f>
        <v>2.025794540695381E-2</v>
      </c>
      <c r="AC36" s="126">
        <f>'Railway (Hydrogen)'!Z$513</f>
        <v>2.0101956996447061E-2</v>
      </c>
      <c r="AD36" s="126">
        <f>'Railway (Hydrogen)'!AA$513</f>
        <v>1.9956663899763721E-2</v>
      </c>
      <c r="AE36" s="126">
        <f>'Railway (Hydrogen)'!AB$513</f>
        <v>1.9818598924614371E-2</v>
      </c>
      <c r="AF36" s="126">
        <f>'Railway (Hydrogen)'!AC$513</f>
        <v>1.9685401830273497E-2</v>
      </c>
    </row>
    <row r="37" spans="1:32" x14ac:dyDescent="0.25">
      <c r="A37">
        <v>36</v>
      </c>
      <c r="B37" t="s">
        <v>168</v>
      </c>
      <c r="C37" t="s">
        <v>279</v>
      </c>
      <c r="D37" t="s">
        <v>222</v>
      </c>
      <c r="E37" s="126">
        <f>'Short-sea (MGO)'!B$85</f>
        <v>9.6329818300335598E-3</v>
      </c>
      <c r="F37" s="126">
        <f>'Short-sea (MGO)'!C$85</f>
        <v>9.2303429293741478E-3</v>
      </c>
      <c r="G37" s="126">
        <f>'Short-sea (MGO)'!D$85</f>
        <v>8.8276409691577726E-3</v>
      </c>
      <c r="H37" s="126">
        <f>'Short-sea (MGO)'!E$85</f>
        <v>8.4248662164749522E-3</v>
      </c>
      <c r="I37" s="126">
        <f>'Short-sea (MGO)'!F$85</f>
        <v>8.0220124249604091E-3</v>
      </c>
      <c r="J37" s="126">
        <f>'Short-sea (MGO)'!G$85</f>
        <v>7.6190816848594762E-3</v>
      </c>
      <c r="K37" s="126">
        <f>'Short-sea (MGO)'!H$85</f>
        <v>7.2160927201254874E-3</v>
      </c>
      <c r="L37" s="126">
        <f>'Short-sea (MGO)'!I$85</f>
        <v>6.8130944825055282E-3</v>
      </c>
      <c r="M37" s="126">
        <f>'Short-sea (MGO)'!J$85</f>
        <v>6.7505615046608717E-3</v>
      </c>
      <c r="N37" s="126">
        <f>'Short-sea (MGO)'!K$85</f>
        <v>6.687513817148113E-3</v>
      </c>
      <c r="O37" s="126">
        <f>'Short-sea (MGO)'!L$85</f>
        <v>6.6238001984855579E-3</v>
      </c>
      <c r="P37" s="126">
        <f>'Short-sea (MGO)'!M$85</f>
        <v>6.5592529229094422E-3</v>
      </c>
      <c r="Q37" s="126">
        <f>'Short-sea (MGO)'!N$85</f>
        <v>6.4937121163509172E-3</v>
      </c>
      <c r="R37" s="126">
        <f>'Short-sea (MGO)'!O$85</f>
        <v>6.4270728469293468E-3</v>
      </c>
      <c r="S37" s="126">
        <f>'Short-sea (MGO)'!P$85</f>
        <v>6.3593564982319557E-3</v>
      </c>
      <c r="T37" s="126">
        <f>'Short-sea (MGO)'!Q$85</f>
        <v>6.2907902360815155E-3</v>
      </c>
      <c r="U37" s="126">
        <f>'Short-sea (MGO)'!R$85</f>
        <v>6.2218512589350197E-3</v>
      </c>
      <c r="V37" s="126">
        <f>'Short-sea (MGO)'!S$85</f>
        <v>6.1532195882066229E-3</v>
      </c>
      <c r="W37" s="126">
        <f>'Short-sea (MGO)'!T$85</f>
        <v>6.0856202831816404E-3</v>
      </c>
      <c r="X37" s="126">
        <f>'Short-sea (MGO)'!U$85</f>
        <v>6.0196183970710158E-3</v>
      </c>
      <c r="Y37" s="126">
        <f>'Short-sea (MGO)'!V$85</f>
        <v>5.9554802171725083E-3</v>
      </c>
      <c r="Z37" s="126">
        <f>'Short-sea (MGO)'!W$85</f>
        <v>5.8931672629732625E-3</v>
      </c>
      <c r="AA37" s="126">
        <f>'Short-sea (MGO)'!X$85</f>
        <v>5.832433431939581E-3</v>
      </c>
      <c r="AB37" s="126">
        <f>'Short-sea (MGO)'!Y$85</f>
        <v>5.7729476393109692E-3</v>
      </c>
      <c r="AC37" s="126">
        <f>'Short-sea (MGO)'!Z$85</f>
        <v>5.7143853339199843E-3</v>
      </c>
      <c r="AD37" s="126">
        <f>'Short-sea (MGO)'!AA$85</f>
        <v>5.6564746349533519E-3</v>
      </c>
      <c r="AE37" s="126">
        <f>'Short-sea (MGO)'!AB$85</f>
        <v>5.5990082800811023E-3</v>
      </c>
      <c r="AF37" s="126">
        <f>'Short-sea (MGO)'!AC$85</f>
        <v>5.5418375817325935E-3</v>
      </c>
    </row>
    <row r="38" spans="1:32" x14ac:dyDescent="0.25">
      <c r="A38">
        <v>37</v>
      </c>
      <c r="B38" t="s">
        <v>168</v>
      </c>
      <c r="C38" t="s">
        <v>279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279</v>
      </c>
      <c r="D39" t="s">
        <v>224</v>
      </c>
      <c r="E39" s="126">
        <f>'Short-sea (MGO)'!B$191</f>
        <v>1.2057520951081122E-2</v>
      </c>
      <c r="F39" s="126">
        <f>'Short-sea (MGO)'!C$191</f>
        <v>1.1579972487508333E-2</v>
      </c>
      <c r="G39" s="126">
        <f>'Short-sea (MGO)'!D$191</f>
        <v>1.110234923236798E-2</v>
      </c>
      <c r="H39" s="126">
        <f>'Short-sea (MGO)'!E$191</f>
        <v>1.0624639641976727E-2</v>
      </c>
      <c r="I39" s="126">
        <f>'Short-sea (MGO)'!F$191</f>
        <v>1.0146836307854828E-2</v>
      </c>
      <c r="J39" s="126">
        <f>'Short-sea (MGO)'!G$191</f>
        <v>9.6689417091304648E-3</v>
      </c>
      <c r="K39" s="126">
        <f>'Short-sea (MGO)'!H$191</f>
        <v>9.1909780532831772E-3</v>
      </c>
      <c r="L39" s="126">
        <f>'Short-sea (MGO)'!I$191</f>
        <v>8.7130033993618287E-3</v>
      </c>
      <c r="M39" s="126">
        <f>'Short-sea (MGO)'!J$191</f>
        <v>8.6388363791274694E-3</v>
      </c>
      <c r="N39" s="126">
        <f>'Short-sea (MGO)'!K$191</f>
        <v>8.5640588892867565E-3</v>
      </c>
      <c r="O39" s="126">
        <f>'Short-sea (MGO)'!L$191</f>
        <v>8.4884915741288425E-3</v>
      </c>
      <c r="P39" s="126">
        <f>'Short-sea (MGO)'!M$191</f>
        <v>8.4119355030967055E-3</v>
      </c>
      <c r="Q39" s="126">
        <f>'Short-sea (MGO)'!N$191</f>
        <v>8.3342010581086857E-3</v>
      </c>
      <c r="R39" s="126">
        <f>'Short-sea (MGO)'!O$191</f>
        <v>8.2551637850738005E-3</v>
      </c>
      <c r="S39" s="126">
        <f>'Short-sea (MGO)'!P$191</f>
        <v>8.1748490459210808E-3</v>
      </c>
      <c r="T39" s="126">
        <f>'Short-sea (MGO)'!Q$191</f>
        <v>8.093526269882188E-3</v>
      </c>
      <c r="U39" s="126">
        <f>'Short-sea (MGO)'!R$191</f>
        <v>8.0117614365223903E-3</v>
      </c>
      <c r="V39" s="126">
        <f>'Short-sea (MGO)'!S$191</f>
        <v>7.9303610828677807E-3</v>
      </c>
      <c r="W39" s="126">
        <f>'Short-sea (MGO)'!T$191</f>
        <v>7.8501851629544286E-3</v>
      </c>
      <c r="X39" s="126">
        <f>'Short-sea (MGO)'!U$191</f>
        <v>7.7719038561720605E-3</v>
      </c>
      <c r="Y39" s="126">
        <f>'Short-sea (MGO)'!V$191</f>
        <v>7.6958329916412722E-3</v>
      </c>
      <c r="Z39" s="126">
        <f>'Short-sea (MGO)'!W$191</f>
        <v>7.6219269296840279E-3</v>
      </c>
      <c r="AA39" s="126">
        <f>'Short-sea (MGO)'!X$191</f>
        <v>7.5498937812487309E-3</v>
      </c>
      <c r="AB39" s="126">
        <f>'Short-sea (MGO)'!Y$191</f>
        <v>7.4793408644101434E-3</v>
      </c>
      <c r="AC39" s="126">
        <f>'Short-sea (MGO)'!Z$191</f>
        <v>7.4098832463882769E-3</v>
      </c>
      <c r="AD39" s="126">
        <f>'Short-sea (MGO)'!AA$191</f>
        <v>7.3411984638929693E-3</v>
      </c>
      <c r="AE39" s="126">
        <f>'Short-sea (MGO)'!AB$191</f>
        <v>7.2730406941607668E-3</v>
      </c>
      <c r="AF39" s="126">
        <f>'Short-sea (MGO)'!AC$191</f>
        <v>7.205233586817187E-3</v>
      </c>
    </row>
    <row r="40" spans="1:32" x14ac:dyDescent="0.25">
      <c r="A40">
        <v>39</v>
      </c>
      <c r="B40" t="s">
        <v>168</v>
      </c>
      <c r="C40" t="s">
        <v>279</v>
      </c>
      <c r="D40" t="s">
        <v>225</v>
      </c>
      <c r="E40" s="126">
        <f>'Short-sea (MGO)'!B$299</f>
        <v>1.2594506619149039E-2</v>
      </c>
      <c r="F40" s="126">
        <f>'Short-sea (MGO)'!C$299</f>
        <v>1.206797882597904E-2</v>
      </c>
      <c r="G40" s="126">
        <f>'Short-sea (MGO)'!D$299</f>
        <v>1.1541368570311471E-2</v>
      </c>
      <c r="H40" s="126">
        <f>'Short-sea (MGO)'!E$299</f>
        <v>1.1014663124495476E-2</v>
      </c>
      <c r="I40" s="126">
        <f>'Short-sea (MGO)'!F$299</f>
        <v>1.0487854320207227E-2</v>
      </c>
      <c r="J40" s="126">
        <f>'Short-sea (MGO)'!G$299</f>
        <v>9.9609448908444705E-3</v>
      </c>
      <c r="K40" s="126">
        <f>'Short-sea (MGO)'!H$299</f>
        <v>9.4339593215769443E-3</v>
      </c>
      <c r="L40" s="126">
        <f>'Short-sea (MGO)'!I$299</f>
        <v>8.9069616262277655E-3</v>
      </c>
      <c r="M40" s="126">
        <f>'Short-sea (MGO)'!J$299</f>
        <v>8.8251877321232179E-3</v>
      </c>
      <c r="N40" s="126">
        <f>'Short-sea (MGO)'!K$299</f>
        <v>8.7427407561449927E-3</v>
      </c>
      <c r="O40" s="126">
        <f>'Short-sea (MGO)'!L$299</f>
        <v>8.6594229471247293E-3</v>
      </c>
      <c r="P40" s="126">
        <f>'Short-sea (MGO)'!M$299</f>
        <v>8.5750149713713468E-3</v>
      </c>
      <c r="Q40" s="126">
        <f>'Short-sea (MGO)'!N$299</f>
        <v>8.4893077627948149E-3</v>
      </c>
      <c r="R40" s="126">
        <f>'Short-sea (MGO)'!O$299</f>
        <v>8.4021641027819914E-3</v>
      </c>
      <c r="S40" s="126">
        <f>'Short-sea (MGO)'!P$299</f>
        <v>8.3136119544854042E-3</v>
      </c>
      <c r="T40" s="126">
        <f>'Short-sea (MGO)'!Q$299</f>
        <v>8.2239483809040601E-3</v>
      </c>
      <c r="U40" s="126">
        <f>'Short-sea (MGO)'!R$299</f>
        <v>8.1337974107894093E-3</v>
      </c>
      <c r="V40" s="126">
        <f>'Short-sea (MGO)'!S$299</f>
        <v>8.0440483029138136E-3</v>
      </c>
      <c r="W40" s="126">
        <f>'Short-sea (MGO)'!T$299</f>
        <v>7.9556492117272993E-3</v>
      </c>
      <c r="X40" s="126">
        <f>'Short-sea (MGO)'!U$299</f>
        <v>7.8693390529672516E-3</v>
      </c>
      <c r="Y40" s="126">
        <f>'Short-sea (MGO)'!V$299</f>
        <v>7.7854660484845883E-3</v>
      </c>
      <c r="Z40" s="126">
        <f>'Short-sea (MGO)'!W$299</f>
        <v>7.7039798776086521E-3</v>
      </c>
      <c r="AA40" s="126">
        <f>'Short-sea (MGO)'!X$299</f>
        <v>7.6245587139492218E-3</v>
      </c>
      <c r="AB40" s="126">
        <f>'Short-sea (MGO)'!Y$299</f>
        <v>7.5467696005118053E-3</v>
      </c>
      <c r="AC40" s="126">
        <f>'Short-sea (MGO)'!Z$299</f>
        <v>7.4701881242312867E-3</v>
      </c>
      <c r="AD40" s="126">
        <f>'Short-sea (MGO)'!AA$299</f>
        <v>7.3944587486595367E-3</v>
      </c>
      <c r="AE40" s="126">
        <f>'Short-sea (MGO)'!AB$299</f>
        <v>7.3193104384419805E-3</v>
      </c>
      <c r="AF40" s="126">
        <f>'Short-sea (MGO)'!AC$299</f>
        <v>7.2445487559862371E-3</v>
      </c>
    </row>
    <row r="41" spans="1:32" x14ac:dyDescent="0.25">
      <c r="A41">
        <v>40</v>
      </c>
      <c r="B41" t="s">
        <v>168</v>
      </c>
      <c r="C41" t="s">
        <v>279</v>
      </c>
      <c r="D41" t="s">
        <v>226</v>
      </c>
      <c r="E41" s="126">
        <f>'Short-sea (MGO)'!B$408</f>
        <v>9.6278470383299765E-3</v>
      </c>
      <c r="F41" s="126">
        <f>'Short-sea (MGO)'!C$408</f>
        <v>9.2252081376705663E-3</v>
      </c>
      <c r="G41" s="126">
        <f>'Short-sea (MGO)'!D$408</f>
        <v>8.8225061774541876E-3</v>
      </c>
      <c r="H41" s="126">
        <f>'Short-sea (MGO)'!E$408</f>
        <v>8.4197314247713689E-3</v>
      </c>
      <c r="I41" s="126">
        <f>'Short-sea (MGO)'!F$408</f>
        <v>8.0168776332568241E-3</v>
      </c>
      <c r="J41" s="126">
        <f>'Short-sea (MGO)'!G$408</f>
        <v>7.6139468931558946E-3</v>
      </c>
      <c r="K41" s="126">
        <f>'Short-sea (MGO)'!H$408</f>
        <v>7.2109579284219049E-3</v>
      </c>
      <c r="L41" s="126">
        <f>'Short-sea (MGO)'!I$408</f>
        <v>6.8079596908019449E-3</v>
      </c>
      <c r="M41" s="126">
        <f>'Short-sea (MGO)'!J$408</f>
        <v>6.7454267129572901E-3</v>
      </c>
      <c r="N41" s="126">
        <f>'Short-sea (MGO)'!K$408</f>
        <v>6.6823790254445297E-3</v>
      </c>
      <c r="O41" s="126">
        <f>'Short-sea (MGO)'!L$408</f>
        <v>6.6186654067819746E-3</v>
      </c>
      <c r="P41" s="126">
        <f>'Short-sea (MGO)'!M$408</f>
        <v>6.5541181312058598E-3</v>
      </c>
      <c r="Q41" s="126">
        <f>'Short-sea (MGO)'!N$408</f>
        <v>6.4885773246473348E-3</v>
      </c>
      <c r="R41" s="126">
        <f>'Short-sea (MGO)'!O$408</f>
        <v>6.4219380552257644E-3</v>
      </c>
      <c r="S41" s="126">
        <f>'Short-sea (MGO)'!P$408</f>
        <v>6.3542217065283733E-3</v>
      </c>
      <c r="T41" s="126">
        <f>'Short-sea (MGO)'!Q$408</f>
        <v>6.2856554443779331E-3</v>
      </c>
      <c r="U41" s="126">
        <f>'Short-sea (MGO)'!R$408</f>
        <v>6.2167164672314373E-3</v>
      </c>
      <c r="V41" s="126">
        <f>'Short-sea (MGO)'!S$408</f>
        <v>6.1480847965030404E-3</v>
      </c>
      <c r="W41" s="126">
        <f>'Short-sea (MGO)'!T$408</f>
        <v>6.080485491478058E-3</v>
      </c>
      <c r="X41" s="126">
        <f>'Short-sea (MGO)'!U$408</f>
        <v>6.0144836053674334E-3</v>
      </c>
      <c r="Y41" s="126">
        <f>'Short-sea (MGO)'!V$408</f>
        <v>5.9503454254689267E-3</v>
      </c>
      <c r="Z41" s="126">
        <f>'Short-sea (MGO)'!W$408</f>
        <v>5.8880324712696818E-3</v>
      </c>
      <c r="AA41" s="126">
        <f>'Short-sea (MGO)'!X$408</f>
        <v>5.8272986402359986E-3</v>
      </c>
      <c r="AB41" s="126">
        <f>'Short-sea (MGO)'!Y$408</f>
        <v>5.7678128476073868E-3</v>
      </c>
      <c r="AC41" s="126">
        <f>'Short-sea (MGO)'!Z$408</f>
        <v>5.7092505422164019E-3</v>
      </c>
      <c r="AD41" s="126">
        <f>'Short-sea (MGO)'!AA$408</f>
        <v>5.6513398432497686E-3</v>
      </c>
      <c r="AE41" s="126">
        <f>'Short-sea (MGO)'!AB$408</f>
        <v>5.5938734883775199E-3</v>
      </c>
      <c r="AF41" s="126">
        <f>'Short-sea (MGO)'!AC$408</f>
        <v>5.5367027900290119E-3</v>
      </c>
    </row>
    <row r="42" spans="1:32" x14ac:dyDescent="0.25">
      <c r="A42">
        <v>41</v>
      </c>
      <c r="B42" t="s">
        <v>168</v>
      </c>
      <c r="C42" t="s">
        <v>280</v>
      </c>
      <c r="D42" t="s">
        <v>222</v>
      </c>
      <c r="E42" s="126">
        <f>'Short-sea (HFO)'!B$85</f>
        <v>6.4142656974671992E-3</v>
      </c>
      <c r="F42" s="126">
        <f>'Short-sea (HFO)'!C$85</f>
        <v>6.2338140930852095E-3</v>
      </c>
      <c r="G42" s="126">
        <f>'Short-sea (HFO)'!D$85</f>
        <v>6.0533514305393735E-3</v>
      </c>
      <c r="H42" s="126">
        <f>'Short-sea (HFO)'!E$85</f>
        <v>5.8728807206088656E-3</v>
      </c>
      <c r="I42" s="126">
        <f>'Short-sea (HFO)'!F$85</f>
        <v>5.692409637868559E-3</v>
      </c>
      <c r="J42" s="126">
        <f>'Short-sea (HFO)'!G$85</f>
        <v>5.5119539329444717E-3</v>
      </c>
      <c r="K42" s="126">
        <f>'Short-sea (HFO)'!H$85</f>
        <v>5.3315428102707983E-3</v>
      </c>
      <c r="L42" s="126">
        <f>'Short-sea (HFO)'!I$85</f>
        <v>5.1512271589205533E-3</v>
      </c>
      <c r="M42" s="126">
        <f>'Short-sea (HFO)'!J$85</f>
        <v>5.1236716179551434E-3</v>
      </c>
      <c r="N42" s="126">
        <f>'Short-sea (HFO)'!K$85</f>
        <v>5.096077724557127E-3</v>
      </c>
      <c r="O42" s="126">
        <f>'Short-sea (HFO)'!L$85</f>
        <v>5.0684463020238078E-3</v>
      </c>
      <c r="P42" s="126">
        <f>'Short-sea (HFO)'!M$85</f>
        <v>5.0407860100282875E-3</v>
      </c>
      <c r="Q42" s="126">
        <f>'Short-sea (HFO)'!N$85</f>
        <v>5.0131186047361305E-3</v>
      </c>
      <c r="R42" s="126">
        <f>'Short-sea (HFO)'!O$85</f>
        <v>4.985484907952707E-3</v>
      </c>
      <c r="S42" s="126">
        <f>'Short-sea (HFO)'!P$85</f>
        <v>4.9579489722493585E-3</v>
      </c>
      <c r="T42" s="126">
        <f>'Short-sea (HFO)'!Q$85</f>
        <v>4.9305958366278081E-3</v>
      </c>
      <c r="U42" s="126">
        <f>'Short-sea (HFO)'!R$85</f>
        <v>4.9035180512606909E-3</v>
      </c>
      <c r="V42" s="126">
        <f>'Short-sea (HFO)'!S$85</f>
        <v>4.8767910918961366E-3</v>
      </c>
      <c r="W42" s="126">
        <f>'Short-sea (HFO)'!T$85</f>
        <v>4.8504474393706067E-3</v>
      </c>
      <c r="X42" s="126">
        <f>'Short-sea (HFO)'!U$85</f>
        <v>4.8244648070301707E-3</v>
      </c>
      <c r="Y42" s="126">
        <f>'Short-sea (HFO)'!V$85</f>
        <v>4.798776489092391E-3</v>
      </c>
      <c r="Z42" s="126">
        <f>'Short-sea (HFO)'!W$85</f>
        <v>4.7732962837053576E-3</v>
      </c>
      <c r="AA42" s="126">
        <f>'Short-sea (HFO)'!X$85</f>
        <v>4.7479427237667217E-3</v>
      </c>
      <c r="AB42" s="126">
        <f>'Short-sea (HFO)'!Y$85</f>
        <v>4.7226527793011487E-3</v>
      </c>
      <c r="AC42" s="126">
        <f>'Short-sea (HFO)'!Z$85</f>
        <v>4.6973846754088215E-3</v>
      </c>
      <c r="AD42" s="126">
        <f>'Short-sea (HFO)'!AA$85</f>
        <v>4.672114396236539E-3</v>
      </c>
      <c r="AE42" s="126">
        <f>'Short-sea (HFO)'!AB$85</f>
        <v>4.6468303126383399E-3</v>
      </c>
      <c r="AF42" s="126">
        <f>'Short-sea (HFO)'!AC$85</f>
        <v>4.6215283757355171E-3</v>
      </c>
    </row>
    <row r="43" spans="1:32" x14ac:dyDescent="0.25">
      <c r="A43">
        <v>42</v>
      </c>
      <c r="B43" t="s">
        <v>168</v>
      </c>
      <c r="C43" t="s">
        <v>280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280</v>
      </c>
      <c r="D44" t="s">
        <v>224</v>
      </c>
      <c r="E44" s="126">
        <f>'Short-sea (HFO)'!B$191</f>
        <v>8.2399739101303247E-3</v>
      </c>
      <c r="F44" s="126">
        <f>'Short-sea (HFO)'!C$191</f>
        <v>8.0259499142354071E-3</v>
      </c>
      <c r="G44" s="126">
        <f>'Short-sea (HFO)'!D$191</f>
        <v>7.8119128028438329E-3</v>
      </c>
      <c r="H44" s="126">
        <f>'Short-sea (HFO)'!E$191</f>
        <v>7.5978661468797419E-3</v>
      </c>
      <c r="I44" s="126">
        <f>'Short-sea (HFO)'!F$191</f>
        <v>7.3838190487458891E-3</v>
      </c>
      <c r="J44" s="126">
        <f>'Short-sea (HFO)'!G$191</f>
        <v>7.1697901894173209E-3</v>
      </c>
      <c r="K44" s="126">
        <f>'Short-sea (HFO)'!H$191</f>
        <v>6.9558142067113358E-3</v>
      </c>
      <c r="L44" s="126">
        <f>'Short-sea (HFO)'!I$191</f>
        <v>6.741951457435464E-3</v>
      </c>
      <c r="M44" s="126">
        <f>'Short-sea (HFO)'!J$191</f>
        <v>6.7092693041974193E-3</v>
      </c>
      <c r="N44" s="126">
        <f>'Short-sea (HFO)'!K$191</f>
        <v>6.6765416631904698E-3</v>
      </c>
      <c r="O44" s="126">
        <f>'Short-sea (HFO)'!L$191</f>
        <v>6.6437695108835099E-3</v>
      </c>
      <c r="P44" s="126">
        <f>'Short-sea (HFO)'!M$191</f>
        <v>6.6109631180516146E-3</v>
      </c>
      <c r="Q44" s="126">
        <f>'Short-sea (HFO)'!N$191</f>
        <v>6.5781482885190557E-3</v>
      </c>
      <c r="R44" s="126">
        <f>'Short-sea (HFO)'!O$191</f>
        <v>6.5453734388456943E-3</v>
      </c>
      <c r="S44" s="126">
        <f>'Short-sea (HFO)'!P$191</f>
        <v>6.5127145383603261E-3</v>
      </c>
      <c r="T44" s="126">
        <f>'Short-sea (HFO)'!Q$191</f>
        <v>6.4802724472743014E-3</v>
      </c>
      <c r="U44" s="126">
        <f>'Short-sea (HFO)'!R$191</f>
        <v>6.4481569343970242E-3</v>
      </c>
      <c r="V44" s="126">
        <f>'Short-sea (HFO)'!S$191</f>
        <v>6.4164575174762732E-3</v>
      </c>
      <c r="W44" s="126">
        <f>'Short-sea (HFO)'!T$191</f>
        <v>6.3852127202948302E-3</v>
      </c>
      <c r="X44" s="126">
        <f>'Short-sea (HFO)'!U$191</f>
        <v>6.3543961098445449E-3</v>
      </c>
      <c r="Y44" s="126">
        <f>'Short-sea (HFO)'!V$191</f>
        <v>6.3239285699648526E-3</v>
      </c>
      <c r="Z44" s="126">
        <f>'Short-sea (HFO)'!W$191</f>
        <v>6.2937078612499992E-3</v>
      </c>
      <c r="AA44" s="126">
        <f>'Short-sea (HFO)'!X$191</f>
        <v>6.2636373599274323E-3</v>
      </c>
      <c r="AB44" s="126">
        <f>'Short-sea (HFO)'!Y$191</f>
        <v>6.233642309514776E-3</v>
      </c>
      <c r="AC44" s="126">
        <f>'Short-sea (HFO)'!Z$191</f>
        <v>6.2036731630378279E-3</v>
      </c>
      <c r="AD44" s="126">
        <f>'Short-sea (HFO)'!AA$191</f>
        <v>6.1737014365776804E-3</v>
      </c>
      <c r="AE44" s="126">
        <f>'Short-sea (HFO)'!AB$191</f>
        <v>6.1437133374263285E-3</v>
      </c>
      <c r="AF44" s="126">
        <f>'Short-sea (HFO)'!AC$191</f>
        <v>6.1137040634253043E-3</v>
      </c>
    </row>
    <row r="45" spans="1:32" x14ac:dyDescent="0.25">
      <c r="A45">
        <v>44</v>
      </c>
      <c r="B45" t="s">
        <v>168</v>
      </c>
      <c r="C45" t="s">
        <v>280</v>
      </c>
      <c r="D45" t="s">
        <v>225</v>
      </c>
      <c r="E45" s="126">
        <f>'Short-sea (HFO)'!B$299</f>
        <v>8.3854162919468761E-3</v>
      </c>
      <c r="F45" s="126">
        <f>'Short-sea (HFO)'!C$299</f>
        <v>8.149441116985812E-3</v>
      </c>
      <c r="G45" s="126">
        <f>'Short-sea (HFO)'!D$299</f>
        <v>7.9134514813489487E-3</v>
      </c>
      <c r="H45" s="126">
        <f>'Short-sea (HFO)'!E$299</f>
        <v>7.6774513222090555E-3</v>
      </c>
      <c r="I45" s="126">
        <f>'Short-sea (HFO)'!F$299</f>
        <v>7.4414506755486522E-3</v>
      </c>
      <c r="J45" s="126">
        <f>'Short-sea (HFO)'!G$299</f>
        <v>7.205470138340231E-3</v>
      </c>
      <c r="K45" s="126">
        <f>'Short-sea (HFO)'!H$299</f>
        <v>6.969547900997736E-3</v>
      </c>
      <c r="L45" s="126">
        <f>'Short-sea (HFO)'!I$299</f>
        <v>6.7337505107704929E-3</v>
      </c>
      <c r="M45" s="126">
        <f>'Short-sea (HFO)'!J$299</f>
        <v>6.6977163418157253E-3</v>
      </c>
      <c r="N45" s="126">
        <f>'Short-sea (HFO)'!K$299</f>
        <v>6.6616320196798574E-3</v>
      </c>
      <c r="O45" s="126">
        <f>'Short-sea (HFO)'!L$299</f>
        <v>6.6254986209824396E-3</v>
      </c>
      <c r="P45" s="126">
        <f>'Short-sea (HFO)'!M$299</f>
        <v>6.5893274699113762E-3</v>
      </c>
      <c r="Q45" s="126">
        <f>'Short-sea (HFO)'!N$299</f>
        <v>6.5531470168370166E-3</v>
      </c>
      <c r="R45" s="126">
        <f>'Short-sea (HFO)'!O$299</f>
        <v>6.5170106441202321E-3</v>
      </c>
      <c r="S45" s="126">
        <f>'Short-sea (HFO)'!P$299</f>
        <v>6.4810021128158526E-3</v>
      </c>
      <c r="T45" s="126">
        <f>'Short-sea (HFO)'!Q$299</f>
        <v>6.4452326277722877E-3</v>
      </c>
      <c r="U45" s="126">
        <f>'Short-sea (HFO)'!R$299</f>
        <v>6.4098232161383661E-3</v>
      </c>
      <c r="V45" s="126">
        <f>'Short-sea (HFO)'!S$299</f>
        <v>6.3748725769693336E-3</v>
      </c>
      <c r="W45" s="126">
        <f>'Short-sea (HFO)'!T$299</f>
        <v>6.3404231852051771E-3</v>
      </c>
      <c r="X45" s="126">
        <f>'Short-sea (HFO)'!U$299</f>
        <v>6.3064458967599917E-3</v>
      </c>
      <c r="Y45" s="126">
        <f>'Short-sea (HFO)'!V$299</f>
        <v>6.2728534809952038E-3</v>
      </c>
      <c r="Z45" s="126">
        <f>'Short-sea (HFO)'!W$299</f>
        <v>6.2395332124121593E-3</v>
      </c>
      <c r="AA45" s="126">
        <f>'Short-sea (HFO)'!X$299</f>
        <v>6.206378557107789E-3</v>
      </c>
      <c r="AB45" s="126">
        <f>'Short-sea (HFO)'!Y$299</f>
        <v>6.1733070912681938E-3</v>
      </c>
      <c r="AC45" s="126">
        <f>'Short-sea (HFO)'!Z$299</f>
        <v>6.1402641861782268E-3</v>
      </c>
      <c r="AD45" s="126">
        <f>'Short-sea (HFO)'!AA$299</f>
        <v>6.107218436491397E-3</v>
      </c>
      <c r="AE45" s="126">
        <f>'Short-sea (HFO)'!AB$299</f>
        <v>6.0741546348629834E-3</v>
      </c>
      <c r="AF45" s="126">
        <f>'Short-sea (HFO)'!AC$299</f>
        <v>6.0410674866054441E-3</v>
      </c>
    </row>
    <row r="46" spans="1:32" x14ac:dyDescent="0.25">
      <c r="A46">
        <v>45</v>
      </c>
      <c r="B46" t="s">
        <v>168</v>
      </c>
      <c r="C46" t="s">
        <v>280</v>
      </c>
      <c r="D46" t="s">
        <v>226</v>
      </c>
      <c r="E46" s="126">
        <f>'Short-sea (HFO)'!B$408</f>
        <v>6.4091309057636167E-3</v>
      </c>
      <c r="F46" s="126">
        <f>'Short-sea (HFO)'!C$408</f>
        <v>6.2286793013816271E-3</v>
      </c>
      <c r="G46" s="126">
        <f>'Short-sea (HFO)'!D$408</f>
        <v>6.048216638835791E-3</v>
      </c>
      <c r="H46" s="126">
        <f>'Short-sea (HFO)'!E$408</f>
        <v>5.867745928905284E-3</v>
      </c>
      <c r="I46" s="126">
        <f>'Short-sea (HFO)'!F$408</f>
        <v>5.6872748461649757E-3</v>
      </c>
      <c r="J46" s="126">
        <f>'Short-sea (HFO)'!G$408</f>
        <v>5.5068191412408884E-3</v>
      </c>
      <c r="K46" s="126">
        <f>'Short-sea (HFO)'!H$408</f>
        <v>5.326408018567215E-3</v>
      </c>
      <c r="L46" s="126">
        <f>'Short-sea (HFO)'!I$408</f>
        <v>5.1460923672169709E-3</v>
      </c>
      <c r="M46" s="126">
        <f>'Short-sea (HFO)'!J$408</f>
        <v>5.118536826251561E-3</v>
      </c>
      <c r="N46" s="126">
        <f>'Short-sea (HFO)'!K$408</f>
        <v>5.0909429328535438E-3</v>
      </c>
      <c r="O46" s="126">
        <f>'Short-sea (HFO)'!L$408</f>
        <v>5.0633115103202245E-3</v>
      </c>
      <c r="P46" s="126">
        <f>'Short-sea (HFO)'!M$408</f>
        <v>5.035651218324705E-3</v>
      </c>
      <c r="Q46" s="126">
        <f>'Short-sea (HFO)'!N$408</f>
        <v>5.0079838130325481E-3</v>
      </c>
      <c r="R46" s="126">
        <f>'Short-sea (HFO)'!O$408</f>
        <v>4.9803501162491246E-3</v>
      </c>
      <c r="S46" s="126">
        <f>'Short-sea (HFO)'!P$408</f>
        <v>4.9528141805457761E-3</v>
      </c>
      <c r="T46" s="126">
        <f>'Short-sea (HFO)'!Q$408</f>
        <v>4.9254610449242266E-3</v>
      </c>
      <c r="U46" s="126">
        <f>'Short-sea (HFO)'!R$408</f>
        <v>4.8983832595571094E-3</v>
      </c>
      <c r="V46" s="126">
        <f>'Short-sea (HFO)'!S$408</f>
        <v>4.8716563001925551E-3</v>
      </c>
      <c r="W46" s="126">
        <f>'Short-sea (HFO)'!T$408</f>
        <v>4.8453126476670251E-3</v>
      </c>
      <c r="X46" s="126">
        <f>'Short-sea (HFO)'!U$408</f>
        <v>4.8193300153265882E-3</v>
      </c>
      <c r="Y46" s="126">
        <f>'Short-sea (HFO)'!V$408</f>
        <v>4.7936416973888094E-3</v>
      </c>
      <c r="Z46" s="126">
        <f>'Short-sea (HFO)'!W$408</f>
        <v>4.7681614920017743E-3</v>
      </c>
      <c r="AA46" s="126">
        <f>'Short-sea (HFO)'!X$408</f>
        <v>4.7428079320631401E-3</v>
      </c>
      <c r="AB46" s="126">
        <f>'Short-sea (HFO)'!Y$408</f>
        <v>4.7175179875975672E-3</v>
      </c>
      <c r="AC46" s="126">
        <f>'Short-sea (HFO)'!Z$408</f>
        <v>4.6922498837052382E-3</v>
      </c>
      <c r="AD46" s="126">
        <f>'Short-sea (HFO)'!AA$408</f>
        <v>4.6669796045329566E-3</v>
      </c>
      <c r="AE46" s="126">
        <f>'Short-sea (HFO)'!AB$408</f>
        <v>4.6416955209347584E-3</v>
      </c>
      <c r="AF46" s="126">
        <f>'Short-sea (HFO)'!AC$408</f>
        <v>4.6163935840319338E-3</v>
      </c>
    </row>
    <row r="47" spans="1:32" x14ac:dyDescent="0.25">
      <c r="A47">
        <v>46</v>
      </c>
      <c r="B47" t="s">
        <v>168</v>
      </c>
      <c r="C47" t="s">
        <v>103</v>
      </c>
      <c r="D47" t="s">
        <v>222</v>
      </c>
      <c r="E47" s="126">
        <f>'Short-sea (Hydrogen)'!B$85</f>
        <v>2.4923789525740158E-2</v>
      </c>
      <c r="F47" s="126">
        <f>'Short-sea (Hydrogen)'!C$85</f>
        <v>2.4416083715852424E-2</v>
      </c>
      <c r="G47" s="126">
        <f>'Short-sea (Hydrogen)'!D$85</f>
        <v>2.3906967115697828E-2</v>
      </c>
      <c r="H47" s="126">
        <f>'Short-sea (Hydrogen)'!E$85</f>
        <v>2.3548562090972724E-2</v>
      </c>
      <c r="I47" s="126">
        <f>'Short-sea (Hydrogen)'!F$85</f>
        <v>2.3187284113625063E-2</v>
      </c>
      <c r="J47" s="126">
        <f>'Short-sea (Hydrogen)'!G$85</f>
        <v>2.2821977349752443E-2</v>
      </c>
      <c r="K47" s="126">
        <f>'Short-sea (Hydrogen)'!H$85</f>
        <v>2.2451044304131057E-2</v>
      </c>
      <c r="L47" s="126">
        <f>'Short-sea (Hydrogen)'!I$85</f>
        <v>2.2072301620546561E-2</v>
      </c>
      <c r="M47" s="126">
        <f>'Short-sea (Hydrogen)'!J$85</f>
        <v>2.2018091090346213E-2</v>
      </c>
      <c r="N47" s="126">
        <f>'Short-sea (Hydrogen)'!K$85</f>
        <v>2.1947852501608051E-2</v>
      </c>
      <c r="O47" s="126">
        <f>'Short-sea (Hydrogen)'!L$85</f>
        <v>2.1855907554102088E-2</v>
      </c>
      <c r="P47" s="126">
        <f>'Short-sea (Hydrogen)'!M$85</f>
        <v>2.1735347784127789E-2</v>
      </c>
      <c r="Q47" s="126">
        <f>'Short-sea (Hydrogen)'!N$85</f>
        <v>2.1578529990514954E-2</v>
      </c>
      <c r="R47" s="126">
        <f>'Short-sea (Hydrogen)'!O$85</f>
        <v>2.1037981815482987E-2</v>
      </c>
      <c r="S47" s="126">
        <f>'Short-sea (Hydrogen)'!P$85</f>
        <v>2.0456140000173005E-2</v>
      </c>
      <c r="T47" s="126">
        <f>'Short-sea (Hydrogen)'!Q$85</f>
        <v>1.9836633727021439E-2</v>
      </c>
      <c r="U47" s="126">
        <f>'Short-sea (Hydrogen)'!R$85</f>
        <v>1.9191178924685852E-2</v>
      </c>
      <c r="V47" s="126">
        <f>'Short-sea (Hydrogen)'!S$85</f>
        <v>1.8539099314420805E-2</v>
      </c>
      <c r="W47" s="126">
        <f>'Short-sea (Hydrogen)'!T$85</f>
        <v>1.7927125563217079E-2</v>
      </c>
      <c r="X47" s="126">
        <f>'Short-sea (Hydrogen)'!U$85</f>
        <v>1.7350683006029509E-2</v>
      </c>
      <c r="Y47" s="126">
        <f>'Short-sea (Hydrogen)'!V$85</f>
        <v>1.6821913666525579E-2</v>
      </c>
      <c r="Z47" s="126">
        <f>'Short-sea (Hydrogen)'!W$85</f>
        <v>1.6343730764072611E-2</v>
      </c>
      <c r="AA47" s="126">
        <f>'Short-sea (Hydrogen)'!X$85</f>
        <v>1.5911914678636535E-2</v>
      </c>
      <c r="AB47" s="126">
        <f>'Short-sea (Hydrogen)'!Y$85</f>
        <v>1.5569844571100338E-2</v>
      </c>
      <c r="AC47" s="126">
        <f>'Short-sea (Hydrogen)'!Z$85</f>
        <v>1.5257113301882359E-2</v>
      </c>
      <c r="AD47" s="126">
        <f>'Short-sea (Hydrogen)'!AA$85</f>
        <v>1.4966023619376432E-2</v>
      </c>
      <c r="AE47" s="126">
        <f>'Short-sea (Hydrogen)'!AB$85</f>
        <v>1.4690356690689721E-2</v>
      </c>
      <c r="AF47" s="126">
        <f>'Short-sea (Hydrogen)'!AC$85</f>
        <v>1.4425422774934169E-2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2.9910973319097162E-2</v>
      </c>
      <c r="F49" s="126">
        <f>'Short-sea (Hydrogen)'!C$191</f>
        <v>2.9315496469921227E-2</v>
      </c>
      <c r="G49" s="126">
        <f>'Short-sea (Hydrogen)'!D$191</f>
        <v>2.8718384679899428E-2</v>
      </c>
      <c r="H49" s="126">
        <f>'Short-sea (Hydrogen)'!E$191</f>
        <v>2.829808434851017E-2</v>
      </c>
      <c r="I49" s="126">
        <f>'Short-sea (Hydrogen)'!F$191</f>
        <v>2.7874454497744623E-2</v>
      </c>
      <c r="J49" s="126">
        <f>'Short-sea (Hydrogen)'!G$191</f>
        <v>2.7446155146313565E-2</v>
      </c>
      <c r="K49" s="126">
        <f>'Short-sea (Hydrogen)'!H$191</f>
        <v>2.7011334002958715E-2</v>
      </c>
      <c r="L49" s="126">
        <f>'Short-sea (Hydrogen)'!I$191</f>
        <v>2.6567458991246292E-2</v>
      </c>
      <c r="M49" s="126">
        <f>'Short-sea (Hydrogen)'!J$191</f>
        <v>2.6504432101979364E-2</v>
      </c>
      <c r="N49" s="126">
        <f>'Short-sea (Hydrogen)'!K$191</f>
        <v>2.6422826408124191E-2</v>
      </c>
      <c r="O49" s="126">
        <f>'Short-sea (Hydrogen)'!L$191</f>
        <v>2.6316056131214387E-2</v>
      </c>
      <c r="P49" s="126">
        <f>'Short-sea (Hydrogen)'!M$191</f>
        <v>2.6176105056044334E-2</v>
      </c>
      <c r="Q49" s="126">
        <f>'Short-sea (Hydrogen)'!N$191</f>
        <v>2.5994097666884354E-2</v>
      </c>
      <c r="R49" s="126">
        <f>'Short-sea (Hydrogen)'!O$191</f>
        <v>2.5362343583974711E-2</v>
      </c>
      <c r="S49" s="126">
        <f>'Short-sea (Hydrogen)'!P$191</f>
        <v>2.4682597805428017E-2</v>
      </c>
      <c r="T49" s="126">
        <f>'Short-sea (Hydrogen)'!Q$191</f>
        <v>2.3959015191690601E-2</v>
      </c>
      <c r="U49" s="126">
        <f>'Short-sea (Hydrogen)'!R$191</f>
        <v>2.3205138511366304E-2</v>
      </c>
      <c r="V49" s="126">
        <f>'Short-sea (Hydrogen)'!S$191</f>
        <v>2.2443368044398605E-2</v>
      </c>
      <c r="W49" s="126">
        <f>'Short-sea (Hydrogen)'!T$191</f>
        <v>2.1728297258878836E-2</v>
      </c>
      <c r="X49" s="126">
        <f>'Short-sea (Hydrogen)'!U$191</f>
        <v>2.1054348455654653E-2</v>
      </c>
      <c r="Y49" s="126">
        <f>'Short-sea (Hydrogen)'!V$191</f>
        <v>2.0435696460498705E-2</v>
      </c>
      <c r="Z49" s="126">
        <f>'Short-sea (Hydrogen)'!W$191</f>
        <v>1.9875792067660186E-2</v>
      </c>
      <c r="AA49" s="126">
        <f>'Short-sea (Hydrogen)'!X$191</f>
        <v>1.9369778474017628E-2</v>
      </c>
      <c r="AB49" s="126">
        <f>'Short-sea (Hydrogen)'!Y$191</f>
        <v>1.8968776330358102E-2</v>
      </c>
      <c r="AC49" s="126">
        <f>'Short-sea (Hydrogen)'!Z$191</f>
        <v>1.8601909865228992E-2</v>
      </c>
      <c r="AD49" s="126">
        <f>'Short-sea (Hydrogen)'!AA$191</f>
        <v>1.8260230928546645E-2</v>
      </c>
      <c r="AE49" s="126">
        <f>'Short-sea (Hydrogen)'!AB$191</f>
        <v>1.7936505848952837E-2</v>
      </c>
      <c r="AF49" s="126">
        <f>'Short-sea (Hydrogen)'!AC$191</f>
        <v>1.7625277468725924E-2</v>
      </c>
    </row>
    <row r="50" spans="1:32" x14ac:dyDescent="0.25">
      <c r="A50">
        <v>49</v>
      </c>
      <c r="B50" t="s">
        <v>168</v>
      </c>
      <c r="C50" t="s">
        <v>103</v>
      </c>
      <c r="D50" t="s">
        <v>225</v>
      </c>
      <c r="E50" s="126">
        <f>'Short-sea (Hydrogen)'!B$299</f>
        <v>3.2051015374837219E-2</v>
      </c>
      <c r="F50" s="126">
        <f>'Short-sea (Hydrogen)'!C$299</f>
        <v>3.1398165086876831E-2</v>
      </c>
      <c r="G50" s="126">
        <f>'Short-sea (Hydrogen)'!D$299</f>
        <v>3.0743539906185859E-2</v>
      </c>
      <c r="H50" s="126">
        <f>'Short-sea (Hydrogen)'!E$299</f>
        <v>3.0282800930662816E-2</v>
      </c>
      <c r="I50" s="126">
        <f>'Short-sea (Hydrogen)'!F$299</f>
        <v>2.9818447368746896E-2</v>
      </c>
      <c r="J50" s="126">
        <f>'Short-sea (Hydrogen)'!G$299</f>
        <v>2.9349024516550075E-2</v>
      </c>
      <c r="K50" s="126">
        <f>'Short-sea (Hydrogen)'!H$299</f>
        <v>2.8872521461947485E-2</v>
      </c>
      <c r="L50" s="126">
        <f>'Short-sea (Hydrogen)'!I$299</f>
        <v>2.8386189203195997E-2</v>
      </c>
      <c r="M50" s="126">
        <f>'Short-sea (Hydrogen)'!J$299</f>
        <v>2.8317580410948624E-2</v>
      </c>
      <c r="N50" s="126">
        <f>'Short-sea (Hydrogen)'!K$299</f>
        <v>2.8228798646464177E-2</v>
      </c>
      <c r="O50" s="126">
        <f>'Short-sea (Hydrogen)'!L$299</f>
        <v>2.8112690888630089E-2</v>
      </c>
      <c r="P50" s="126">
        <f>'Short-sea (Hydrogen)'!M$299</f>
        <v>2.7960548382774002E-2</v>
      </c>
      <c r="Q50" s="126">
        <f>'Short-sea (Hydrogen)'!N$299</f>
        <v>2.7762724988122794E-2</v>
      </c>
      <c r="R50" s="126">
        <f>'Short-sea (Hydrogen)'!O$299</f>
        <v>2.7072189546714948E-2</v>
      </c>
      <c r="S50" s="126">
        <f>'Short-sea (Hydrogen)'!P$299</f>
        <v>2.6329501331925895E-2</v>
      </c>
      <c r="T50" s="126">
        <f>'Short-sea (Hydrogen)'!Q$299</f>
        <v>2.553915061458694E-2</v>
      </c>
      <c r="U50" s="126">
        <f>'Short-sea (Hydrogen)'!R$299</f>
        <v>2.47158266671311E-2</v>
      </c>
      <c r="V50" s="126">
        <f>'Short-sea (Hydrogen)'!S$299</f>
        <v>2.3883853367289494E-2</v>
      </c>
      <c r="W50" s="126">
        <f>'Short-sea (Hydrogen)'!T$299</f>
        <v>2.3102855006681904E-2</v>
      </c>
      <c r="X50" s="126">
        <f>'Short-sea (Hydrogen)'!U$299</f>
        <v>2.2366495919640256E-2</v>
      </c>
      <c r="Y50" s="126">
        <f>'Short-sea (Hydrogen)'!V$299</f>
        <v>2.1690212573240886E-2</v>
      </c>
      <c r="Z50" s="126">
        <f>'Short-sea (Hydrogen)'!W$299</f>
        <v>2.1077783682357104E-2</v>
      </c>
      <c r="AA50" s="126">
        <f>'Short-sea (Hydrogen)'!X$299</f>
        <v>2.0523948219300835E-2</v>
      </c>
      <c r="AB50" s="126">
        <f>'Short-sea (Hydrogen)'!Y$299</f>
        <v>2.0084921325401302E-2</v>
      </c>
      <c r="AC50" s="126">
        <f>'Short-sea (Hydrogen)'!Z$299</f>
        <v>1.9683021349668296E-2</v>
      </c>
      <c r="AD50" s="126">
        <f>'Short-sea (Hydrogen)'!AA$299</f>
        <v>1.9308518717720647E-2</v>
      </c>
      <c r="AE50" s="126">
        <f>'Short-sea (Hydrogen)'!AB$299</f>
        <v>1.8953546351367111E-2</v>
      </c>
      <c r="AF50" s="126">
        <f>'Short-sea (Hydrogen)'!AC$299</f>
        <v>1.8612168464710442E-2</v>
      </c>
    </row>
    <row r="51" spans="1:32" x14ac:dyDescent="0.25">
      <c r="A51">
        <v>50</v>
      </c>
      <c r="B51" t="s">
        <v>168</v>
      </c>
      <c r="C51" t="s">
        <v>103</v>
      </c>
      <c r="D51" t="s">
        <v>226</v>
      </c>
      <c r="E51" s="126">
        <f>'Short-sea (Hydrogen)'!B$408</f>
        <v>2.4918266961334933E-2</v>
      </c>
      <c r="F51" s="126">
        <f>'Short-sea (Hydrogen)'!C$408</f>
        <v>2.4410561233353702E-2</v>
      </c>
      <c r="G51" s="126">
        <f>'Short-sea (Hydrogen)'!D$408</f>
        <v>2.3901444750440416E-2</v>
      </c>
      <c r="H51" s="126">
        <f>'Short-sea (Hydrogen)'!E$408</f>
        <v>2.3543039893424933E-2</v>
      </c>
      <c r="I51" s="126">
        <f>'Short-sea (Hydrogen)'!F$408</f>
        <v>2.3181762155746164E-2</v>
      </c>
      <c r="J51" s="126">
        <f>'Short-sea (Hydrogen)'!G$408</f>
        <v>2.2816455733881552E-2</v>
      </c>
      <c r="K51" s="126">
        <f>'Short-sea (Hydrogen)'!H$408</f>
        <v>2.2445523175259358E-2</v>
      </c>
      <c r="L51" s="126">
        <f>'Short-sea (Hydrogen)'!I$408</f>
        <v>2.2066781182933846E-2</v>
      </c>
      <c r="M51" s="126">
        <f>'Short-sea (Hydrogen)'!J$408</f>
        <v>2.2012571629341442E-2</v>
      </c>
      <c r="N51" s="126">
        <f>'Short-sea (Hydrogen)'!K$408</f>
        <v>2.1942334410913266E-2</v>
      </c>
      <c r="O51" s="126">
        <f>'Short-sea (Hydrogen)'!L$408</f>
        <v>2.1850391367026472E-2</v>
      </c>
      <c r="P51" s="126">
        <f>'Short-sea (Hydrogen)'!M$408</f>
        <v>2.1729834203805101E-2</v>
      </c>
      <c r="Q51" s="126">
        <f>'Short-sea (Hydrogen)'!N$408</f>
        <v>2.1573019907867384E-2</v>
      </c>
      <c r="R51" s="126">
        <f>'Short-sea (Hydrogen)'!O$408</f>
        <v>2.1032476295450922E-2</v>
      </c>
      <c r="S51" s="126">
        <f>'Short-sea (Hydrogen)'!P$408</f>
        <v>2.045064021068952E-2</v>
      </c>
      <c r="T51" s="126">
        <f>'Short-sea (Hydrogen)'!Q$408</f>
        <v>1.98311407916264E-2</v>
      </c>
      <c r="U51" s="126">
        <f>'Short-sea (Hydrogen)'!R$408</f>
        <v>1.9185693710422762E-2</v>
      </c>
      <c r="V51" s="126">
        <f>'Short-sea (Hydrogen)'!S$408</f>
        <v>1.8533622217789682E-2</v>
      </c>
      <c r="W51" s="126">
        <f>'Short-sea (Hydrogen)'!T$408</f>
        <v>1.7921656391250589E-2</v>
      </c>
      <c r="X51" s="126">
        <f>'Short-sea (Hydrogen)'!U$408</f>
        <v>1.7345221019616965E-2</v>
      </c>
      <c r="Y51" s="126">
        <f>'Short-sea (Hydrogen)'!V$408</f>
        <v>1.6816457765628845E-2</v>
      </c>
      <c r="Z51" s="126">
        <f>'Short-sea (Hydrogen)'!W$408</f>
        <v>1.6338279722616832E-2</v>
      </c>
      <c r="AA51" s="126">
        <f>'Short-sea (Hydrogen)'!X$408</f>
        <v>1.5906467336826047E-2</v>
      </c>
      <c r="AB51" s="126">
        <f>'Short-sea (Hydrogen)'!Y$408</f>
        <v>1.5564399944244673E-2</v>
      </c>
      <c r="AC51" s="126">
        <f>'Short-sea (Hydrogen)'!Z$408</f>
        <v>1.5251670613805475E-2</v>
      </c>
      <c r="AD51" s="126">
        <f>'Short-sea (Hydrogen)'!AA$408</f>
        <v>1.4960582288918904E-2</v>
      </c>
      <c r="AE51" s="126">
        <f>'Short-sea (Hydrogen)'!AB$408</f>
        <v>1.4684916297863858E-2</v>
      </c>
      <c r="AF51" s="126">
        <f>'Short-sea (Hydrogen)'!AC$408</f>
        <v>1.4419983023509615E-2</v>
      </c>
    </row>
    <row r="52" spans="1:32" x14ac:dyDescent="0.25">
      <c r="A52">
        <v>51</v>
      </c>
      <c r="B52" t="s">
        <v>168</v>
      </c>
      <c r="C52" t="s">
        <v>186</v>
      </c>
      <c r="D52" t="s">
        <v>222</v>
      </c>
      <c r="E52" s="126">
        <f>'Short-sea (Ammonia)'!B$85</f>
        <v>2.2998315569490169E-2</v>
      </c>
      <c r="F52" s="126">
        <f>'Short-sea (Ammonia)'!C$85</f>
        <v>2.2634393024589864E-2</v>
      </c>
      <c r="G52" s="126">
        <f>'Short-sea (Ammonia)'!D$85</f>
        <v>2.2269124946536122E-2</v>
      </c>
      <c r="H52" s="126">
        <f>'Short-sea (Ammonia)'!E$85</f>
        <v>2.2027073534644448E-2</v>
      </c>
      <c r="I52" s="126">
        <f>'Short-sea (Ammonia)'!F$85</f>
        <v>2.1782270453848895E-2</v>
      </c>
      <c r="J52" s="126">
        <f>'Short-sea (Ammonia)'!G$85</f>
        <v>2.1533589484089601E-2</v>
      </c>
      <c r="K52" s="126">
        <f>'Short-sea (Ammonia)'!H$85</f>
        <v>2.1279464879605935E-2</v>
      </c>
      <c r="L52" s="126">
        <f>'Short-sea (Ammonia)'!I$85</f>
        <v>2.1017742929588933E-2</v>
      </c>
      <c r="M52" s="126">
        <f>'Short-sea (Ammonia)'!J$85</f>
        <v>2.1105606201828202E-2</v>
      </c>
      <c r="N52" s="126">
        <f>'Short-sea (Ammonia)'!K$85</f>
        <v>2.1177650656048017E-2</v>
      </c>
      <c r="O52" s="126">
        <f>'Short-sea (Ammonia)'!L$85</f>
        <v>2.1228129308547696E-2</v>
      </c>
      <c r="P52" s="126">
        <f>'Short-sea (Ammonia)'!M$85</f>
        <v>2.1249968711118561E-2</v>
      </c>
      <c r="Q52" s="126">
        <f>'Short-sea (Ammonia)'!N$85</f>
        <v>2.1235210753194091E-2</v>
      </c>
      <c r="R52" s="126">
        <f>'Short-sea (Ammonia)'!O$85</f>
        <v>2.0757534740871265E-2</v>
      </c>
      <c r="S52" s="126">
        <f>'Short-sea (Ammonia)'!P$85</f>
        <v>2.0237962247108485E-2</v>
      </c>
      <c r="T52" s="126">
        <f>'Short-sea (Ammonia)'!Q$85</f>
        <v>1.9679530491505962E-2</v>
      </c>
      <c r="U52" s="126">
        <f>'Short-sea (Ammonia)'!R$85</f>
        <v>1.9093323968095103E-2</v>
      </c>
      <c r="V52" s="126">
        <f>'Short-sea (Ammonia)'!S$85</f>
        <v>1.8498195424155255E-2</v>
      </c>
      <c r="W52" s="126">
        <f>'Short-sea (Ammonia)'!T$85</f>
        <v>1.7938787287965219E-2</v>
      </c>
      <c r="X52" s="126">
        <f>'Short-sea (Ammonia)'!U$85</f>
        <v>1.7412862322402797E-2</v>
      </c>
      <c r="Y52" s="126">
        <f>'Short-sea (Ammonia)'!V$85</f>
        <v>1.6933109923544031E-2</v>
      </c>
      <c r="Z52" s="126">
        <f>'Short-sea (Ammonia)'!W$85</f>
        <v>1.6503049519115902E-2</v>
      </c>
      <c r="AA52" s="126">
        <f>'Short-sea (Ammonia)'!X$85</f>
        <v>1.6118962823123577E-2</v>
      </c>
      <c r="AB52" s="126">
        <f>'Short-sea (Ammonia)'!Y$85</f>
        <v>1.5785437393005246E-2</v>
      </c>
      <c r="AC52" s="126">
        <f>'Short-sea (Ammonia)'!Z$85</f>
        <v>1.5481650037731495E-2</v>
      </c>
      <c r="AD52" s="126">
        <f>'Short-sea (Ammonia)'!AA$85</f>
        <v>1.5199853200703779E-2</v>
      </c>
      <c r="AE52" s="126">
        <f>'Short-sea (Ammonia)'!AB$85</f>
        <v>1.4933761037037892E-2</v>
      </c>
      <c r="AF52" s="126">
        <f>'Short-sea (Ammonia)'!AC$85</f>
        <v>1.467861872983527E-2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2.7704612122780282E-2</v>
      </c>
      <c r="F54" s="126">
        <f>'Short-sea (Ammonia)'!C$191</f>
        <v>2.7276786260452542E-2</v>
      </c>
      <c r="G54" s="126">
        <f>'Short-sea (Ammonia)'!D$191</f>
        <v>2.6847387850271541E-2</v>
      </c>
      <c r="H54" s="126">
        <f>'Short-sea (Ammonia)'!E$191</f>
        <v>2.6562864426850061E-2</v>
      </c>
      <c r="I54" s="126">
        <f>'Short-sea (Ammonia)'!F$191</f>
        <v>2.6275125070392171E-2</v>
      </c>
      <c r="J54" s="126">
        <f>'Short-sea (Ammonia)'!G$191</f>
        <v>2.5982853355860439E-2</v>
      </c>
      <c r="K54" s="126">
        <f>'Short-sea (Ammonia)'!H$191</f>
        <v>2.5684218982168789E-2</v>
      </c>
      <c r="L54" s="126">
        <f>'Short-sea (Ammonia)'!I$191</f>
        <v>2.5376704130295514E-2</v>
      </c>
      <c r="M54" s="126">
        <f>'Short-sea (Ammonia)'!J$191</f>
        <v>2.5480271151020872E-2</v>
      </c>
      <c r="N54" s="126">
        <f>'Short-sea (Ammonia)'!K$191</f>
        <v>2.5565350346154932E-2</v>
      </c>
      <c r="O54" s="126">
        <f>'Short-sea (Ammonia)'!L$191</f>
        <v>2.5625223608772438E-2</v>
      </c>
      <c r="P54" s="126">
        <f>'Short-sea (Ammonia)'!M$191</f>
        <v>2.5651620602087057E-2</v>
      </c>
      <c r="Q54" s="126">
        <f>'Short-sea (Ammonia)'!N$191</f>
        <v>2.5635233595032419E-2</v>
      </c>
      <c r="R54" s="126">
        <f>'Short-sea (Ammonia)'!O$191</f>
        <v>2.5074783237540383E-2</v>
      </c>
      <c r="S54" s="126">
        <f>'Short-sea (Ammonia)'!P$191</f>
        <v>2.446530343935386E-2</v>
      </c>
      <c r="T54" s="126">
        <f>'Short-sea (Ammonia)'!Q$191</f>
        <v>2.3810317647076126E-2</v>
      </c>
      <c r="U54" s="126">
        <f>'Short-sea (Ammonia)'!R$191</f>
        <v>2.3122761313410338E-2</v>
      </c>
      <c r="V54" s="126">
        <f>'Short-sea (Ammonia)'!S$191</f>
        <v>2.2424668389097346E-2</v>
      </c>
      <c r="W54" s="126">
        <f>'Short-sea (Ammonia)'!T$191</f>
        <v>2.1768411470960286E-2</v>
      </c>
      <c r="X54" s="126">
        <f>'Short-sea (Ammonia)'!U$191</f>
        <v>2.1151254240298498E-2</v>
      </c>
      <c r="Y54" s="126">
        <f>'Short-sea (Ammonia)'!V$191</f>
        <v>2.0588078496111439E-2</v>
      </c>
      <c r="Z54" s="126">
        <f>'Short-sea (Ammonia)'!W$191</f>
        <v>2.0083035604313407E-2</v>
      </c>
      <c r="AA54" s="126">
        <f>'Short-sea (Ammonia)'!X$191</f>
        <v>1.9631797839841821E-2</v>
      </c>
      <c r="AB54" s="126">
        <f>'Short-sea (Ammonia)'!Y$191</f>
        <v>1.9239826931317892E-2</v>
      </c>
      <c r="AC54" s="126">
        <f>'Short-sea (Ammonia)'!Z$191</f>
        <v>1.888267749383328E-2</v>
      </c>
      <c r="AD54" s="126">
        <f>'Short-sea (Ammonia)'!AA$191</f>
        <v>1.8551281573668005E-2</v>
      </c>
      <c r="AE54" s="126">
        <f>'Short-sea (Ammonia)'!AB$191</f>
        <v>1.8238279842685313E-2</v>
      </c>
      <c r="AF54" s="126">
        <f>'Short-sea (Ammonia)'!AC$191</f>
        <v>1.7938104362861515E-2</v>
      </c>
    </row>
    <row r="55" spans="1:32" x14ac:dyDescent="0.25">
      <c r="A55">
        <v>54</v>
      </c>
      <c r="B55" t="s">
        <v>168</v>
      </c>
      <c r="C55" t="s">
        <v>186</v>
      </c>
      <c r="D55" t="s">
        <v>225</v>
      </c>
      <c r="E55" s="126">
        <f>'Short-sea (Ammonia)'!B$299</f>
        <v>2.9676751363664457E-2</v>
      </c>
      <c r="F55" s="126">
        <f>'Short-sea (Ammonia)'!C$299</f>
        <v>2.920714989292654E-2</v>
      </c>
      <c r="G55" s="126">
        <f>'Short-sea (Ammonia)'!D$299</f>
        <v>2.873583060407546E-2</v>
      </c>
      <c r="H55" s="126">
        <f>'Short-sea (Ammonia)'!E$299</f>
        <v>2.8423552028754601E-2</v>
      </c>
      <c r="I55" s="126">
        <f>'Short-sea (Ammonia)'!F$299</f>
        <v>2.8107760404359153E-2</v>
      </c>
      <c r="J55" s="126">
        <f>'Short-sea (Ammonia)'!G$299</f>
        <v>2.7787017661645853E-2</v>
      </c>
      <c r="K55" s="126">
        <f>'Short-sea (Ammonia)'!H$299</f>
        <v>2.7459324341886956E-2</v>
      </c>
      <c r="L55" s="126">
        <f>'Short-sea (Ammonia)'!I$299</f>
        <v>2.712192986719128E-2</v>
      </c>
      <c r="M55" s="126">
        <f>'Short-sea (Ammonia)'!J$299</f>
        <v>2.7235852180523733E-2</v>
      </c>
      <c r="N55" s="126">
        <f>'Short-sea (Ammonia)'!K$299</f>
        <v>2.7329576842627164E-2</v>
      </c>
      <c r="O55" s="126">
        <f>'Short-sea (Ammonia)'!L$299</f>
        <v>2.7395763333870924E-2</v>
      </c>
      <c r="P55" s="126">
        <f>'Short-sea (Ammonia)'!M$299</f>
        <v>2.7425374041799809E-2</v>
      </c>
      <c r="Q55" s="126">
        <f>'Short-sea (Ammonia)'!N$299</f>
        <v>2.7408235781535735E-2</v>
      </c>
      <c r="R55" s="126">
        <f>'Short-sea (Ammonia)'!O$299</f>
        <v>2.6794073638392771E-2</v>
      </c>
      <c r="S55" s="126">
        <f>'Short-sea (Ammonia)'!P$299</f>
        <v>2.6126323822633489E-2</v>
      </c>
      <c r="T55" s="126">
        <f>'Short-sea (Ammonia)'!Q$299</f>
        <v>2.5408824173406577E-2</v>
      </c>
      <c r="U55" s="126">
        <f>'Short-sea (Ammonia)'!R$299</f>
        <v>2.4655697756796185E-2</v>
      </c>
      <c r="V55" s="126">
        <f>'Short-sea (Ammonia)'!S$299</f>
        <v>2.3891016404811866E-2</v>
      </c>
      <c r="W55" s="126">
        <f>'Short-sea (Ammonia)'!T$299</f>
        <v>2.317215378628816E-2</v>
      </c>
      <c r="X55" s="126">
        <f>'Short-sea (Ammonia)'!U$299</f>
        <v>2.2495997487190042E-2</v>
      </c>
      <c r="Y55" s="126">
        <f>'Short-sea (Ammonia)'!V$299</f>
        <v>2.1878829544572508E-2</v>
      </c>
      <c r="Z55" s="126">
        <f>'Short-sea (Ammonia)'!W$299</f>
        <v>2.1325202536807752E-2</v>
      </c>
      <c r="AA55" s="126">
        <f>'Short-sea (Ammonia)'!X$299</f>
        <v>2.0830395878233515E-2</v>
      </c>
      <c r="AB55" s="126">
        <f>'Short-sea (Ammonia)'!Y$299</f>
        <v>2.0400458555636852E-2</v>
      </c>
      <c r="AC55" s="126">
        <f>'Short-sea (Ammonia)'!Z$299</f>
        <v>2.0008595690240959E-2</v>
      </c>
      <c r="AD55" s="126">
        <f>'Short-sea (Ammonia)'!AA$299</f>
        <v>1.9644893713110449E-2</v>
      </c>
      <c r="AE55" s="126">
        <f>'Short-sea (Ammonia)'!AB$299</f>
        <v>1.9301306085896919E-2</v>
      </c>
      <c r="AF55" s="126">
        <f>'Short-sea (Ammonia)'!AC$299</f>
        <v>1.897174450614468E-2</v>
      </c>
    </row>
    <row r="56" spans="1:32" x14ac:dyDescent="0.25">
      <c r="A56">
        <v>55</v>
      </c>
      <c r="B56" t="s">
        <v>168</v>
      </c>
      <c r="C56" t="s">
        <v>186</v>
      </c>
      <c r="D56" t="s">
        <v>226</v>
      </c>
      <c r="E56" s="126">
        <f>'Short-sea (Ammonia)'!B$408</f>
        <v>2.2992877245920678E-2</v>
      </c>
      <c r="F56" s="126">
        <f>'Short-sea (Ammonia)'!C$408</f>
        <v>2.2628954740214785E-2</v>
      </c>
      <c r="G56" s="126">
        <f>'Short-sea (Ammonia)'!D$408</f>
        <v>2.2263686718265549E-2</v>
      </c>
      <c r="H56" s="126">
        <f>'Short-sea (Ammonia)'!E$408</f>
        <v>2.2021635386632432E-2</v>
      </c>
      <c r="I56" s="126">
        <f>'Short-sea (Ammonia)'!F$408</f>
        <v>2.1776832420538191E-2</v>
      </c>
      <c r="J56" s="126">
        <f>'Short-sea (Ammonia)'!G$408</f>
        <v>2.1528151614470435E-2</v>
      </c>
      <c r="K56" s="126">
        <f>'Short-sea (Ammonia)'!H$408</f>
        <v>2.1274027243099305E-2</v>
      </c>
      <c r="L56" s="126">
        <f>'Short-sea (Ammonia)'!I$408</f>
        <v>2.1012305624019484E-2</v>
      </c>
      <c r="M56" s="126">
        <f>'Short-sea (Ammonia)'!J$408</f>
        <v>2.1100169363908218E-2</v>
      </c>
      <c r="N56" s="126">
        <f>'Short-sea (Ammonia)'!K$408</f>
        <v>2.1172214474504937E-2</v>
      </c>
      <c r="O56" s="126">
        <f>'Short-sea (Ammonia)'!L$408</f>
        <v>2.1222694039229439E-2</v>
      </c>
      <c r="P56" s="126">
        <f>'Short-sea (Ammonia)'!M$408</f>
        <v>2.1244534691713526E-2</v>
      </c>
      <c r="Q56" s="126">
        <f>'Short-sea (Ammonia)'!N$408</f>
        <v>2.1229778412241357E-2</v>
      </c>
      <c r="R56" s="126">
        <f>'Short-sea (Ammonia)'!O$408</f>
        <v>2.0752104591739928E-2</v>
      </c>
      <c r="S56" s="126">
        <f>'Short-sea (Ammonia)'!P$408</f>
        <v>2.023253485460106E-2</v>
      </c>
      <c r="T56" s="126">
        <f>'Short-sea (Ammonia)'!Q$408</f>
        <v>1.967410640157554E-2</v>
      </c>
      <c r="U56" s="126">
        <f>'Short-sea (Ammonia)'!R$408</f>
        <v>1.9087903605694137E-2</v>
      </c>
      <c r="V56" s="126">
        <f>'Short-sea (Ammonia)'!S$408</f>
        <v>1.8492778988924992E-2</v>
      </c>
      <c r="W56" s="126">
        <f>'Short-sea (Ammonia)'!T$408</f>
        <v>1.7933374694707696E-2</v>
      </c>
      <c r="X56" s="126">
        <f>'Short-sea (Ammonia)'!U$408</f>
        <v>1.7407453219775632E-2</v>
      </c>
      <c r="Y56" s="126">
        <f>'Short-sea (Ammonia)'!V$408</f>
        <v>1.6927703782377852E-2</v>
      </c>
      <c r="Z56" s="126">
        <f>'Short-sea (Ammonia)'!W$408</f>
        <v>1.6497645746193251E-2</v>
      </c>
      <c r="AA56" s="126">
        <f>'Short-sea (Ammonia)'!X$408</f>
        <v>1.6113560855271731E-2</v>
      </c>
      <c r="AB56" s="126">
        <f>'Short-sea (Ammonia)'!Y$408</f>
        <v>1.5780036750920552E-2</v>
      </c>
      <c r="AC56" s="126">
        <f>'Short-sea (Ammonia)'!Z$408</f>
        <v>1.5476250342977905E-2</v>
      </c>
      <c r="AD56" s="126">
        <f>'Short-sea (Ammonia)'!AA$408</f>
        <v>1.5194454169604736E-2</v>
      </c>
      <c r="AE56" s="126">
        <f>'Short-sea (Ammonia)'!AB$408</f>
        <v>1.4928362464427932E-2</v>
      </c>
      <c r="AF56" s="126">
        <f>'Short-sea (Ammonia)'!AC$408</f>
        <v>1.4673220470927728E-2</v>
      </c>
    </row>
    <row r="57" spans="1:32" x14ac:dyDescent="0.25">
      <c r="A57">
        <v>56</v>
      </c>
      <c r="B57" t="s">
        <v>168</v>
      </c>
      <c r="C57" t="s">
        <v>187</v>
      </c>
      <c r="D57" t="s">
        <v>222</v>
      </c>
      <c r="E57" s="126">
        <f>'Short-sea (Methanol)'!B$85</f>
        <v>4.2129683891405201E-2</v>
      </c>
      <c r="F57" s="126">
        <f>'Short-sea (Methanol)'!C$85</f>
        <v>4.0611689626645735E-2</v>
      </c>
      <c r="G57" s="126">
        <f>'Short-sea (Methanol)'!D$85</f>
        <v>3.9092656946201787E-2</v>
      </c>
      <c r="H57" s="126">
        <f>'Short-sea (Methanol)'!E$85</f>
        <v>3.7722627064995927E-2</v>
      </c>
      <c r="I57" s="126">
        <f>'Short-sea (Methanol)'!F$85</f>
        <v>3.6350607101092142E-2</v>
      </c>
      <c r="J57" s="126">
        <f>'Short-sea (Methanol)'!G$85</f>
        <v>3.4975876510663917E-2</v>
      </c>
      <c r="K57" s="126">
        <f>'Short-sea (Methanol)'!H$85</f>
        <v>3.3597476576523962E-2</v>
      </c>
      <c r="L57" s="126">
        <f>'Short-sea (Methanol)'!I$85</f>
        <v>3.2214151545508815E-2</v>
      </c>
      <c r="M57" s="126">
        <f>'Short-sea (Methanol)'!J$85</f>
        <v>3.1536854593077659E-2</v>
      </c>
      <c r="N57" s="126">
        <f>'Short-sea (Methanol)'!K$85</f>
        <v>3.0849387802531499E-2</v>
      </c>
      <c r="O57" s="126">
        <f>'Short-sea (Methanol)'!L$85</f>
        <v>3.0148468469748758E-2</v>
      </c>
      <c r="P57" s="126">
        <f>'Short-sea (Methanol)'!M$85</f>
        <v>2.9430266740142881E-2</v>
      </c>
      <c r="Q57" s="126">
        <f>'Short-sea (Methanol)'!N$85</f>
        <v>2.8690802840276364E-2</v>
      </c>
      <c r="R57" s="126">
        <f>'Short-sea (Methanol)'!O$85</f>
        <v>2.7780428420692425E-2</v>
      </c>
      <c r="S57" s="126">
        <f>'Short-sea (Methanol)'!P$85</f>
        <v>2.6845881787997156E-2</v>
      </c>
      <c r="T57" s="126">
        <f>'Short-sea (Methanol)'!Q$85</f>
        <v>2.5890425466203595E-2</v>
      </c>
      <c r="U57" s="126">
        <f>'Short-sea (Methanol)'!R$85</f>
        <v>2.4922408539528273E-2</v>
      </c>
      <c r="V57" s="126">
        <f>'Short-sea (Methanol)'!S$85</f>
        <v>2.3954708730572722E-2</v>
      </c>
      <c r="W57" s="126">
        <f>'Short-sea (Methanol)'!T$85</f>
        <v>2.3236140868807494E-2</v>
      </c>
      <c r="X57" s="126">
        <f>'Short-sea (Methanol)'!U$85</f>
        <v>2.2541569638306926E-2</v>
      </c>
      <c r="Y57" s="126">
        <f>'Short-sea (Methanol)'!V$85</f>
        <v>2.1878399800555479E-2</v>
      </c>
      <c r="Z57" s="126">
        <f>'Short-sea (Methanol)'!W$85</f>
        <v>2.1248132866068851E-2</v>
      </c>
      <c r="AA57" s="126">
        <f>'Short-sea (Methanol)'!X$85</f>
        <v>2.0647765371884147E-2</v>
      </c>
      <c r="AB57" s="126">
        <f>'Short-sea (Methanol)'!Y$85</f>
        <v>2.0222097306986396E-2</v>
      </c>
      <c r="AC57" s="126">
        <f>'Short-sea (Methanol)'!Z$85</f>
        <v>1.9814768152020018E-2</v>
      </c>
      <c r="AD57" s="126">
        <f>'Short-sea (Methanol)'!AA$85</f>
        <v>1.9420935195158577E-2</v>
      </c>
      <c r="AE57" s="126">
        <f>'Short-sea (Methanol)'!AB$85</f>
        <v>1.90366953960317E-2</v>
      </c>
      <c r="AF57" s="126">
        <f>'Short-sea (Methanol)'!AC$85</f>
        <v>1.86591129127694E-2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5.0400453579734043E-2</v>
      </c>
      <c r="F59" s="126">
        <f>'Short-sea (Methanol)'!C$191</f>
        <v>4.8607823135756102E-2</v>
      </c>
      <c r="G59" s="126">
        <f>'Short-sea (Methanol)'!D$191</f>
        <v>4.6813966405478705E-2</v>
      </c>
      <c r="H59" s="126">
        <f>'Short-sea (Methanol)'!E$191</f>
        <v>4.5196070125351297E-2</v>
      </c>
      <c r="I59" s="126">
        <f>'Short-sea (Methanol)'!F$191</f>
        <v>4.3575823715903114E-2</v>
      </c>
      <c r="J59" s="126">
        <f>'Short-sea (Methanol)'!G$191</f>
        <v>4.1952376272206798E-2</v>
      </c>
      <c r="K59" s="126">
        <f>'Short-sea (Methanol)'!H$191</f>
        <v>4.0324595625546716E-2</v>
      </c>
      <c r="L59" s="126">
        <f>'Short-sea (Methanol)'!I$191</f>
        <v>3.8690998831353671E-2</v>
      </c>
      <c r="M59" s="126">
        <f>'Short-sea (Methanol)'!J$191</f>
        <v>3.7891165021221355E-2</v>
      </c>
      <c r="N59" s="126">
        <f>'Short-sea (Methanol)'!K$191</f>
        <v>3.7079321441461754E-2</v>
      </c>
      <c r="O59" s="126">
        <f>'Short-sea (Methanol)'!L$191</f>
        <v>3.6251591479703207E-2</v>
      </c>
      <c r="P59" s="126">
        <f>'Short-sea (Methanol)'!M$191</f>
        <v>3.5403452382410175E-2</v>
      </c>
      <c r="Q59" s="126">
        <f>'Short-sea (Methanol)'!N$191</f>
        <v>3.4530204353812752E-2</v>
      </c>
      <c r="R59" s="126">
        <f>'Short-sea (Methanol)'!O$191</f>
        <v>3.3455124600317437E-2</v>
      </c>
      <c r="S59" s="126">
        <f>'Short-sea (Methanol)'!P$191</f>
        <v>3.2351499386455332E-2</v>
      </c>
      <c r="T59" s="126">
        <f>'Short-sea (Methanol)'!Q$191</f>
        <v>3.1223181493495625E-2</v>
      </c>
      <c r="U59" s="126">
        <f>'Short-sea (Methanol)'!R$191</f>
        <v>3.0080030525583952E-2</v>
      </c>
      <c r="V59" s="126">
        <f>'Short-sea (Methanol)'!S$191</f>
        <v>2.8937254048467132E-2</v>
      </c>
      <c r="W59" s="126">
        <f>'Short-sea (Methanol)'!T$191</f>
        <v>2.8088682578226044E-2</v>
      </c>
      <c r="X59" s="126">
        <f>'Short-sea (Methanol)'!U$191</f>
        <v>2.7268449220161386E-2</v>
      </c>
      <c r="Y59" s="126">
        <f>'Short-sea (Methanol)'!V$191</f>
        <v>2.6485298408409449E-2</v>
      </c>
      <c r="Z59" s="126">
        <f>'Short-sea (Methanol)'!W$191</f>
        <v>2.5741003307418134E-2</v>
      </c>
      <c r="AA59" s="126">
        <f>'Short-sea (Methanol)'!X$191</f>
        <v>2.5032017066405704E-2</v>
      </c>
      <c r="AB59" s="126">
        <f>'Short-sea (Methanol)'!Y$191</f>
        <v>2.4529336951019498E-2</v>
      </c>
      <c r="AC59" s="126">
        <f>'Short-sea (Methanol)'!Z$191</f>
        <v>2.404831362908472E-2</v>
      </c>
      <c r="AD59" s="126">
        <f>'Short-sea (Methanol)'!AA$191</f>
        <v>2.3583228243255851E-2</v>
      </c>
      <c r="AE59" s="126">
        <f>'Short-sea (Methanol)'!AB$191</f>
        <v>2.3129471613409849E-2</v>
      </c>
      <c r="AF59" s="126">
        <f>'Short-sea (Methanol)'!AC$191</f>
        <v>2.2683576743895276E-2</v>
      </c>
    </row>
    <row r="60" spans="1:32" x14ac:dyDescent="0.25">
      <c r="A60">
        <v>59</v>
      </c>
      <c r="B60" t="s">
        <v>168</v>
      </c>
      <c r="C60" t="s">
        <v>187</v>
      </c>
      <c r="D60" t="s">
        <v>225</v>
      </c>
      <c r="E60" s="126">
        <f>'Short-sea (Methanol)'!B$299</f>
        <v>5.47327667247514E-2</v>
      </c>
      <c r="F60" s="126">
        <f>'Short-sea (Methanol)'!C$299</f>
        <v>5.2760566471284451E-2</v>
      </c>
      <c r="G60" s="126">
        <f>'Short-sea (Methanol)'!D$299</f>
        <v>5.0787017093039039E-2</v>
      </c>
      <c r="H60" s="126">
        <f>'Short-sea (Methanol)'!E$299</f>
        <v>4.9007054321309071E-2</v>
      </c>
      <c r="I60" s="126">
        <f>'Short-sea (Methanol)'!F$299</f>
        <v>4.7224506005158789E-2</v>
      </c>
      <c r="J60" s="126">
        <f>'Short-sea (Methanol)'!G$299</f>
        <v>4.5438436003556418E-2</v>
      </c>
      <c r="K60" s="126">
        <f>'Short-sea (Methanol)'!H$299</f>
        <v>4.3647598737171625E-2</v>
      </c>
      <c r="L60" s="126">
        <f>'Short-sea (Methanol)'!I$299</f>
        <v>4.1850362713208411E-2</v>
      </c>
      <c r="M60" s="126">
        <f>'Short-sea (Methanol)'!J$299</f>
        <v>4.0970408649963805E-2</v>
      </c>
      <c r="N60" s="126">
        <f>'Short-sea (Methanol)'!K$299</f>
        <v>4.0077241784949272E-2</v>
      </c>
      <c r="O60" s="126">
        <f>'Short-sea (Methanol)'!L$299</f>
        <v>3.9166597181168078E-2</v>
      </c>
      <c r="P60" s="126">
        <f>'Short-sea (Methanol)'!M$299</f>
        <v>3.823349903577189E-2</v>
      </c>
      <c r="Q60" s="126">
        <f>'Short-sea (Methanol)'!N$299</f>
        <v>3.7272776769158127E-2</v>
      </c>
      <c r="R60" s="126">
        <f>'Short-sea (Methanol)'!O$299</f>
        <v>3.6090005066566892E-2</v>
      </c>
      <c r="S60" s="126">
        <f>'Short-sea (Methanol)'!P$299</f>
        <v>3.4875828472711097E-2</v>
      </c>
      <c r="T60" s="126">
        <f>'Short-sea (Methanol)'!Q$299</f>
        <v>3.3634485706296596E-2</v>
      </c>
      <c r="U60" s="126">
        <f>'Short-sea (Methanol)'!R$299</f>
        <v>3.2376824019115014E-2</v>
      </c>
      <c r="V60" s="126">
        <f>'Short-sea (Methanol)'!S$299</f>
        <v>3.1119574335892745E-2</v>
      </c>
      <c r="W60" s="126">
        <f>'Short-sea (Methanol)'!T$299</f>
        <v>3.0186000506263591E-2</v>
      </c>
      <c r="X60" s="126">
        <f>'Short-sea (Methanol)'!U$299</f>
        <v>2.9283603449407031E-2</v>
      </c>
      <c r="Y60" s="126">
        <f>'Short-sea (Methanol)'!V$299</f>
        <v>2.8422003539270161E-2</v>
      </c>
      <c r="Z60" s="126">
        <f>'Short-sea (Methanol)'!W$299</f>
        <v>2.7603151560179624E-2</v>
      </c>
      <c r="AA60" s="126">
        <f>'Short-sea (Methanol)'!X$299</f>
        <v>2.6823145369318298E-2</v>
      </c>
      <c r="AB60" s="126">
        <f>'Short-sea (Methanol)'!Y$299</f>
        <v>2.6270111220920409E-2</v>
      </c>
      <c r="AC60" s="126">
        <f>'Short-sea (Methanol)'!Z$299</f>
        <v>2.5740903251352445E-2</v>
      </c>
      <c r="AD60" s="126">
        <f>'Short-sea (Methanol)'!AA$299</f>
        <v>2.5229229738891024E-2</v>
      </c>
      <c r="AE60" s="126">
        <f>'Short-sea (Methanol)'!AB$299</f>
        <v>2.4730019796651754E-2</v>
      </c>
      <c r="AF60" s="126">
        <f>'Short-sea (Methanol)'!AC$299</f>
        <v>2.4239459136126077E-2</v>
      </c>
    </row>
    <row r="61" spans="1:32" x14ac:dyDescent="0.25">
      <c r="A61">
        <v>60</v>
      </c>
      <c r="B61" t="s">
        <v>168</v>
      </c>
      <c r="C61" t="s">
        <v>187</v>
      </c>
      <c r="D61" t="s">
        <v>226</v>
      </c>
      <c r="E61" s="126">
        <f>'Short-sea (Methanol)'!B$408</f>
        <v>4.2124403613936684E-2</v>
      </c>
      <c r="F61" s="126">
        <f>'Short-sea (Methanol)'!C$408</f>
        <v>4.0606409349177218E-2</v>
      </c>
      <c r="G61" s="126">
        <f>'Short-sea (Methanol)'!D$408</f>
        <v>3.9087376668733256E-2</v>
      </c>
      <c r="H61" s="126">
        <f>'Short-sea (Methanol)'!E$408</f>
        <v>3.7717346787527417E-2</v>
      </c>
      <c r="I61" s="126">
        <f>'Short-sea (Methanol)'!F$408</f>
        <v>3.6345326823623625E-2</v>
      </c>
      <c r="J61" s="126">
        <f>'Short-sea (Methanol)'!G$408</f>
        <v>3.49705962331954E-2</v>
      </c>
      <c r="K61" s="126">
        <f>'Short-sea (Methanol)'!H$408</f>
        <v>3.3592196299055445E-2</v>
      </c>
      <c r="L61" s="126">
        <f>'Short-sea (Methanol)'!I$408</f>
        <v>3.2208871268040291E-2</v>
      </c>
      <c r="M61" s="126">
        <f>'Short-sea (Methanol)'!J$408</f>
        <v>3.1531574315609143E-2</v>
      </c>
      <c r="N61" s="126">
        <f>'Short-sea (Methanol)'!K$408</f>
        <v>3.0844107525062982E-2</v>
      </c>
      <c r="O61" s="126">
        <f>'Short-sea (Methanol)'!L$408</f>
        <v>3.0143188192280242E-2</v>
      </c>
      <c r="P61" s="126">
        <f>'Short-sea (Methanol)'!M$408</f>
        <v>2.9424986462674364E-2</v>
      </c>
      <c r="Q61" s="126">
        <f>'Short-sea (Methanol)'!N$408</f>
        <v>2.8685522562807847E-2</v>
      </c>
      <c r="R61" s="126">
        <f>'Short-sea (Methanol)'!O$408</f>
        <v>2.7775148143223904E-2</v>
      </c>
      <c r="S61" s="126">
        <f>'Short-sea (Methanol)'!P$408</f>
        <v>2.6840601510528639E-2</v>
      </c>
      <c r="T61" s="126">
        <f>'Short-sea (Methanol)'!Q$408</f>
        <v>2.5885145188735078E-2</v>
      </c>
      <c r="U61" s="126">
        <f>'Short-sea (Methanol)'!R$408</f>
        <v>2.4917128262059756E-2</v>
      </c>
      <c r="V61" s="126">
        <f>'Short-sea (Methanol)'!S$408</f>
        <v>2.3949428453104209E-2</v>
      </c>
      <c r="W61" s="126">
        <f>'Short-sea (Methanol)'!T$408</f>
        <v>2.323086059133898E-2</v>
      </c>
      <c r="X61" s="126">
        <f>'Short-sea (Methanol)'!U$408</f>
        <v>2.2536289360838409E-2</v>
      </c>
      <c r="Y61" s="126">
        <f>'Short-sea (Methanol)'!V$408</f>
        <v>2.1873119523086963E-2</v>
      </c>
      <c r="Z61" s="126">
        <f>'Short-sea (Methanol)'!W$408</f>
        <v>2.1242852588600328E-2</v>
      </c>
      <c r="AA61" s="126">
        <f>'Short-sea (Methanol)'!X$408</f>
        <v>2.064248509441563E-2</v>
      </c>
      <c r="AB61" s="126">
        <f>'Short-sea (Methanol)'!Y$408</f>
        <v>2.0216817029517883E-2</v>
      </c>
      <c r="AC61" s="126">
        <f>'Short-sea (Methanol)'!Z$408</f>
        <v>1.9809487874551505E-2</v>
      </c>
      <c r="AD61" s="126">
        <f>'Short-sea (Methanol)'!AA$408</f>
        <v>1.941565491769006E-2</v>
      </c>
      <c r="AE61" s="126">
        <f>'Short-sea (Methanol)'!AB$408</f>
        <v>1.9031415118563186E-2</v>
      </c>
      <c r="AF61" s="126">
        <f>'Short-sea (Methanol)'!AC$408</f>
        <v>1.8653832635300887E-2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178" zoomScale="85" zoomScaleNormal="85" zoomScaleSheetLayoutView="50" workbookViewId="0">
      <selection activeCell="B298" sqref="B29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Input'!L77</f>
        <v>105000</v>
      </c>
      <c r="C11" s="42">
        <f>'Parameter Input'!M77</f>
        <v>115000</v>
      </c>
      <c r="D11" s="1" t="s">
        <v>15</v>
      </c>
      <c r="L11" s="51">
        <f>'Parameter Input'!O77</f>
        <v>12</v>
      </c>
      <c r="M11" s="52">
        <v>0</v>
      </c>
      <c r="N11" s="52">
        <v>1</v>
      </c>
      <c r="O11" s="52">
        <f>'Parameter Input'!P77</f>
        <v>0.9</v>
      </c>
      <c r="P11" s="53">
        <f>'Parameter Input'!Q77</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Input'!L78</f>
        <v>-26250</v>
      </c>
      <c r="C12" s="61">
        <f>'Parameter Input'!M78</f>
        <v>-17250</v>
      </c>
      <c r="D12" s="1" t="s">
        <v>15</v>
      </c>
      <c r="L12" s="54">
        <f>'Parameter Input'!O78</f>
        <v>12</v>
      </c>
      <c r="M12" s="37">
        <v>0</v>
      </c>
      <c r="N12" s="37">
        <v>1</v>
      </c>
      <c r="O12" s="37">
        <f>'Parameter Input'!P78</f>
        <v>0.9</v>
      </c>
      <c r="P12" s="55">
        <f>'Parameter Input'!Q78</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Input'!L84</f>
        <v>0.06</v>
      </c>
      <c r="C15" s="46">
        <f>'Parameter Input'!M84</f>
        <v>0.06</v>
      </c>
      <c r="D15" s="1" t="s">
        <v>57</v>
      </c>
      <c r="L15" s="54">
        <f>'Parameter Input'!O84</f>
        <v>12</v>
      </c>
      <c r="M15" s="37">
        <v>0</v>
      </c>
      <c r="N15" s="37">
        <v>1</v>
      </c>
      <c r="O15" s="37">
        <f>'Parameter Input'!P84</f>
        <v>0.9</v>
      </c>
      <c r="P15" s="55">
        <f>'Parameter Input'!Q84</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Input'!L80</f>
        <v>20000</v>
      </c>
      <c r="C17" s="44">
        <f>'Parameter Input'!M80</f>
        <v>20000</v>
      </c>
      <c r="D17" s="1" t="s">
        <v>38</v>
      </c>
      <c r="L17" s="54">
        <f>'Parameter Input'!O80</f>
        <v>12</v>
      </c>
      <c r="M17" s="37">
        <v>0</v>
      </c>
      <c r="N17" s="37">
        <v>1</v>
      </c>
      <c r="O17" s="37">
        <f>'Parameter Input'!P80</f>
        <v>0.9</v>
      </c>
      <c r="P17" s="55">
        <f>'Parameter Input'!Q80</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Input'!L81</f>
        <v>2.9</v>
      </c>
      <c r="C19" s="48">
        <f>'Parameter Input'!M81</f>
        <v>2.4</v>
      </c>
      <c r="D19" s="1" t="s">
        <v>60</v>
      </c>
      <c r="L19" s="54">
        <f>'Parameter Input'!O81</f>
        <v>12</v>
      </c>
      <c r="M19" s="37">
        <v>0</v>
      </c>
      <c r="N19" s="37">
        <v>1</v>
      </c>
      <c r="O19" s="37">
        <f>'Parameter Input'!P81</f>
        <v>0.9</v>
      </c>
      <c r="P19" s="55">
        <f>'Parameter Input'!Q81</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Input'!L82</f>
        <v>0.1</v>
      </c>
      <c r="C20" s="46">
        <f>'Parameter Input'!M82</f>
        <v>0.1</v>
      </c>
      <c r="D20" s="1" t="s">
        <v>68</v>
      </c>
      <c r="L20" s="54">
        <f>'Parameter Input'!O82</f>
        <v>12</v>
      </c>
      <c r="M20" s="37">
        <v>0</v>
      </c>
      <c r="N20" s="37">
        <v>1</v>
      </c>
      <c r="O20" s="37">
        <f>'Parameter Input'!P82</f>
        <v>0.9</v>
      </c>
      <c r="P20" s="55">
        <f>'Parameter Input'!Q82</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Input'!$L$85</f>
        <v>0</v>
      </c>
      <c r="C21" s="46">
        <f>'Parameter Input'!$M$85</f>
        <v>0</v>
      </c>
      <c r="D21" s="1" t="s">
        <v>76</v>
      </c>
      <c r="L21" s="54">
        <f>'Parameter Input'!$O$85</f>
        <v>17</v>
      </c>
      <c r="M21" s="37">
        <v>0</v>
      </c>
      <c r="N21" s="37">
        <v>1</v>
      </c>
      <c r="O21" s="37">
        <f>'Parameter Input'!$P$85</f>
        <v>0.9</v>
      </c>
      <c r="P21" s="55">
        <f>'Parameter Input'!$Q$85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Input'!L79</f>
        <v>8</v>
      </c>
      <c r="C22" s="44">
        <f>'Parameter Input'!M79</f>
        <v>8</v>
      </c>
      <c r="D22" s="1" t="s">
        <v>42</v>
      </c>
      <c r="L22" s="54">
        <f>'Parameter Input'!O79</f>
        <v>12</v>
      </c>
      <c r="M22" s="37">
        <v>0</v>
      </c>
      <c r="N22" s="37">
        <v>1</v>
      </c>
      <c r="O22" s="37">
        <f>'Parameter Input'!P79</f>
        <v>0.9</v>
      </c>
      <c r="P22" s="55">
        <f>'Parameter Input'!Q79</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Input'!L83</f>
        <v>0</v>
      </c>
      <c r="C26" s="73">
        <f>'Parameter Input'!M83</f>
        <v>0</v>
      </c>
      <c r="D26" s="1" t="s">
        <v>57</v>
      </c>
      <c r="L26" s="54">
        <f>'Parameter Input'!O83</f>
        <v>12</v>
      </c>
      <c r="M26" s="37">
        <v>0</v>
      </c>
      <c r="N26" s="37">
        <v>1</v>
      </c>
      <c r="O26" s="37">
        <f>'Parameter Input'!P83</f>
        <v>0.9</v>
      </c>
      <c r="P26" s="55">
        <f>'Parameter Input'!Q83</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'Parameter Input'!J8</f>
        <v>5.7951260504201685E-2</v>
      </c>
      <c r="C40" s="66">
        <f>'Parameter Input'!K8</f>
        <v>5.3954621848739497E-2</v>
      </c>
      <c r="D40" s="66">
        <f>'Parameter Input'!L8</f>
        <v>4.9957983193277315E-2</v>
      </c>
      <c r="E40" s="66">
        <f>'Parameter Input'!M8</f>
        <v>4.5961344537815127E-2</v>
      </c>
      <c r="F40" s="66">
        <f>'Parameter Input'!N8</f>
        <v>4.1964705882352946E-2</v>
      </c>
      <c r="G40" s="66">
        <f>'Parameter Input'!O8</f>
        <v>3.7968067226890764E-2</v>
      </c>
      <c r="H40" s="66">
        <f>'Parameter Input'!P8</f>
        <v>3.3971428571428583E-2</v>
      </c>
      <c r="I40" s="66">
        <f>'Parameter Input'!Q8</f>
        <v>2.9974789915966391E-2</v>
      </c>
      <c r="J40" s="66">
        <f>'Parameter Input'!R8</f>
        <v>2.9368157262905165E-2</v>
      </c>
      <c r="K40" s="66">
        <f>'Parameter Input'!S8</f>
        <v>2.8761524609843939E-2</v>
      </c>
      <c r="L40" s="66">
        <f>'Parameter Input'!T8</f>
        <v>2.8154891956782713E-2</v>
      </c>
      <c r="M40" s="66">
        <f>'Parameter Input'!U8</f>
        <v>2.7548259303721487E-2</v>
      </c>
      <c r="N40" s="66">
        <f>'Parameter Input'!V8</f>
        <v>2.6941626650660268E-2</v>
      </c>
      <c r="O40" s="66">
        <f>'Parameter Input'!W8</f>
        <v>2.6334993997599043E-2</v>
      </c>
      <c r="P40" s="66">
        <f>'Parameter Input'!X8</f>
        <v>2.5728361344537817E-2</v>
      </c>
      <c r="Q40" s="66">
        <f>'Parameter Input'!Y8</f>
        <v>2.5121728691476591E-2</v>
      </c>
      <c r="R40" s="66">
        <f>'Parameter Input'!Z8</f>
        <v>2.4515096038415365E-2</v>
      </c>
      <c r="S40" s="66">
        <f>'Parameter Input'!AA8</f>
        <v>2.3908463385354146E-2</v>
      </c>
      <c r="T40" s="66">
        <f>'Parameter Input'!AB8</f>
        <v>2.330183073229292E-2</v>
      </c>
      <c r="U40" s="66">
        <f>'Parameter Input'!AC8</f>
        <v>2.2695198079231694E-2</v>
      </c>
      <c r="V40" s="66">
        <f>'Parameter Input'!AD8</f>
        <v>2.2088565426170468E-2</v>
      </c>
      <c r="W40" s="66">
        <f>'Parameter Input'!AE8</f>
        <v>2.1481932773109242E-2</v>
      </c>
      <c r="X40" s="66">
        <f>'Parameter Input'!AF8</f>
        <v>2.0875300120048023E-2</v>
      </c>
      <c r="Y40" s="66">
        <f>'Parameter Input'!AG8</f>
        <v>2.0268667466986797E-2</v>
      </c>
      <c r="Z40" s="66">
        <f>'Parameter Input'!AH8</f>
        <v>1.9662034813925571E-2</v>
      </c>
      <c r="AA40" s="66">
        <f>'Parameter Input'!AI8</f>
        <v>1.9055402160864345E-2</v>
      </c>
      <c r="AB40" s="66">
        <f>'Parameter Input'!AJ8</f>
        <v>1.8448769507803119E-2</v>
      </c>
      <c r="AC40" s="66">
        <f>'Parameter Input'!AK8</f>
        <v>1.78421368547419E-2</v>
      </c>
    </row>
    <row r="41" spans="1:29" x14ac:dyDescent="0.25">
      <c r="A41" s="30" t="str">
        <f t="shared" si="5"/>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 t="shared" si="5"/>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 t="shared" si="5"/>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 t="shared" si="5"/>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 t="shared" si="5"/>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2">((1+C35)^C42)*C35/(((1+C35)^C42)-1)*(C31)</f>
        <v>16939.137147822737</v>
      </c>
      <c r="D50" s="63">
        <f t="shared" si="42"/>
        <v>16952.062076917297</v>
      </c>
      <c r="E50" s="63">
        <f t="shared" si="42"/>
        <v>16970.330222186072</v>
      </c>
      <c r="F50" s="63">
        <f t="shared" si="42"/>
        <v>16995.97836855879</v>
      </c>
      <c r="G50" s="63">
        <f t="shared" si="42"/>
        <v>17031.638602582309</v>
      </c>
      <c r="H50" s="63">
        <f t="shared" si="42"/>
        <v>17080.52744937655</v>
      </c>
      <c r="I50" s="63">
        <f t="shared" si="42"/>
        <v>17146.228820750977</v>
      </c>
      <c r="J50" s="63">
        <f t="shared" si="42"/>
        <v>17232.113205708847</v>
      </c>
      <c r="K50" s="63">
        <f t="shared" si="42"/>
        <v>17340.270072218107</v>
      </c>
      <c r="L50" s="63">
        <f t="shared" si="42"/>
        <v>17470.055207385878</v>
      </c>
      <c r="M50" s="63">
        <f t="shared" si="42"/>
        <v>17616.812818916205</v>
      </c>
      <c r="N50" s="63">
        <f t="shared" si="42"/>
        <v>17771.744227277446</v>
      </c>
      <c r="O50" s="63">
        <f t="shared" si="42"/>
        <v>17923.62687531321</v>
      </c>
      <c r="P50" s="63">
        <f t="shared" si="42"/>
        <v>18061.888776104923</v>
      </c>
      <c r="Q50" s="63">
        <f t="shared" si="42"/>
        <v>18179.391702904584</v>
      </c>
      <c r="R50" s="63">
        <f t="shared" si="42"/>
        <v>18273.490503689198</v>
      </c>
      <c r="S50" s="63">
        <f t="shared" si="42"/>
        <v>18345.292065090671</v>
      </c>
      <c r="T50" s="63">
        <f t="shared" si="42"/>
        <v>18398.071971214304</v>
      </c>
      <c r="U50" s="63">
        <f t="shared" si="42"/>
        <v>18435.808840543512</v>
      </c>
      <c r="V50" s="63">
        <f t="shared" si="42"/>
        <v>18462.256812975615</v>
      </c>
      <c r="W50" s="63">
        <f t="shared" si="42"/>
        <v>18480.533987545627</v>
      </c>
      <c r="X50" s="63">
        <f t="shared" si="42"/>
        <v>18493.041968890429</v>
      </c>
      <c r="Y50" s="63">
        <f t="shared" si="42"/>
        <v>18501.544671484124</v>
      </c>
      <c r="Z50" s="63">
        <f t="shared" si="42"/>
        <v>18507.298355716259</v>
      </c>
      <c r="AA50" s="63">
        <f t="shared" si="42"/>
        <v>18511.179797106222</v>
      </c>
      <c r="AB50" s="63">
        <f t="shared" si="42"/>
        <v>18513.792764168582</v>
      </c>
      <c r="AC50" s="63">
        <f t="shared" si="42"/>
        <v>18515.549330276619</v>
      </c>
    </row>
    <row r="51" spans="1:29" x14ac:dyDescent="0.25">
      <c r="A51" s="30" t="str">
        <f>A32</f>
        <v>Residual value (vehicle)</v>
      </c>
      <c r="B51" s="62">
        <f>((1+B35)^B42)*B35/(((1+B35)^B42)-1)*(B32)</f>
        <v>-4208.0593252569806</v>
      </c>
      <c r="C51" s="62">
        <f t="shared" ref="C51:AC51" si="43">((1+C35)^C42)*C35/(((1+C35)^C42)-1)*(C32)</f>
        <v>-4199.866641721108</v>
      </c>
      <c r="D51" s="62">
        <f t="shared" si="43"/>
        <v>-4188.2342055360041</v>
      </c>
      <c r="E51" s="62">
        <f t="shared" si="43"/>
        <v>-4171.7928747941069</v>
      </c>
      <c r="F51" s="62">
        <f t="shared" si="43"/>
        <v>-4148.7095430586614</v>
      </c>
      <c r="G51" s="62">
        <f t="shared" si="43"/>
        <v>-4116.6153324374927</v>
      </c>
      <c r="H51" s="62">
        <f t="shared" si="43"/>
        <v>-4072.6153703226773</v>
      </c>
      <c r="I51" s="62">
        <f t="shared" si="43"/>
        <v>-4013.4841360856908</v>
      </c>
      <c r="J51" s="62">
        <f t="shared" si="43"/>
        <v>-3936.1881896236077</v>
      </c>
      <c r="K51" s="62">
        <f t="shared" si="43"/>
        <v>-3838.8470097652757</v>
      </c>
      <c r="L51" s="62">
        <f t="shared" si="43"/>
        <v>-3722.0403881142815</v>
      </c>
      <c r="M51" s="62">
        <f t="shared" si="43"/>
        <v>-3589.9585377369858</v>
      </c>
      <c r="N51" s="62">
        <f t="shared" si="43"/>
        <v>-3450.5202702118704</v>
      </c>
      <c r="O51" s="62">
        <f t="shared" si="43"/>
        <v>-3313.8258869796846</v>
      </c>
      <c r="P51" s="62">
        <f t="shared" si="43"/>
        <v>-3189.3901762671421</v>
      </c>
      <c r="Q51" s="62">
        <f t="shared" si="43"/>
        <v>-3083.6375421474468</v>
      </c>
      <c r="R51" s="62">
        <f t="shared" si="43"/>
        <v>-2998.9486214412941</v>
      </c>
      <c r="S51" s="62">
        <f t="shared" si="43"/>
        <v>-2934.3272161799682</v>
      </c>
      <c r="T51" s="62">
        <f t="shared" si="43"/>
        <v>-2886.8253006686996</v>
      </c>
      <c r="U51" s="62">
        <f t="shared" si="43"/>
        <v>-2852.8621182724105</v>
      </c>
      <c r="V51" s="62">
        <f t="shared" si="43"/>
        <v>-2829.0589430835184</v>
      </c>
      <c r="W51" s="62">
        <f t="shared" si="43"/>
        <v>-2812.6094859705067</v>
      </c>
      <c r="X51" s="62">
        <f t="shared" si="43"/>
        <v>-2801.3523027601836</v>
      </c>
      <c r="Y51" s="62">
        <f t="shared" si="43"/>
        <v>-2793.6998704258613</v>
      </c>
      <c r="Z51" s="62">
        <f t="shared" si="43"/>
        <v>-2788.5215546169388</v>
      </c>
      <c r="AA51" s="62">
        <f t="shared" si="43"/>
        <v>-2785.0282573659729</v>
      </c>
      <c r="AB51" s="62">
        <f t="shared" si="43"/>
        <v>-2782.6765870098498</v>
      </c>
      <c r="AC51" s="62">
        <f t="shared" si="43"/>
        <v>-2781.0956775126119</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A36</f>
        <v>Opex fix (admin, crew, insurance)</v>
      </c>
      <c r="B54" s="62">
        <f>B36</f>
        <v>70000</v>
      </c>
      <c r="C54" s="62">
        <f t="shared" ref="C54:AC54" si="46">C36</f>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A37</f>
        <v>Opex maintenance &amp; repair</v>
      </c>
      <c r="B55" s="62">
        <f>B37</f>
        <v>20000</v>
      </c>
      <c r="C55" s="62">
        <f t="shared" ref="C55:AC55" si="47">C37</f>
        <v>20000</v>
      </c>
      <c r="D55" s="62">
        <f t="shared" si="47"/>
        <v>20000</v>
      </c>
      <c r="E55" s="62">
        <f t="shared" si="47"/>
        <v>20000</v>
      </c>
      <c r="F55" s="62">
        <f t="shared" si="47"/>
        <v>20000</v>
      </c>
      <c r="G55" s="62">
        <f t="shared" si="47"/>
        <v>20000</v>
      </c>
      <c r="H55" s="62">
        <f t="shared" si="47"/>
        <v>20000</v>
      </c>
      <c r="I55" s="62">
        <f t="shared" si="47"/>
        <v>20000</v>
      </c>
      <c r="J55" s="62">
        <f t="shared" si="47"/>
        <v>20000</v>
      </c>
      <c r="K55" s="62">
        <f t="shared" si="47"/>
        <v>20000</v>
      </c>
      <c r="L55" s="62">
        <f t="shared" si="47"/>
        <v>20000</v>
      </c>
      <c r="M55" s="62">
        <f t="shared" si="47"/>
        <v>20000</v>
      </c>
      <c r="N55" s="62">
        <f t="shared" si="47"/>
        <v>20000</v>
      </c>
      <c r="O55" s="62">
        <f t="shared" si="47"/>
        <v>20000</v>
      </c>
      <c r="P55" s="62">
        <f t="shared" si="47"/>
        <v>20000</v>
      </c>
      <c r="Q55" s="62">
        <f t="shared" si="47"/>
        <v>20000</v>
      </c>
      <c r="R55" s="62">
        <f t="shared" si="47"/>
        <v>20000</v>
      </c>
      <c r="S55" s="62">
        <f t="shared" si="47"/>
        <v>20000</v>
      </c>
      <c r="T55" s="62">
        <f t="shared" si="47"/>
        <v>20000</v>
      </c>
      <c r="U55" s="62">
        <f t="shared" si="47"/>
        <v>20000</v>
      </c>
      <c r="V55" s="62">
        <f t="shared" si="47"/>
        <v>20000</v>
      </c>
      <c r="W55" s="62">
        <f t="shared" si="47"/>
        <v>20000</v>
      </c>
      <c r="X55" s="62">
        <f t="shared" si="47"/>
        <v>20000</v>
      </c>
      <c r="Y55" s="62">
        <f t="shared" si="47"/>
        <v>20000</v>
      </c>
      <c r="Z55" s="62">
        <f t="shared" si="47"/>
        <v>20000</v>
      </c>
      <c r="AA55" s="62">
        <f t="shared" si="47"/>
        <v>20000</v>
      </c>
      <c r="AB55" s="62">
        <f t="shared" si="47"/>
        <v>20000</v>
      </c>
      <c r="AC55" s="62">
        <f t="shared" si="47"/>
        <v>20000</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9222.186334935217</v>
      </c>
      <c r="C57" s="62">
        <f t="shared" ref="C57:AC57" si="49">C39*C40*C47</f>
        <v>8577.7861838692188</v>
      </c>
      <c r="D57" s="62">
        <f t="shared" si="49"/>
        <v>7931.3679811694228</v>
      </c>
      <c r="E57" s="62">
        <f t="shared" si="49"/>
        <v>7282.5202627326844</v>
      </c>
      <c r="F57" s="62">
        <f t="shared" si="49"/>
        <v>6630.8774393002359</v>
      </c>
      <c r="G57" s="62">
        <f t="shared" si="49"/>
        <v>5976.2439860365685</v>
      </c>
      <c r="H57" s="62">
        <f t="shared" si="49"/>
        <v>5318.803892143862</v>
      </c>
      <c r="I57" s="62">
        <f t="shared" si="49"/>
        <v>4659.4312054615484</v>
      </c>
      <c r="J57" s="62">
        <f t="shared" si="49"/>
        <v>4522.0606234145826</v>
      </c>
      <c r="K57" s="62">
        <f t="shared" si="49"/>
        <v>4375.5301455996523</v>
      </c>
      <c r="L57" s="62">
        <f t="shared" si="49"/>
        <v>4220.8416993794935</v>
      </c>
      <c r="M57" s="62">
        <f t="shared" si="49"/>
        <v>4060.8577239390479</v>
      </c>
      <c r="N57" s="62">
        <f t="shared" si="49"/>
        <v>3900.1537941564115</v>
      </c>
      <c r="O57" s="62">
        <f t="shared" si="49"/>
        <v>3744.0309563548408</v>
      </c>
      <c r="P57" s="62">
        <f t="shared" si="49"/>
        <v>3597.0393843766478</v>
      </c>
      <c r="Q57" s="62">
        <f t="shared" si="49"/>
        <v>3461.8180829892358</v>
      </c>
      <c r="R57" s="62">
        <f t="shared" si="49"/>
        <v>3338.8292725381875</v>
      </c>
      <c r="S57" s="62">
        <f t="shared" si="49"/>
        <v>3226.8936699019669</v>
      </c>
      <c r="T57" s="62">
        <f t="shared" si="49"/>
        <v>3124.014882452519</v>
      </c>
      <c r="U57" s="62">
        <f t="shared" si="49"/>
        <v>3028.0597791548989</v>
      </c>
      <c r="V57" s="62">
        <f t="shared" si="49"/>
        <v>2937.1447682100038</v>
      </c>
      <c r="W57" s="62">
        <f t="shared" si="49"/>
        <v>2849.7751494887984</v>
      </c>
      <c r="X57" s="62">
        <f t="shared" si="49"/>
        <v>2764.8408500110754</v>
      </c>
      <c r="Y57" s="62">
        <f t="shared" si="49"/>
        <v>2681.5520353469365</v>
      </c>
      <c r="Z57" s="62">
        <f t="shared" si="49"/>
        <v>2599.362417242729</v>
      </c>
      <c r="AA57" s="62">
        <f t="shared" si="49"/>
        <v>2517.9012513332023</v>
      </c>
      <c r="AB57" s="62">
        <f t="shared" si="49"/>
        <v>2436.9201352347845</v>
      </c>
      <c r="AC57" s="62">
        <f t="shared" si="49"/>
        <v>2356.2540927390323</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122070.19992240597</v>
      </c>
      <c r="C59" s="64">
        <f t="shared" ref="C59:AC59" si="51">C50+C51+C52+C53+C54+C55+C56+C57+C58</f>
        <v>121443.09543658236</v>
      </c>
      <c r="D59" s="64">
        <f t="shared" si="51"/>
        <v>120821.23459916223</v>
      </c>
      <c r="E59" s="64">
        <f t="shared" si="51"/>
        <v>120207.09635673616</v>
      </c>
      <c r="F59" s="64">
        <f t="shared" si="51"/>
        <v>119604.18501141187</v>
      </c>
      <c r="G59" s="64">
        <f t="shared" si="51"/>
        <v>119017.3060027929</v>
      </c>
      <c r="H59" s="64">
        <f t="shared" si="51"/>
        <v>118452.75471780924</v>
      </c>
      <c r="I59" s="64">
        <f t="shared" si="51"/>
        <v>117918.21463673834</v>
      </c>
      <c r="J59" s="64">
        <f t="shared" si="51"/>
        <v>117944.02438611133</v>
      </c>
      <c r="K59" s="64">
        <f t="shared" si="51"/>
        <v>118002.991954664</v>
      </c>
      <c r="L59" s="64">
        <f t="shared" si="51"/>
        <v>118094.8952652626</v>
      </c>
      <c r="M59" s="64">
        <f t="shared" si="51"/>
        <v>118213.75075172978</v>
      </c>
      <c r="N59" s="64">
        <f t="shared" si="51"/>
        <v>118347.4164978335</v>
      </c>
      <c r="O59" s="64">
        <f t="shared" si="51"/>
        <v>118479.87069129988</v>
      </c>
      <c r="P59" s="64">
        <f t="shared" si="51"/>
        <v>118595.57673082595</v>
      </c>
      <c r="Q59" s="64">
        <f t="shared" si="51"/>
        <v>118683.61099035789</v>
      </c>
      <c r="R59" s="64">
        <f t="shared" si="51"/>
        <v>118739.40990139761</v>
      </c>
      <c r="S59" s="64">
        <f t="shared" si="51"/>
        <v>118763.89726542418</v>
      </c>
      <c r="T59" s="64">
        <f t="shared" si="51"/>
        <v>118761.30029960963</v>
      </c>
      <c r="U59" s="64">
        <f t="shared" si="51"/>
        <v>118737.04524803751</v>
      </c>
      <c r="V59" s="64">
        <f t="shared" si="51"/>
        <v>118696.3813847136</v>
      </c>
      <c r="W59" s="64">
        <f t="shared" si="51"/>
        <v>118643.73839767542</v>
      </c>
      <c r="X59" s="64">
        <f t="shared" si="51"/>
        <v>118582.56926275285</v>
      </c>
      <c r="Y59" s="64">
        <f t="shared" si="51"/>
        <v>118515.4355830167</v>
      </c>
      <c r="Z59" s="64">
        <f t="shared" si="51"/>
        <v>118444.17796495356</v>
      </c>
      <c r="AA59" s="64">
        <f t="shared" si="51"/>
        <v>118370.09153768496</v>
      </c>
      <c r="AB59" s="64">
        <f t="shared" si="51"/>
        <v>118294.07505900503</v>
      </c>
      <c r="AC59" s="64">
        <f t="shared" si="51"/>
        <v>118216.74649211456</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2">A50</f>
        <v>Capex vehicle</v>
      </c>
      <c r="B62" s="65">
        <f>((1+B35)^B42)*B35/(((1+B35)^B42)-1)*(B31)/B47</f>
        <v>0.3078188030202948</v>
      </c>
      <c r="C62" s="65">
        <f t="shared" ref="C62:AC62" si="53">((1+C35)^C42)*C35/(((1+C35)^C42)-1)*(C31)/C47</f>
        <v>0.3079843117785952</v>
      </c>
      <c r="D62" s="65">
        <f t="shared" si="53"/>
        <v>0.30821931048940537</v>
      </c>
      <c r="E62" s="65">
        <f t="shared" si="53"/>
        <v>0.30855145858520133</v>
      </c>
      <c r="F62" s="65">
        <f t="shared" si="53"/>
        <v>0.30901778851925071</v>
      </c>
      <c r="G62" s="65">
        <f t="shared" si="53"/>
        <v>0.30966615641058742</v>
      </c>
      <c r="H62" s="65">
        <f t="shared" si="53"/>
        <v>0.31055504453411908</v>
      </c>
      <c r="I62" s="65">
        <f t="shared" si="53"/>
        <v>0.31174961492274506</v>
      </c>
      <c r="J62" s="65">
        <f t="shared" si="53"/>
        <v>0.31331114919470632</v>
      </c>
      <c r="K62" s="65">
        <f t="shared" si="53"/>
        <v>0.31527763767669287</v>
      </c>
      <c r="L62" s="65">
        <f t="shared" si="53"/>
        <v>0.31763736740701598</v>
      </c>
      <c r="M62" s="65">
        <f t="shared" si="53"/>
        <v>0.32030568761665829</v>
      </c>
      <c r="N62" s="65">
        <f t="shared" si="53"/>
        <v>0.32312262231413541</v>
      </c>
      <c r="O62" s="65">
        <f t="shared" si="53"/>
        <v>0.32588412500569475</v>
      </c>
      <c r="P62" s="65">
        <f t="shared" si="53"/>
        <v>0.32839797774736224</v>
      </c>
      <c r="Q62" s="65">
        <f t="shared" si="53"/>
        <v>0.33053439459826517</v>
      </c>
      <c r="R62" s="65">
        <f t="shared" si="53"/>
        <v>0.33224528188525815</v>
      </c>
      <c r="S62" s="65">
        <f t="shared" si="53"/>
        <v>0.33355076481983037</v>
      </c>
      <c r="T62" s="65">
        <f t="shared" si="53"/>
        <v>0.3345103994766237</v>
      </c>
      <c r="U62" s="65">
        <f t="shared" si="53"/>
        <v>0.33519652437351838</v>
      </c>
      <c r="V62" s="65">
        <f t="shared" si="53"/>
        <v>0.33567739659955664</v>
      </c>
      <c r="W62" s="65">
        <f t="shared" si="53"/>
        <v>0.33600970886446596</v>
      </c>
      <c r="X62" s="65">
        <f t="shared" si="53"/>
        <v>0.33623712670709871</v>
      </c>
      <c r="Y62" s="65">
        <f t="shared" si="53"/>
        <v>0.33639172129971134</v>
      </c>
      <c r="Z62" s="65">
        <f t="shared" si="53"/>
        <v>0.33649633374029564</v>
      </c>
      <c r="AA62" s="65">
        <f t="shared" si="53"/>
        <v>0.33656690540193129</v>
      </c>
      <c r="AB62" s="65">
        <f t="shared" si="53"/>
        <v>0.33661441389397423</v>
      </c>
      <c r="AC62" s="65">
        <f t="shared" si="53"/>
        <v>0.33664635145957489</v>
      </c>
    </row>
    <row r="63" spans="1:29" x14ac:dyDescent="0.25">
      <c r="A63" s="30" t="str">
        <f t="shared" si="52"/>
        <v>Residual value (vehicle)</v>
      </c>
      <c r="B63" s="66">
        <f>((1+B35)^B42)*B35/(((1+B35)^B42)-1)*(B32)/B47</f>
        <v>-7.6510169550126919E-2</v>
      </c>
      <c r="C63" s="66">
        <f t="shared" ref="C63:AC63" si="54">((1+C35)^C42)*C35/(((1+C35)^C42)-1)*(C32)/C47</f>
        <v>-7.6361211667656512E-2</v>
      </c>
      <c r="D63" s="66">
        <f t="shared" si="54"/>
        <v>-7.6149712827927346E-2</v>
      </c>
      <c r="E63" s="66">
        <f t="shared" si="54"/>
        <v>-7.585077954171103E-2</v>
      </c>
      <c r="F63" s="66">
        <f t="shared" si="54"/>
        <v>-7.5431082601066568E-2</v>
      </c>
      <c r="G63" s="66">
        <f t="shared" si="54"/>
        <v>-7.4847551498863504E-2</v>
      </c>
      <c r="H63" s="66">
        <f t="shared" si="54"/>
        <v>-7.4047552187685037E-2</v>
      </c>
      <c r="I63" s="66">
        <f t="shared" si="54"/>
        <v>-7.2972438837921649E-2</v>
      </c>
      <c r="J63" s="66">
        <f t="shared" si="54"/>
        <v>-7.1567057993156505E-2</v>
      </c>
      <c r="K63" s="66">
        <f t="shared" si="54"/>
        <v>-6.9797218359368654E-2</v>
      </c>
      <c r="L63" s="66">
        <f t="shared" si="54"/>
        <v>-6.767346160207785E-2</v>
      </c>
      <c r="M63" s="66">
        <f t="shared" si="54"/>
        <v>-6.5271973413399742E-2</v>
      </c>
      <c r="N63" s="66">
        <f t="shared" si="54"/>
        <v>-6.2736732185670371E-2</v>
      </c>
      <c r="O63" s="66">
        <f t="shared" si="54"/>
        <v>-6.0251379763266992E-2</v>
      </c>
      <c r="P63" s="66">
        <f t="shared" si="54"/>
        <v>-5.7988912295766221E-2</v>
      </c>
      <c r="Q63" s="66">
        <f t="shared" si="54"/>
        <v>-5.6066137129953578E-2</v>
      </c>
      <c r="R63" s="66">
        <f t="shared" si="54"/>
        <v>-5.4526338571659894E-2</v>
      </c>
      <c r="S63" s="66">
        <f t="shared" si="54"/>
        <v>-5.3351403930544876E-2</v>
      </c>
      <c r="T63" s="66">
        <f t="shared" si="54"/>
        <v>-5.2487732739430901E-2</v>
      </c>
      <c r="U63" s="66">
        <f t="shared" si="54"/>
        <v>-5.1870220332225644E-2</v>
      </c>
      <c r="V63" s="66">
        <f t="shared" si="54"/>
        <v>-5.1437435328791248E-2</v>
      </c>
      <c r="W63" s="66">
        <f t="shared" si="54"/>
        <v>-5.1138354290372848E-2</v>
      </c>
      <c r="X63" s="66">
        <f t="shared" si="54"/>
        <v>-5.0933678232003336E-2</v>
      </c>
      <c r="Y63" s="66">
        <f t="shared" si="54"/>
        <v>-5.0794543098652022E-2</v>
      </c>
      <c r="Z63" s="66">
        <f t="shared" si="54"/>
        <v>-5.0700391902126163E-2</v>
      </c>
      <c r="AA63" s="66">
        <f t="shared" si="54"/>
        <v>-5.0636877406654054E-2</v>
      </c>
      <c r="AB63" s="66">
        <f t="shared" si="54"/>
        <v>-5.0594119763815448E-2</v>
      </c>
      <c r="AC63" s="66">
        <f t="shared" si="54"/>
        <v>-5.0565375954774762E-2</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0.36363636363636365</v>
      </c>
      <c r="C67" s="66">
        <f t="shared" ref="C67:AC67" si="58">C37/C47</f>
        <v>0.36363636363636365</v>
      </c>
      <c r="D67" s="66">
        <f t="shared" si="58"/>
        <v>0.36363636363636365</v>
      </c>
      <c r="E67" s="66">
        <f t="shared" si="58"/>
        <v>0.36363636363636365</v>
      </c>
      <c r="F67" s="66">
        <f t="shared" si="58"/>
        <v>0.36363636363636365</v>
      </c>
      <c r="G67" s="66">
        <f t="shared" si="58"/>
        <v>0.36363636363636365</v>
      </c>
      <c r="H67" s="66">
        <f t="shared" si="58"/>
        <v>0.36363636363636365</v>
      </c>
      <c r="I67" s="66">
        <f t="shared" si="58"/>
        <v>0.36363636363636365</v>
      </c>
      <c r="J67" s="66">
        <f t="shared" si="58"/>
        <v>0.36363636363636365</v>
      </c>
      <c r="K67" s="66">
        <f t="shared" si="58"/>
        <v>0.36363636363636365</v>
      </c>
      <c r="L67" s="66">
        <f t="shared" si="58"/>
        <v>0.36363636363636365</v>
      </c>
      <c r="M67" s="66">
        <f t="shared" si="58"/>
        <v>0.36363636363636365</v>
      </c>
      <c r="N67" s="66">
        <f t="shared" si="58"/>
        <v>0.36363636363636365</v>
      </c>
      <c r="O67" s="66">
        <f t="shared" si="58"/>
        <v>0.36363636363636365</v>
      </c>
      <c r="P67" s="66">
        <f t="shared" si="58"/>
        <v>0.36363636363636365</v>
      </c>
      <c r="Q67" s="66">
        <f t="shared" si="58"/>
        <v>0.36363636363636365</v>
      </c>
      <c r="R67" s="66">
        <f t="shared" si="58"/>
        <v>0.36363636363636365</v>
      </c>
      <c r="S67" s="66">
        <f t="shared" si="58"/>
        <v>0.36363636363636365</v>
      </c>
      <c r="T67" s="66">
        <f t="shared" si="58"/>
        <v>0.36363636363636365</v>
      </c>
      <c r="U67" s="66">
        <f t="shared" si="58"/>
        <v>0.36363636363636365</v>
      </c>
      <c r="V67" s="66">
        <f t="shared" si="58"/>
        <v>0.36363636363636365</v>
      </c>
      <c r="W67" s="66">
        <f t="shared" si="58"/>
        <v>0.36363636363636365</v>
      </c>
      <c r="X67" s="66">
        <f t="shared" si="58"/>
        <v>0.36363636363636365</v>
      </c>
      <c r="Y67" s="66">
        <f t="shared" si="58"/>
        <v>0.36363636363636365</v>
      </c>
      <c r="Z67" s="66">
        <f t="shared" si="58"/>
        <v>0.36363636363636365</v>
      </c>
      <c r="AA67" s="66">
        <f t="shared" si="58"/>
        <v>0.36363636363636365</v>
      </c>
      <c r="AB67" s="66">
        <f t="shared" si="58"/>
        <v>0.36363636363636365</v>
      </c>
      <c r="AC67" s="66">
        <f t="shared" si="58"/>
        <v>0.36363636363636365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0.16767611518064032</v>
      </c>
      <c r="C69" s="66">
        <f t="shared" ref="C69:AC69" si="60">C39*C40*C47/C47</f>
        <v>0.15595974879762217</v>
      </c>
      <c r="D69" s="66">
        <f t="shared" si="60"/>
        <v>0.14420669056671678</v>
      </c>
      <c r="E69" s="66">
        <f t="shared" si="60"/>
        <v>0.13240945932241244</v>
      </c>
      <c r="F69" s="66">
        <f t="shared" si="60"/>
        <v>0.12056140798727702</v>
      </c>
      <c r="G69" s="66">
        <f t="shared" si="60"/>
        <v>0.10865898156430125</v>
      </c>
      <c r="H69" s="66">
        <f t="shared" si="60"/>
        <v>9.6705525311706578E-2</v>
      </c>
      <c r="I69" s="66">
        <f t="shared" si="60"/>
        <v>8.4716931008391783E-2</v>
      </c>
      <c r="J69" s="66">
        <f t="shared" si="60"/>
        <v>8.2219284062083314E-2</v>
      </c>
      <c r="K69" s="66">
        <f t="shared" si="60"/>
        <v>7.9555093556357315E-2</v>
      </c>
      <c r="L69" s="66">
        <f t="shared" si="60"/>
        <v>7.674257635235443E-2</v>
      </c>
      <c r="M69" s="66">
        <f t="shared" si="60"/>
        <v>7.3833776798891776E-2</v>
      </c>
      <c r="N69" s="66">
        <f t="shared" si="60"/>
        <v>7.0911887166480211E-2</v>
      </c>
      <c r="O69" s="66">
        <f t="shared" si="60"/>
        <v>6.8073290115542556E-2</v>
      </c>
      <c r="P69" s="66">
        <f t="shared" si="60"/>
        <v>6.5400716079575413E-2</v>
      </c>
      <c r="Q69" s="66">
        <f t="shared" si="60"/>
        <v>6.2942146963440651E-2</v>
      </c>
      <c r="R69" s="66">
        <f t="shared" si="60"/>
        <v>6.0705986773421594E-2</v>
      </c>
      <c r="S69" s="66">
        <f t="shared" si="60"/>
        <v>5.8670793998217577E-2</v>
      </c>
      <c r="T69" s="66">
        <f t="shared" si="60"/>
        <v>5.6800270590045804E-2</v>
      </c>
      <c r="U69" s="66">
        <f t="shared" si="60"/>
        <v>5.5055632348270891E-2</v>
      </c>
      <c r="V69" s="66">
        <f t="shared" si="60"/>
        <v>5.3402632149272794E-2</v>
      </c>
      <c r="W69" s="66">
        <f t="shared" si="60"/>
        <v>5.1814093627069062E-2</v>
      </c>
      <c r="X69" s="66">
        <f t="shared" si="60"/>
        <v>5.0269833636565009E-2</v>
      </c>
      <c r="Y69" s="66">
        <f t="shared" si="60"/>
        <v>4.8755491551762481E-2</v>
      </c>
      <c r="Z69" s="66">
        <f t="shared" si="60"/>
        <v>4.7261134858958706E-2</v>
      </c>
      <c r="AA69" s="66">
        <f t="shared" si="60"/>
        <v>4.5780022751512765E-2</v>
      </c>
      <c r="AB69" s="66">
        <f t="shared" si="60"/>
        <v>4.4307638822450625E-2</v>
      </c>
      <c r="AC69" s="66">
        <f t="shared" si="60"/>
        <v>4.2840983504346043E-2</v>
      </c>
    </row>
    <row r="70" spans="1:29" ht="15.75" thickBot="1" x14ac:dyDescent="0.3">
      <c r="A70" s="59" t="str">
        <f t="shared" si="52"/>
        <v>Emission Cost</v>
      </c>
      <c r="B70" s="66">
        <f>B41</f>
        <v>0</v>
      </c>
      <c r="C70" s="66">
        <f t="shared" ref="C70:AC70" si="61">C41</f>
        <v>0</v>
      </c>
      <c r="D70" s="66">
        <f t="shared" si="61"/>
        <v>0</v>
      </c>
      <c r="E70" s="66">
        <f t="shared" si="61"/>
        <v>0</v>
      </c>
      <c r="F70" s="66">
        <f t="shared" si="61"/>
        <v>0</v>
      </c>
      <c r="G70" s="66">
        <f t="shared" si="61"/>
        <v>0</v>
      </c>
      <c r="H70" s="66">
        <f t="shared" si="61"/>
        <v>0</v>
      </c>
      <c r="I70" s="66">
        <f t="shared" si="61"/>
        <v>0</v>
      </c>
      <c r="J70" s="66">
        <f t="shared" si="61"/>
        <v>0</v>
      </c>
      <c r="K70" s="66">
        <f t="shared" si="61"/>
        <v>0</v>
      </c>
      <c r="L70" s="66">
        <f t="shared" si="61"/>
        <v>0</v>
      </c>
      <c r="M70" s="66">
        <f t="shared" si="61"/>
        <v>0</v>
      </c>
      <c r="N70" s="66">
        <f t="shared" si="61"/>
        <v>0</v>
      </c>
      <c r="O70" s="66">
        <f t="shared" si="61"/>
        <v>0</v>
      </c>
      <c r="P70" s="66">
        <f t="shared" si="61"/>
        <v>0</v>
      </c>
      <c r="Q70" s="66">
        <f t="shared" si="61"/>
        <v>0</v>
      </c>
      <c r="R70" s="66">
        <f t="shared" si="61"/>
        <v>0</v>
      </c>
      <c r="S70" s="66">
        <f t="shared" si="61"/>
        <v>0</v>
      </c>
      <c r="T70" s="66">
        <f t="shared" si="61"/>
        <v>0</v>
      </c>
      <c r="U70" s="66">
        <f t="shared" si="61"/>
        <v>0</v>
      </c>
      <c r="V70" s="66">
        <f t="shared" si="61"/>
        <v>0</v>
      </c>
      <c r="W70" s="66">
        <f t="shared" si="61"/>
        <v>0</v>
      </c>
      <c r="X70" s="66">
        <f t="shared" si="61"/>
        <v>0</v>
      </c>
      <c r="Y70" s="66">
        <f t="shared" si="61"/>
        <v>0</v>
      </c>
      <c r="Z70" s="66">
        <f t="shared" si="61"/>
        <v>0</v>
      </c>
      <c r="AA70" s="66">
        <f t="shared" si="61"/>
        <v>0</v>
      </c>
      <c r="AB70" s="66">
        <f t="shared" si="61"/>
        <v>0</v>
      </c>
      <c r="AC70" s="66">
        <f t="shared" si="61"/>
        <v>0</v>
      </c>
    </row>
    <row r="71" spans="1:29" ht="15.75" thickBot="1" x14ac:dyDescent="0.3">
      <c r="A71" s="31" t="s">
        <v>63</v>
      </c>
      <c r="B71" s="76">
        <f>B62+B63+B64-B65+B66+B67+B68+B69+B70</f>
        <v>2.2688647106693387</v>
      </c>
      <c r="C71" s="76">
        <f t="shared" ref="C71:AC71" si="62">C62+C63+C64-C65+C66+C67+C68+C69+C70</f>
        <v>2.2574628109270916</v>
      </c>
      <c r="D71" s="76">
        <f t="shared" si="62"/>
        <v>2.2461562502467252</v>
      </c>
      <c r="E71" s="76">
        <f t="shared" si="62"/>
        <v>2.2349901003844335</v>
      </c>
      <c r="F71" s="76">
        <f t="shared" si="62"/>
        <v>2.2240280759239921</v>
      </c>
      <c r="G71" s="76">
        <f t="shared" si="62"/>
        <v>2.2133575484945553</v>
      </c>
      <c r="H71" s="76">
        <f t="shared" si="62"/>
        <v>2.2030929796766712</v>
      </c>
      <c r="I71" s="76">
        <f t="shared" si="62"/>
        <v>2.193374069111746</v>
      </c>
      <c r="J71" s="76">
        <f t="shared" si="62"/>
        <v>2.1938433372821637</v>
      </c>
      <c r="K71" s="76">
        <f t="shared" si="62"/>
        <v>2.1949154748922122</v>
      </c>
      <c r="L71" s="76">
        <f t="shared" si="62"/>
        <v>2.1965864441758232</v>
      </c>
      <c r="M71" s="76">
        <f t="shared" si="62"/>
        <v>2.198747453020681</v>
      </c>
      <c r="N71" s="76">
        <f t="shared" si="62"/>
        <v>2.2011777393134757</v>
      </c>
      <c r="O71" s="76">
        <f t="shared" si="62"/>
        <v>2.2035859973765008</v>
      </c>
      <c r="P71" s="76">
        <f t="shared" si="62"/>
        <v>2.2056897435497023</v>
      </c>
      <c r="Q71" s="76">
        <f t="shared" si="62"/>
        <v>2.2072903664502825</v>
      </c>
      <c r="R71" s="76">
        <f t="shared" si="62"/>
        <v>2.2083048921055504</v>
      </c>
      <c r="S71" s="76">
        <f t="shared" si="62"/>
        <v>2.2087501169060335</v>
      </c>
      <c r="T71" s="76">
        <f t="shared" si="62"/>
        <v>2.2087028993457691</v>
      </c>
      <c r="U71" s="76">
        <f t="shared" si="62"/>
        <v>2.2082618984080944</v>
      </c>
      <c r="V71" s="76">
        <f t="shared" si="62"/>
        <v>2.2075225554385685</v>
      </c>
      <c r="W71" s="76">
        <f t="shared" si="62"/>
        <v>2.2065654102196928</v>
      </c>
      <c r="X71" s="76">
        <f t="shared" si="62"/>
        <v>2.2054532441301911</v>
      </c>
      <c r="Y71" s="76">
        <f t="shared" si="62"/>
        <v>2.2042326317713523</v>
      </c>
      <c r="Z71" s="76">
        <f t="shared" si="62"/>
        <v>2.202937038715659</v>
      </c>
      <c r="AA71" s="76">
        <f t="shared" si="62"/>
        <v>2.2015900127653207</v>
      </c>
      <c r="AB71" s="76">
        <f t="shared" si="62"/>
        <v>2.2002078949711401</v>
      </c>
      <c r="AC71" s="76">
        <f t="shared" si="62"/>
        <v>2.1988019210276768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1.2312752120811793E-2</v>
      </c>
      <c r="C74" s="65">
        <f t="shared" ref="C74:AC74" si="64">((1+C35)^C42)*C35/(((1+C35)^C42)-1)*(C31)/C47/(C44)</f>
        <v>1.2319372471143808E-2</v>
      </c>
      <c r="D74" s="65">
        <f t="shared" si="64"/>
        <v>1.2328772419576216E-2</v>
      </c>
      <c r="E74" s="65">
        <f t="shared" si="64"/>
        <v>1.2342058343408053E-2</v>
      </c>
      <c r="F74" s="65">
        <f t="shared" si="64"/>
        <v>1.2360711540770029E-2</v>
      </c>
      <c r="G74" s="65">
        <f t="shared" si="64"/>
        <v>1.2386646256423496E-2</v>
      </c>
      <c r="H74" s="65">
        <f t="shared" si="64"/>
        <v>1.2422201781364764E-2</v>
      </c>
      <c r="I74" s="65">
        <f t="shared" si="64"/>
        <v>1.2469984596909803E-2</v>
      </c>
      <c r="J74" s="65">
        <f t="shared" si="64"/>
        <v>1.2532445967788252E-2</v>
      </c>
      <c r="K74" s="65">
        <f t="shared" si="64"/>
        <v>1.2611105507067715E-2</v>
      </c>
      <c r="L74" s="65">
        <f t="shared" si="64"/>
        <v>1.2705494696280639E-2</v>
      </c>
      <c r="M74" s="65">
        <f t="shared" si="64"/>
        <v>1.2812227504666332E-2</v>
      </c>
      <c r="N74" s="65">
        <f t="shared" si="64"/>
        <v>1.2924904892565417E-2</v>
      </c>
      <c r="O74" s="65">
        <f t="shared" si="64"/>
        <v>1.303536500022779E-2</v>
      </c>
      <c r="P74" s="65">
        <f t="shared" si="64"/>
        <v>1.3135919109894489E-2</v>
      </c>
      <c r="Q74" s="65">
        <f t="shared" si="64"/>
        <v>1.3221375783930607E-2</v>
      </c>
      <c r="R74" s="65">
        <f t="shared" si="64"/>
        <v>1.3289811275410325E-2</v>
      </c>
      <c r="S74" s="65">
        <f t="shared" si="64"/>
        <v>1.3342030592793215E-2</v>
      </c>
      <c r="T74" s="65">
        <f t="shared" si="64"/>
        <v>1.3380415979064949E-2</v>
      </c>
      <c r="U74" s="65">
        <f t="shared" si="64"/>
        <v>1.3407860974940735E-2</v>
      </c>
      <c r="V74" s="65">
        <f t="shared" si="64"/>
        <v>1.3427095863982266E-2</v>
      </c>
      <c r="W74" s="65">
        <f t="shared" si="64"/>
        <v>1.3440388354578638E-2</v>
      </c>
      <c r="X74" s="65">
        <f t="shared" si="64"/>
        <v>1.3449485068283949E-2</v>
      </c>
      <c r="Y74" s="65">
        <f t="shared" si="64"/>
        <v>1.3455668851988454E-2</v>
      </c>
      <c r="Z74" s="65">
        <f t="shared" si="64"/>
        <v>1.3459853349611826E-2</v>
      </c>
      <c r="AA74" s="65">
        <f t="shared" si="64"/>
        <v>1.3462676216077251E-2</v>
      </c>
      <c r="AB74" s="65">
        <f t="shared" si="64"/>
        <v>1.3464576555758969E-2</v>
      </c>
      <c r="AC74" s="65">
        <f t="shared" si="64"/>
        <v>1.3465854058382996E-2</v>
      </c>
    </row>
    <row r="75" spans="1:29" x14ac:dyDescent="0.25">
      <c r="A75" s="30" t="str">
        <f t="shared" si="63"/>
        <v>Residual value (vehicle)</v>
      </c>
      <c r="B75" s="68">
        <f>((1+B35)^B42)*B35/(((1+B35)^B42)-1)*(B32)/B47/(B44)</f>
        <v>-3.0604067820050769E-3</v>
      </c>
      <c r="C75" s="68">
        <f t="shared" ref="C75:AC75" si="65">((1+C35)^C42)*C35/(((1+C35)^C42)-1)*(C32)/C47/(C44)</f>
        <v>-3.0544484667062604E-3</v>
      </c>
      <c r="D75" s="68">
        <f t="shared" si="65"/>
        <v>-3.0459885131170939E-3</v>
      </c>
      <c r="E75" s="68">
        <f t="shared" si="65"/>
        <v>-3.0340311816684411E-3</v>
      </c>
      <c r="F75" s="68">
        <f t="shared" si="65"/>
        <v>-3.0172433040426628E-3</v>
      </c>
      <c r="G75" s="68">
        <f t="shared" si="65"/>
        <v>-2.9939020599545401E-3</v>
      </c>
      <c r="H75" s="68">
        <f t="shared" si="65"/>
        <v>-2.9619020875074013E-3</v>
      </c>
      <c r="I75" s="68">
        <f t="shared" si="65"/>
        <v>-2.9188975535168662E-3</v>
      </c>
      <c r="J75" s="68">
        <f t="shared" si="65"/>
        <v>-2.8626823197262603E-3</v>
      </c>
      <c r="K75" s="68">
        <f t="shared" si="65"/>
        <v>-2.7918887343747461E-3</v>
      </c>
      <c r="L75" s="68">
        <f t="shared" si="65"/>
        <v>-2.7069384640831138E-3</v>
      </c>
      <c r="M75" s="68">
        <f t="shared" si="65"/>
        <v>-2.6108789365359899E-3</v>
      </c>
      <c r="N75" s="68">
        <f t="shared" si="65"/>
        <v>-2.5094692874268148E-3</v>
      </c>
      <c r="O75" s="68">
        <f t="shared" si="65"/>
        <v>-2.4100551905306797E-3</v>
      </c>
      <c r="P75" s="68">
        <f t="shared" si="65"/>
        <v>-2.3195564918306487E-3</v>
      </c>
      <c r="Q75" s="68">
        <f t="shared" si="65"/>
        <v>-2.2426454851981431E-3</v>
      </c>
      <c r="R75" s="68">
        <f t="shared" si="65"/>
        <v>-2.1810535428663956E-3</v>
      </c>
      <c r="S75" s="68">
        <f t="shared" si="65"/>
        <v>-2.1340561572217951E-3</v>
      </c>
      <c r="T75" s="68">
        <f t="shared" si="65"/>
        <v>-2.0995093095772361E-3</v>
      </c>
      <c r="U75" s="68">
        <f t="shared" si="65"/>
        <v>-2.0748088132890256E-3</v>
      </c>
      <c r="V75" s="68">
        <f t="shared" si="65"/>
        <v>-2.0574974131516498E-3</v>
      </c>
      <c r="W75" s="68">
        <f t="shared" si="65"/>
        <v>-2.045534171614914E-3</v>
      </c>
      <c r="X75" s="68">
        <f t="shared" si="65"/>
        <v>-2.0373471292801336E-3</v>
      </c>
      <c r="Y75" s="68">
        <f t="shared" si="65"/>
        <v>-2.0317817239460809E-3</v>
      </c>
      <c r="Z75" s="68">
        <f t="shared" si="65"/>
        <v>-2.0280156760850467E-3</v>
      </c>
      <c r="AA75" s="68">
        <f t="shared" si="65"/>
        <v>-2.0254750962661622E-3</v>
      </c>
      <c r="AB75" s="68">
        <f t="shared" si="65"/>
        <v>-2.0237647905526181E-3</v>
      </c>
      <c r="AC75" s="68">
        <f t="shared" si="65"/>
        <v>-2.0226150381909905E-3</v>
      </c>
    </row>
    <row r="76" spans="1:29" x14ac:dyDescent="0.25">
      <c r="A76" s="30" t="str">
        <f t="shared" si="63"/>
        <v>Capex costumization</v>
      </c>
      <c r="B76" s="66">
        <f>((1+B35)^B43)*B35/(((1+B35)^B43)-1)*(B33)/B47/(B44)</f>
        <v>3.9525224209566176E-3</v>
      </c>
      <c r="C76" s="66">
        <f t="shared" ref="C76:AC76" si="66">((1+C35)^C43)*C35/(((1+C35)^C43)-1)*(C33)/C47/(C44)</f>
        <v>3.9525224209566176E-3</v>
      </c>
      <c r="D76" s="66">
        <f t="shared" si="66"/>
        <v>3.9525224209566176E-3</v>
      </c>
      <c r="E76" s="66">
        <f t="shared" si="66"/>
        <v>3.9525224209566176E-3</v>
      </c>
      <c r="F76" s="66">
        <f t="shared" si="66"/>
        <v>3.9525224209566176E-3</v>
      </c>
      <c r="G76" s="66">
        <f t="shared" si="66"/>
        <v>3.9525224209566176E-3</v>
      </c>
      <c r="H76" s="66">
        <f t="shared" si="66"/>
        <v>3.9525224209566176E-3</v>
      </c>
      <c r="I76" s="66">
        <f t="shared" si="66"/>
        <v>3.9525224209566176E-3</v>
      </c>
      <c r="J76" s="66">
        <f t="shared" si="66"/>
        <v>3.9525224209566176E-3</v>
      </c>
      <c r="K76" s="66">
        <f t="shared" si="66"/>
        <v>3.9525224209566176E-3</v>
      </c>
      <c r="L76" s="66">
        <f t="shared" si="66"/>
        <v>3.9525224209566176E-3</v>
      </c>
      <c r="M76" s="66">
        <f t="shared" si="66"/>
        <v>3.9525224209566176E-3</v>
      </c>
      <c r="N76" s="66">
        <f t="shared" si="66"/>
        <v>3.9525224209566176E-3</v>
      </c>
      <c r="O76" s="66">
        <f t="shared" si="66"/>
        <v>3.9525224209566176E-3</v>
      </c>
      <c r="P76" s="66">
        <f t="shared" si="66"/>
        <v>3.9525224209566176E-3</v>
      </c>
      <c r="Q76" s="66">
        <f t="shared" si="66"/>
        <v>3.9525224209566176E-3</v>
      </c>
      <c r="R76" s="66">
        <f t="shared" si="66"/>
        <v>3.9525224209566176E-3</v>
      </c>
      <c r="S76" s="66">
        <f t="shared" si="66"/>
        <v>3.9525224209566176E-3</v>
      </c>
      <c r="T76" s="66">
        <f t="shared" si="66"/>
        <v>3.9525224209566176E-3</v>
      </c>
      <c r="U76" s="66">
        <f t="shared" si="66"/>
        <v>3.9525224209566176E-3</v>
      </c>
      <c r="V76" s="66">
        <f t="shared" si="66"/>
        <v>3.9525224209566176E-3</v>
      </c>
      <c r="W76" s="66">
        <f t="shared" si="66"/>
        <v>3.9525224209566176E-3</v>
      </c>
      <c r="X76" s="66">
        <f t="shared" si="66"/>
        <v>3.9525224209566176E-3</v>
      </c>
      <c r="Y76" s="66">
        <f t="shared" si="66"/>
        <v>3.9525224209566176E-3</v>
      </c>
      <c r="Z76" s="66">
        <f t="shared" si="66"/>
        <v>3.9525224209566176E-3</v>
      </c>
      <c r="AA76" s="66">
        <f t="shared" si="66"/>
        <v>3.9525224209566176E-3</v>
      </c>
      <c r="AB76" s="66">
        <f t="shared" si="66"/>
        <v>3.9525224209566176E-3</v>
      </c>
      <c r="AC76" s="66">
        <f t="shared" si="66"/>
        <v>3.9525224209566176E-3</v>
      </c>
    </row>
    <row r="77" spans="1:29" x14ac:dyDescent="0.25">
      <c r="A77" s="30" t="str">
        <f t="shared" si="63"/>
        <v>Residual value (costumization)</v>
      </c>
      <c r="B77" s="69">
        <f>((1+B35)^B43)*B35/(((1+B35)^B43)-1)*(B34)/B47/(B44)</f>
        <v>-9.8813060523915441E-4</v>
      </c>
      <c r="C77" s="69">
        <f t="shared" ref="C77:AC77" si="67">((1+C35)^C43)*C35/(((1+C35)^C43)-1)*(C34)/C47/(C44)</f>
        <v>-9.8813060523915441E-4</v>
      </c>
      <c r="D77" s="69">
        <f t="shared" si="67"/>
        <v>-9.8813060523915441E-4</v>
      </c>
      <c r="E77" s="69">
        <f t="shared" si="67"/>
        <v>-9.8813060523915441E-4</v>
      </c>
      <c r="F77" s="69">
        <f t="shared" si="67"/>
        <v>-9.8813060523915441E-4</v>
      </c>
      <c r="G77" s="69">
        <f t="shared" si="67"/>
        <v>-9.8813060523915441E-4</v>
      </c>
      <c r="H77" s="69">
        <f t="shared" si="67"/>
        <v>-9.8813060523915441E-4</v>
      </c>
      <c r="I77" s="69">
        <f t="shared" si="67"/>
        <v>-9.8813060523915441E-4</v>
      </c>
      <c r="J77" s="69">
        <f t="shared" si="67"/>
        <v>-9.8813060523915441E-4</v>
      </c>
      <c r="K77" s="69">
        <f t="shared" si="67"/>
        <v>-9.8813060523915441E-4</v>
      </c>
      <c r="L77" s="69">
        <f t="shared" si="67"/>
        <v>-9.8813060523915441E-4</v>
      </c>
      <c r="M77" s="69">
        <f t="shared" si="67"/>
        <v>-9.8813060523915441E-4</v>
      </c>
      <c r="N77" s="69">
        <f t="shared" si="67"/>
        <v>-9.8813060523915441E-4</v>
      </c>
      <c r="O77" s="69">
        <f t="shared" si="67"/>
        <v>-9.8813060523915441E-4</v>
      </c>
      <c r="P77" s="69">
        <f t="shared" si="67"/>
        <v>-9.8813060523915441E-4</v>
      </c>
      <c r="Q77" s="69">
        <f t="shared" si="67"/>
        <v>-9.8813060523915441E-4</v>
      </c>
      <c r="R77" s="69">
        <f t="shared" si="67"/>
        <v>-9.8813060523915441E-4</v>
      </c>
      <c r="S77" s="69">
        <f t="shared" si="67"/>
        <v>-9.8813060523915441E-4</v>
      </c>
      <c r="T77" s="69">
        <f t="shared" si="67"/>
        <v>-9.8813060523915441E-4</v>
      </c>
      <c r="U77" s="69">
        <f t="shared" si="67"/>
        <v>-9.8813060523915441E-4</v>
      </c>
      <c r="V77" s="69">
        <f t="shared" si="67"/>
        <v>-9.8813060523915441E-4</v>
      </c>
      <c r="W77" s="69">
        <f t="shared" si="67"/>
        <v>-9.8813060523915441E-4</v>
      </c>
      <c r="X77" s="69">
        <f t="shared" si="67"/>
        <v>-9.8813060523915441E-4</v>
      </c>
      <c r="Y77" s="69">
        <f t="shared" si="67"/>
        <v>-9.8813060523915441E-4</v>
      </c>
      <c r="Z77" s="69">
        <f t="shared" si="67"/>
        <v>-9.8813060523915441E-4</v>
      </c>
      <c r="AA77" s="69">
        <f t="shared" si="67"/>
        <v>-9.8813060523915441E-4</v>
      </c>
      <c r="AB77" s="69">
        <f t="shared" si="67"/>
        <v>-9.8813060523915441E-4</v>
      </c>
      <c r="AC77" s="69">
        <f t="shared" si="67"/>
        <v>-9.8813060523915441E-4</v>
      </c>
    </row>
    <row r="78" spans="1:29" x14ac:dyDescent="0.25">
      <c r="A78" s="30" t="str">
        <f t="shared" si="63"/>
        <v>Opex fix (admin, crew, insurance)</v>
      </c>
      <c r="B78" s="66">
        <f>B36/B47/(B44)</f>
        <v>5.0909090909090911E-2</v>
      </c>
      <c r="C78" s="66">
        <f t="shared" ref="C78:AC78" si="68">C36/C47/(C44)</f>
        <v>5.0909090909090911E-2</v>
      </c>
      <c r="D78" s="66">
        <f t="shared" si="68"/>
        <v>5.0909090909090911E-2</v>
      </c>
      <c r="E78" s="66">
        <f t="shared" si="68"/>
        <v>5.0909090909090911E-2</v>
      </c>
      <c r="F78" s="66">
        <f t="shared" si="68"/>
        <v>5.0909090909090911E-2</v>
      </c>
      <c r="G78" s="66">
        <f t="shared" si="68"/>
        <v>5.0909090909090911E-2</v>
      </c>
      <c r="H78" s="66">
        <f t="shared" si="68"/>
        <v>5.0909090909090911E-2</v>
      </c>
      <c r="I78" s="66">
        <f t="shared" si="68"/>
        <v>5.0909090909090911E-2</v>
      </c>
      <c r="J78" s="66">
        <f t="shared" si="68"/>
        <v>5.0909090909090911E-2</v>
      </c>
      <c r="K78" s="66">
        <f t="shared" si="68"/>
        <v>5.0909090909090911E-2</v>
      </c>
      <c r="L78" s="66">
        <f t="shared" si="68"/>
        <v>5.0909090909090911E-2</v>
      </c>
      <c r="M78" s="66">
        <f t="shared" si="68"/>
        <v>5.0909090909090911E-2</v>
      </c>
      <c r="N78" s="66">
        <f t="shared" si="68"/>
        <v>5.0909090909090911E-2</v>
      </c>
      <c r="O78" s="66">
        <f t="shared" si="68"/>
        <v>5.0909090909090911E-2</v>
      </c>
      <c r="P78" s="66">
        <f t="shared" si="68"/>
        <v>5.0909090909090911E-2</v>
      </c>
      <c r="Q78" s="66">
        <f t="shared" si="68"/>
        <v>5.0909090909090911E-2</v>
      </c>
      <c r="R78" s="66">
        <f t="shared" si="68"/>
        <v>5.0909090909090911E-2</v>
      </c>
      <c r="S78" s="66">
        <f t="shared" si="68"/>
        <v>5.0909090909090911E-2</v>
      </c>
      <c r="T78" s="66">
        <f t="shared" si="68"/>
        <v>5.0909090909090911E-2</v>
      </c>
      <c r="U78" s="66">
        <f t="shared" si="68"/>
        <v>5.0909090909090911E-2</v>
      </c>
      <c r="V78" s="66">
        <f t="shared" si="68"/>
        <v>5.0909090909090911E-2</v>
      </c>
      <c r="W78" s="66">
        <f t="shared" si="68"/>
        <v>5.0909090909090911E-2</v>
      </c>
      <c r="X78" s="66">
        <f t="shared" si="68"/>
        <v>5.0909090909090911E-2</v>
      </c>
      <c r="Y78" s="66">
        <f t="shared" si="68"/>
        <v>5.0909090909090911E-2</v>
      </c>
      <c r="Z78" s="66">
        <f t="shared" si="68"/>
        <v>5.0909090909090911E-2</v>
      </c>
      <c r="AA78" s="66">
        <f t="shared" si="68"/>
        <v>5.0909090909090911E-2</v>
      </c>
      <c r="AB78" s="66">
        <f t="shared" si="68"/>
        <v>5.0909090909090911E-2</v>
      </c>
      <c r="AC78" s="66">
        <f t="shared" si="68"/>
        <v>5.0909090909090911E-2</v>
      </c>
    </row>
    <row r="79" spans="1:29" x14ac:dyDescent="0.25">
      <c r="A79" s="30" t="str">
        <f t="shared" si="63"/>
        <v>Opex maintenance &amp; repair</v>
      </c>
      <c r="B79" s="66">
        <f>B37/B47/(B44)</f>
        <v>1.4545454545454545E-2</v>
      </c>
      <c r="C79" s="66">
        <f t="shared" ref="C79:AC79" si="69">C37/C47/(C44)</f>
        <v>1.4545454545454545E-2</v>
      </c>
      <c r="D79" s="66">
        <f t="shared" si="69"/>
        <v>1.4545454545454545E-2</v>
      </c>
      <c r="E79" s="66">
        <f t="shared" si="69"/>
        <v>1.4545454545454545E-2</v>
      </c>
      <c r="F79" s="66">
        <f t="shared" si="69"/>
        <v>1.4545454545454545E-2</v>
      </c>
      <c r="G79" s="66">
        <f t="shared" si="69"/>
        <v>1.4545454545454545E-2</v>
      </c>
      <c r="H79" s="66">
        <f t="shared" si="69"/>
        <v>1.4545454545454545E-2</v>
      </c>
      <c r="I79" s="66">
        <f t="shared" si="69"/>
        <v>1.4545454545454545E-2</v>
      </c>
      <c r="J79" s="66">
        <f t="shared" si="69"/>
        <v>1.4545454545454545E-2</v>
      </c>
      <c r="K79" s="66">
        <f t="shared" si="69"/>
        <v>1.4545454545454545E-2</v>
      </c>
      <c r="L79" s="66">
        <f t="shared" si="69"/>
        <v>1.4545454545454545E-2</v>
      </c>
      <c r="M79" s="66">
        <f t="shared" si="69"/>
        <v>1.4545454545454545E-2</v>
      </c>
      <c r="N79" s="66">
        <f t="shared" si="69"/>
        <v>1.4545454545454545E-2</v>
      </c>
      <c r="O79" s="66">
        <f t="shared" si="69"/>
        <v>1.4545454545454545E-2</v>
      </c>
      <c r="P79" s="66">
        <f t="shared" si="69"/>
        <v>1.4545454545454545E-2</v>
      </c>
      <c r="Q79" s="66">
        <f t="shared" si="69"/>
        <v>1.4545454545454545E-2</v>
      </c>
      <c r="R79" s="66">
        <f t="shared" si="69"/>
        <v>1.4545454545454545E-2</v>
      </c>
      <c r="S79" s="66">
        <f t="shared" si="69"/>
        <v>1.4545454545454545E-2</v>
      </c>
      <c r="T79" s="66">
        <f t="shared" si="69"/>
        <v>1.4545454545454545E-2</v>
      </c>
      <c r="U79" s="66">
        <f t="shared" si="69"/>
        <v>1.4545454545454545E-2</v>
      </c>
      <c r="V79" s="66">
        <f t="shared" si="69"/>
        <v>1.4545454545454545E-2</v>
      </c>
      <c r="W79" s="66">
        <f t="shared" si="69"/>
        <v>1.4545454545454545E-2</v>
      </c>
      <c r="X79" s="66">
        <f t="shared" si="69"/>
        <v>1.4545454545454545E-2</v>
      </c>
      <c r="Y79" s="66">
        <f t="shared" si="69"/>
        <v>1.4545454545454545E-2</v>
      </c>
      <c r="Z79" s="66">
        <f t="shared" si="69"/>
        <v>1.4545454545454545E-2</v>
      </c>
      <c r="AA79" s="66">
        <f t="shared" si="69"/>
        <v>1.4545454545454545E-2</v>
      </c>
      <c r="AB79" s="66">
        <f t="shared" si="69"/>
        <v>1.4545454545454545E-2</v>
      </c>
      <c r="AC79" s="66">
        <f t="shared" si="69"/>
        <v>1.4545454545454545E-2</v>
      </c>
    </row>
    <row r="80" spans="1:29" x14ac:dyDescent="0.25">
      <c r="A80" s="30" t="str">
        <f t="shared" si="63"/>
        <v>Opex var (mode-fees)</v>
      </c>
      <c r="B80" s="66">
        <f>B38*B47/B47/(B44)</f>
        <v>4.4000000000000003E-3</v>
      </c>
      <c r="C80" s="66">
        <f t="shared" ref="C80:AC80" si="70">C38*C47/C47/(C44)</f>
        <v>4.4000000000000003E-3</v>
      </c>
      <c r="D80" s="66">
        <f t="shared" si="70"/>
        <v>4.4000000000000003E-3</v>
      </c>
      <c r="E80" s="66">
        <f t="shared" si="70"/>
        <v>4.4000000000000003E-3</v>
      </c>
      <c r="F80" s="66">
        <f t="shared" si="70"/>
        <v>4.4000000000000003E-3</v>
      </c>
      <c r="G80" s="66">
        <f t="shared" si="70"/>
        <v>4.4000000000000003E-3</v>
      </c>
      <c r="H80" s="66">
        <f t="shared" si="70"/>
        <v>4.4000000000000003E-3</v>
      </c>
      <c r="I80" s="66">
        <f t="shared" si="70"/>
        <v>4.4000000000000003E-3</v>
      </c>
      <c r="J80" s="66">
        <f t="shared" si="70"/>
        <v>4.4000000000000003E-3</v>
      </c>
      <c r="K80" s="66">
        <f t="shared" si="70"/>
        <v>4.4000000000000003E-3</v>
      </c>
      <c r="L80" s="66">
        <f t="shared" si="70"/>
        <v>4.4000000000000003E-3</v>
      </c>
      <c r="M80" s="66">
        <f t="shared" si="70"/>
        <v>4.4000000000000003E-3</v>
      </c>
      <c r="N80" s="66">
        <f t="shared" si="70"/>
        <v>4.4000000000000003E-3</v>
      </c>
      <c r="O80" s="66">
        <f t="shared" si="70"/>
        <v>4.4000000000000003E-3</v>
      </c>
      <c r="P80" s="66">
        <f t="shared" si="70"/>
        <v>4.4000000000000003E-3</v>
      </c>
      <c r="Q80" s="66">
        <f t="shared" si="70"/>
        <v>4.4000000000000003E-3</v>
      </c>
      <c r="R80" s="66">
        <f t="shared" si="70"/>
        <v>4.4000000000000003E-3</v>
      </c>
      <c r="S80" s="66">
        <f t="shared" si="70"/>
        <v>4.4000000000000003E-3</v>
      </c>
      <c r="T80" s="66">
        <f t="shared" si="70"/>
        <v>4.4000000000000003E-3</v>
      </c>
      <c r="U80" s="66">
        <f t="shared" si="70"/>
        <v>4.4000000000000003E-3</v>
      </c>
      <c r="V80" s="66">
        <f t="shared" si="70"/>
        <v>4.4000000000000003E-3</v>
      </c>
      <c r="W80" s="66">
        <f t="shared" si="70"/>
        <v>4.4000000000000003E-3</v>
      </c>
      <c r="X80" s="66">
        <f t="shared" si="70"/>
        <v>4.4000000000000003E-3</v>
      </c>
      <c r="Y80" s="66">
        <f t="shared" si="70"/>
        <v>4.4000000000000003E-3</v>
      </c>
      <c r="Z80" s="66">
        <f t="shared" si="70"/>
        <v>4.4000000000000003E-3</v>
      </c>
      <c r="AA80" s="66">
        <f t="shared" si="70"/>
        <v>4.4000000000000003E-3</v>
      </c>
      <c r="AB80" s="66">
        <f t="shared" si="70"/>
        <v>4.4000000000000003E-3</v>
      </c>
      <c r="AC80" s="66">
        <f t="shared" si="70"/>
        <v>4.4000000000000003E-3</v>
      </c>
    </row>
    <row r="81" spans="1:29" x14ac:dyDescent="0.25">
      <c r="A81" s="30" t="str">
        <f t="shared" si="63"/>
        <v>Fuel Cost</v>
      </c>
      <c r="B81" s="66">
        <f>B39*B40*B47/B47/(B44)</f>
        <v>6.7070446072256132E-3</v>
      </c>
      <c r="C81" s="66">
        <f t="shared" ref="C81:AC81" si="71">C39*C40*C47/C47/(C44)</f>
        <v>6.2383899519048869E-3</v>
      </c>
      <c r="D81" s="66">
        <f t="shared" si="71"/>
        <v>5.7682676226686715E-3</v>
      </c>
      <c r="E81" s="66">
        <f t="shared" si="71"/>
        <v>5.2963783728964976E-3</v>
      </c>
      <c r="F81" s="66">
        <f t="shared" si="71"/>
        <v>4.8224563194910804E-3</v>
      </c>
      <c r="G81" s="66">
        <f t="shared" si="71"/>
        <v>4.3463592625720502E-3</v>
      </c>
      <c r="H81" s="66">
        <f t="shared" si="71"/>
        <v>3.8682210124682632E-3</v>
      </c>
      <c r="I81" s="66">
        <f t="shared" si="71"/>
        <v>3.3886772403356712E-3</v>
      </c>
      <c r="J81" s="66">
        <f t="shared" si="71"/>
        <v>3.2887713624833326E-3</v>
      </c>
      <c r="K81" s="66">
        <f t="shared" si="71"/>
        <v>3.1822037422542925E-3</v>
      </c>
      <c r="L81" s="66">
        <f t="shared" si="71"/>
        <v>3.0697030540941771E-3</v>
      </c>
      <c r="M81" s="66">
        <f t="shared" si="71"/>
        <v>2.9533510719556709E-3</v>
      </c>
      <c r="N81" s="66">
        <f t="shared" si="71"/>
        <v>2.8364754866592084E-3</v>
      </c>
      <c r="O81" s="66">
        <f t="shared" si="71"/>
        <v>2.7229316046217021E-3</v>
      </c>
      <c r="P81" s="66">
        <f t="shared" si="71"/>
        <v>2.6160286431830167E-3</v>
      </c>
      <c r="Q81" s="66">
        <f t="shared" si="71"/>
        <v>2.5176858785376259E-3</v>
      </c>
      <c r="R81" s="66">
        <f t="shared" si="71"/>
        <v>2.4282394709368637E-3</v>
      </c>
      <c r="S81" s="66">
        <f t="shared" si="71"/>
        <v>2.346831759928703E-3</v>
      </c>
      <c r="T81" s="66">
        <f t="shared" si="71"/>
        <v>2.2720108236018322E-3</v>
      </c>
      <c r="U81" s="66">
        <f t="shared" si="71"/>
        <v>2.2022252939308358E-3</v>
      </c>
      <c r="V81" s="66">
        <f t="shared" si="71"/>
        <v>2.1361052859709116E-3</v>
      </c>
      <c r="W81" s="66">
        <f t="shared" si="71"/>
        <v>2.0725637450827623E-3</v>
      </c>
      <c r="X81" s="66">
        <f t="shared" si="71"/>
        <v>2.0107933454626002E-3</v>
      </c>
      <c r="Y81" s="66">
        <f t="shared" si="71"/>
        <v>1.9502196620704993E-3</v>
      </c>
      <c r="Z81" s="66">
        <f t="shared" si="71"/>
        <v>1.8904453943583482E-3</v>
      </c>
      <c r="AA81" s="66">
        <f t="shared" si="71"/>
        <v>1.8312009100605105E-3</v>
      </c>
      <c r="AB81" s="66">
        <f t="shared" si="71"/>
        <v>1.772305552898025E-3</v>
      </c>
      <c r="AC81" s="66">
        <f t="shared" si="71"/>
        <v>1.7136393401738417E-3</v>
      </c>
    </row>
    <row r="82" spans="1:29" x14ac:dyDescent="0.25">
      <c r="A82" s="59" t="str">
        <f>A45</f>
        <v>Market failure (av. utilization)</v>
      </c>
      <c r="B82" s="66">
        <f t="shared" ref="B82" si="72">B71/B45-B71/B44</f>
        <v>7.1307176621036375E-2</v>
      </c>
      <c r="C82" s="66">
        <f t="shared" ref="C82:AC82" si="73">C71/C45-C71/C44</f>
        <v>7.0948831200565762E-2</v>
      </c>
      <c r="D82" s="66">
        <f t="shared" si="73"/>
        <v>7.059348215061137E-2</v>
      </c>
      <c r="E82" s="66">
        <f t="shared" si="73"/>
        <v>7.0242546012082213E-2</v>
      </c>
      <c r="F82" s="66">
        <f t="shared" si="73"/>
        <v>6.9898025243325473E-2</v>
      </c>
      <c r="G82" s="66">
        <f t="shared" si="73"/>
        <v>6.9562665809828908E-2</v>
      </c>
      <c r="H82" s="66">
        <f t="shared" si="73"/>
        <v>6.9240065075552526E-2</v>
      </c>
      <c r="I82" s="66">
        <f t="shared" si="73"/>
        <v>6.8934613600654893E-2</v>
      </c>
      <c r="J82" s="66">
        <f t="shared" si="73"/>
        <v>6.8949362028868019E-2</v>
      </c>
      <c r="K82" s="66">
        <f t="shared" si="73"/>
        <v>6.8983057782326704E-2</v>
      </c>
      <c r="L82" s="66">
        <f t="shared" si="73"/>
        <v>6.9035573959811594E-2</v>
      </c>
      <c r="M82" s="66">
        <f t="shared" si="73"/>
        <v>6.9103491380650001E-2</v>
      </c>
      <c r="N82" s="66">
        <f t="shared" si="73"/>
        <v>6.9179871806994975E-2</v>
      </c>
      <c r="O82" s="66">
        <f t="shared" si="73"/>
        <v>6.9255559917547185E-2</v>
      </c>
      <c r="P82" s="66">
        <f t="shared" si="73"/>
        <v>6.9321677654419225E-2</v>
      </c>
      <c r="Q82" s="66">
        <f t="shared" si="73"/>
        <v>6.9371982945580335E-2</v>
      </c>
      <c r="R82" s="66">
        <f t="shared" si="73"/>
        <v>6.9403868037603039E-2</v>
      </c>
      <c r="S82" s="66">
        <f t="shared" si="73"/>
        <v>6.9417860817046803E-2</v>
      </c>
      <c r="T82" s="66">
        <f t="shared" si="73"/>
        <v>6.9416376836581334E-2</v>
      </c>
      <c r="U82" s="66">
        <f t="shared" si="73"/>
        <v>6.9402516807111556E-2</v>
      </c>
      <c r="V82" s="66">
        <f t="shared" si="73"/>
        <v>6.9379280313783612E-2</v>
      </c>
      <c r="W82" s="66">
        <f t="shared" si="73"/>
        <v>6.9349198606904638E-2</v>
      </c>
      <c r="X82" s="66">
        <f t="shared" si="73"/>
        <v>6.9314244815520301E-2</v>
      </c>
      <c r="Y82" s="66">
        <f t="shared" si="73"/>
        <v>6.9275882712813958E-2</v>
      </c>
      <c r="Z82" s="66">
        <f t="shared" si="73"/>
        <v>6.9235164073920719E-2</v>
      </c>
      <c r="AA82" s="66">
        <f t="shared" si="73"/>
        <v>6.9192828972624368E-2</v>
      </c>
      <c r="AB82" s="66">
        <f t="shared" si="73"/>
        <v>6.9149390984807269E-2</v>
      </c>
      <c r="AC82" s="66">
        <f t="shared" si="73"/>
        <v>6.9105203232298421E-2</v>
      </c>
    </row>
    <row r="83" spans="1:29" x14ac:dyDescent="0.25">
      <c r="A83" s="59" t="str">
        <f>A46</f>
        <v>Payload loss (fuel)</v>
      </c>
      <c r="B83" s="66">
        <f>B71/(B44-B46)-B71/B44</f>
        <v>0</v>
      </c>
      <c r="C83" s="66">
        <f t="shared" ref="C83:AC83" si="74">C71/(C44-C46)-C71/C44</f>
        <v>0</v>
      </c>
      <c r="D83" s="66">
        <f t="shared" si="74"/>
        <v>0</v>
      </c>
      <c r="E83" s="66">
        <f t="shared" si="74"/>
        <v>0</v>
      </c>
      <c r="F83" s="66">
        <f t="shared" si="74"/>
        <v>0</v>
      </c>
      <c r="G83" s="66">
        <f t="shared" si="74"/>
        <v>0</v>
      </c>
      <c r="H83" s="66">
        <f t="shared" si="74"/>
        <v>0</v>
      </c>
      <c r="I83" s="66">
        <f t="shared" si="74"/>
        <v>0</v>
      </c>
      <c r="J83" s="66">
        <f t="shared" si="74"/>
        <v>0</v>
      </c>
      <c r="K83" s="66">
        <f t="shared" si="74"/>
        <v>0</v>
      </c>
      <c r="L83" s="66">
        <f t="shared" si="74"/>
        <v>0</v>
      </c>
      <c r="M83" s="66">
        <f t="shared" si="74"/>
        <v>0</v>
      </c>
      <c r="N83" s="66">
        <f t="shared" si="74"/>
        <v>0</v>
      </c>
      <c r="O83" s="66">
        <f t="shared" si="74"/>
        <v>0</v>
      </c>
      <c r="P83" s="66">
        <f t="shared" si="74"/>
        <v>0</v>
      </c>
      <c r="Q83" s="66">
        <f t="shared" si="74"/>
        <v>0</v>
      </c>
      <c r="R83" s="66">
        <f t="shared" si="74"/>
        <v>0</v>
      </c>
      <c r="S83" s="66">
        <f t="shared" si="74"/>
        <v>0</v>
      </c>
      <c r="T83" s="66">
        <f t="shared" si="74"/>
        <v>0</v>
      </c>
      <c r="U83" s="66">
        <f t="shared" si="74"/>
        <v>0</v>
      </c>
      <c r="V83" s="66">
        <f t="shared" si="74"/>
        <v>0</v>
      </c>
      <c r="W83" s="66">
        <f t="shared" si="74"/>
        <v>0</v>
      </c>
      <c r="X83" s="66">
        <f t="shared" si="74"/>
        <v>0</v>
      </c>
      <c r="Y83" s="66">
        <f t="shared" si="74"/>
        <v>0</v>
      </c>
      <c r="Z83" s="66">
        <f t="shared" si="74"/>
        <v>0</v>
      </c>
      <c r="AA83" s="66">
        <f t="shared" si="74"/>
        <v>0</v>
      </c>
      <c r="AB83" s="66">
        <f t="shared" si="74"/>
        <v>0</v>
      </c>
      <c r="AC83" s="66">
        <f t="shared" si="74"/>
        <v>0</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0.16008550383733161</v>
      </c>
      <c r="C85" s="67">
        <f t="shared" ref="C85:AC85" si="76">C74+C75+C76+C77+C78+C79+C80+C81+C82+C83+C84</f>
        <v>0.15927108242717111</v>
      </c>
      <c r="D85" s="67">
        <f t="shared" si="76"/>
        <v>0.15846347095000207</v>
      </c>
      <c r="E85" s="67">
        <f t="shared" si="76"/>
        <v>0.15766588881698124</v>
      </c>
      <c r="F85" s="67">
        <f t="shared" si="76"/>
        <v>0.15688288706980683</v>
      </c>
      <c r="G85" s="67">
        <f t="shared" si="76"/>
        <v>0.15612070653913285</v>
      </c>
      <c r="H85" s="67">
        <f t="shared" si="76"/>
        <v>0.15538752305214107</v>
      </c>
      <c r="I85" s="67">
        <f t="shared" si="76"/>
        <v>0.1546933151546464</v>
      </c>
      <c r="J85" s="67">
        <f t="shared" si="76"/>
        <v>0.15472683430967626</v>
      </c>
      <c r="K85" s="67">
        <f t="shared" si="76"/>
        <v>0.15480341556753688</v>
      </c>
      <c r="L85" s="67">
        <f t="shared" si="76"/>
        <v>0.15492277051636621</v>
      </c>
      <c r="M85" s="67">
        <f t="shared" si="76"/>
        <v>0.15507712829099893</v>
      </c>
      <c r="N85" s="67">
        <f t="shared" si="76"/>
        <v>0.15525072016905569</v>
      </c>
      <c r="O85" s="67">
        <f t="shared" si="76"/>
        <v>0.15542273860212891</v>
      </c>
      <c r="P85" s="67">
        <f t="shared" si="76"/>
        <v>0.15557300618592901</v>
      </c>
      <c r="Q85" s="67">
        <f t="shared" si="76"/>
        <v>0.15568733639311333</v>
      </c>
      <c r="R85" s="67">
        <f t="shared" si="76"/>
        <v>0.15575980251134675</v>
      </c>
      <c r="S85" s="67">
        <f t="shared" si="76"/>
        <v>0.15579160428280986</v>
      </c>
      <c r="T85" s="67">
        <f t="shared" si="76"/>
        <v>0.1557882315999338</v>
      </c>
      <c r="U85" s="67">
        <f t="shared" si="76"/>
        <v>0.15575673153295702</v>
      </c>
      <c r="V85" s="67">
        <f t="shared" si="76"/>
        <v>0.15570392132084804</v>
      </c>
      <c r="W85" s="67">
        <f t="shared" si="76"/>
        <v>0.15563555380521404</v>
      </c>
      <c r="X85" s="67">
        <f t="shared" si="76"/>
        <v>0.15555611337024963</v>
      </c>
      <c r="Y85" s="67">
        <f t="shared" si="76"/>
        <v>0.15546892677318974</v>
      </c>
      <c r="Z85" s="67">
        <f t="shared" si="76"/>
        <v>0.15537638441206875</v>
      </c>
      <c r="AA85" s="67">
        <f t="shared" si="76"/>
        <v>0.15528016827275887</v>
      </c>
      <c r="AB85" s="67">
        <f t="shared" si="76"/>
        <v>0.15518144557317454</v>
      </c>
      <c r="AC85" s="67">
        <f t="shared" si="76"/>
        <v>0.15508101886292719</v>
      </c>
    </row>
    <row r="87" spans="1:29" x14ac:dyDescent="0.25">
      <c r="B87" s="40"/>
    </row>
    <row r="107" spans="1:2" s="3" customFormat="1" ht="21" x14ac:dyDescent="0.35">
      <c r="A107" s="2" t="str">
        <f>'Parameter Input'!A88</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Input'!L77</f>
        <v>105000</v>
      </c>
      <c r="C117" s="42">
        <f>'Parameter Input'!M77</f>
        <v>115000</v>
      </c>
      <c r="D117" s="1" t="s">
        <v>15</v>
      </c>
      <c r="L117" s="51">
        <f>'Parameter Input'!O77</f>
        <v>12</v>
      </c>
      <c r="M117" s="52">
        <v>0</v>
      </c>
      <c r="N117" s="52">
        <v>1</v>
      </c>
      <c r="O117" s="52">
        <f>'Parameter Input'!P77</f>
        <v>0.9</v>
      </c>
      <c r="P117" s="53">
        <f>'Parameter Input'!Q77</f>
        <v>0.4</v>
      </c>
      <c r="Q117" s="4">
        <f t="shared" ref="Q117:AR127" si="77">$N117+($M117-$N117)*((1/(1+EXP(-$P117*(Q$9-$L117)))^$O117))</f>
        <v>0.9867978615748374</v>
      </c>
      <c r="R117" s="4">
        <f t="shared" si="77"/>
        <v>0.98114509762858249</v>
      </c>
      <c r="S117" s="4">
        <f t="shared" si="77"/>
        <v>0.97311898315872036</v>
      </c>
      <c r="T117" s="4">
        <f t="shared" si="77"/>
        <v>0.96177484161592774</v>
      </c>
      <c r="U117" s="4">
        <f t="shared" si="77"/>
        <v>0.94584787155511363</v>
      </c>
      <c r="V117" s="4">
        <f t="shared" si="77"/>
        <v>0.92370360150141495</v>
      </c>
      <c r="W117" s="4">
        <f t="shared" si="77"/>
        <v>0.89334463567658451</v>
      </c>
      <c r="X117" s="4">
        <f t="shared" si="77"/>
        <v>0.85254543874327005</v>
      </c>
      <c r="Y117" s="4">
        <f t="shared" si="77"/>
        <v>0.79921300652623883</v>
      </c>
      <c r="Z117" s="4">
        <f t="shared" si="77"/>
        <v>0.73204982249993378</v>
      </c>
      <c r="AA117" s="4">
        <f t="shared" si="77"/>
        <v>0.65145592958786691</v>
      </c>
      <c r="AB117" s="4">
        <f t="shared" si="77"/>
        <v>0.56032247880849573</v>
      </c>
      <c r="AC117" s="4">
        <f t="shared" si="77"/>
        <v>0.46411326873185343</v>
      </c>
      <c r="AD117" s="4">
        <f t="shared" si="77"/>
        <v>0.36979727595523937</v>
      </c>
      <c r="AE117" s="4">
        <f t="shared" si="77"/>
        <v>0.28393948637231203</v>
      </c>
      <c r="AF117" s="4">
        <f t="shared" si="77"/>
        <v>0.21097259161117732</v>
      </c>
      <c r="AG117" s="4">
        <f t="shared" si="77"/>
        <v>0.15253917653798199</v>
      </c>
      <c r="AH117" s="4">
        <f t="shared" si="77"/>
        <v>0.10795188737709993</v>
      </c>
      <c r="AI117" s="4">
        <f t="shared" si="77"/>
        <v>7.5176653938091809E-2</v>
      </c>
      <c r="AJ117" s="4">
        <f t="shared" si="77"/>
        <v>5.1742836177502194E-2</v>
      </c>
      <c r="AK117" s="4">
        <f t="shared" si="77"/>
        <v>3.5319190625345942E-2</v>
      </c>
      <c r="AL117" s="4">
        <f t="shared" si="77"/>
        <v>2.3969442072658165E-2</v>
      </c>
      <c r="AM117" s="4">
        <f t="shared" si="77"/>
        <v>1.6202243558389728E-2</v>
      </c>
      <c r="AN117" s="4">
        <f t="shared" si="77"/>
        <v>1.0922240564108399E-2</v>
      </c>
      <c r="AO117" s="4">
        <f t="shared" si="77"/>
        <v>7.3493212906090566E-3</v>
      </c>
      <c r="AP117" s="4">
        <f t="shared" si="77"/>
        <v>4.9390262185057265E-3</v>
      </c>
      <c r="AQ117" s="4">
        <f t="shared" si="77"/>
        <v>3.3164275492956197E-3</v>
      </c>
      <c r="AR117" s="4">
        <f t="shared" si="77"/>
        <v>2.2256362146679809E-3</v>
      </c>
    </row>
    <row r="118" spans="1:44" x14ac:dyDescent="0.25">
      <c r="A118" s="24" t="s">
        <v>28</v>
      </c>
      <c r="B118" s="60">
        <f>'Parameter Input'!L78</f>
        <v>-26250</v>
      </c>
      <c r="C118" s="61">
        <f>'Parameter Input'!M78</f>
        <v>-17250</v>
      </c>
      <c r="D118" s="1" t="s">
        <v>15</v>
      </c>
      <c r="L118" s="54">
        <f>'Parameter Input'!O78</f>
        <v>12</v>
      </c>
      <c r="M118" s="37">
        <v>0</v>
      </c>
      <c r="N118" s="37">
        <v>1</v>
      </c>
      <c r="O118" s="37">
        <f>'Parameter Input'!P78</f>
        <v>0.9</v>
      </c>
      <c r="P118" s="55">
        <f>'Parameter Input'!Q78</f>
        <v>0.4</v>
      </c>
      <c r="Q118" s="4">
        <f t="shared" si="77"/>
        <v>0.9867978615748374</v>
      </c>
      <c r="R118" s="4">
        <f t="shared" si="77"/>
        <v>0.98114509762858249</v>
      </c>
      <c r="S118" s="4">
        <f t="shared" si="77"/>
        <v>0.97311898315872036</v>
      </c>
      <c r="T118" s="4">
        <f t="shared" si="77"/>
        <v>0.96177484161592774</v>
      </c>
      <c r="U118" s="4">
        <f t="shared" si="77"/>
        <v>0.94584787155511363</v>
      </c>
      <c r="V118" s="4">
        <f t="shared" si="77"/>
        <v>0.92370360150141495</v>
      </c>
      <c r="W118" s="4">
        <f t="shared" si="77"/>
        <v>0.89334463567658451</v>
      </c>
      <c r="X118" s="4">
        <f t="shared" si="77"/>
        <v>0.85254543874327005</v>
      </c>
      <c r="Y118" s="4">
        <f t="shared" si="77"/>
        <v>0.79921300652623883</v>
      </c>
      <c r="Z118" s="4">
        <f t="shared" si="77"/>
        <v>0.73204982249993378</v>
      </c>
      <c r="AA118" s="4">
        <f t="shared" si="77"/>
        <v>0.65145592958786691</v>
      </c>
      <c r="AB118" s="4">
        <f t="shared" si="77"/>
        <v>0.56032247880849573</v>
      </c>
      <c r="AC118" s="4">
        <f t="shared" si="77"/>
        <v>0.46411326873185343</v>
      </c>
      <c r="AD118" s="4">
        <f t="shared" si="77"/>
        <v>0.36979727595523937</v>
      </c>
      <c r="AE118" s="4">
        <f t="shared" si="77"/>
        <v>0.28393948637231203</v>
      </c>
      <c r="AF118" s="4">
        <f t="shared" si="77"/>
        <v>0.21097259161117732</v>
      </c>
      <c r="AG118" s="4">
        <f t="shared" si="77"/>
        <v>0.15253917653798199</v>
      </c>
      <c r="AH118" s="4">
        <f t="shared" si="77"/>
        <v>0.10795188737709993</v>
      </c>
      <c r="AI118" s="4">
        <f t="shared" si="77"/>
        <v>7.5176653938091809E-2</v>
      </c>
      <c r="AJ118" s="4">
        <f t="shared" si="77"/>
        <v>5.1742836177502194E-2</v>
      </c>
      <c r="AK118" s="4">
        <f t="shared" si="77"/>
        <v>3.5319190625345942E-2</v>
      </c>
      <c r="AL118" s="4">
        <f t="shared" si="77"/>
        <v>2.3969442072658165E-2</v>
      </c>
      <c r="AM118" s="4">
        <f t="shared" si="77"/>
        <v>1.6202243558389728E-2</v>
      </c>
      <c r="AN118" s="4">
        <f t="shared" si="77"/>
        <v>1.0922240564108399E-2</v>
      </c>
      <c r="AO118" s="4">
        <f t="shared" si="77"/>
        <v>7.3493212906090566E-3</v>
      </c>
      <c r="AP118" s="4">
        <f t="shared" si="77"/>
        <v>4.9390262185057265E-3</v>
      </c>
      <c r="AQ118" s="4">
        <f t="shared" si="77"/>
        <v>3.3164275492956197E-3</v>
      </c>
      <c r="AR118" s="4">
        <f t="shared" si="77"/>
        <v>2.2256362146679809E-3</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60">
        <f>'Parameter Input'!L84</f>
        <v>0.06</v>
      </c>
      <c r="C121" s="61">
        <f>'Parameter Input'!M84</f>
        <v>0.06</v>
      </c>
      <c r="D121" s="1" t="s">
        <v>57</v>
      </c>
      <c r="L121" s="54">
        <f>'Parameter Input'!O84</f>
        <v>12</v>
      </c>
      <c r="M121" s="37">
        <v>0</v>
      </c>
      <c r="N121" s="37">
        <v>1</v>
      </c>
      <c r="O121" s="37">
        <f>'Parameter Input'!P84</f>
        <v>0.9</v>
      </c>
      <c r="P121" s="55">
        <f>'Parameter Input'!Q84</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60">
        <f>'Parameter Input'!L80</f>
        <v>20000</v>
      </c>
      <c r="C123" s="61">
        <f>'Parameter Input'!M80</f>
        <v>20000</v>
      </c>
      <c r="D123" s="1" t="s">
        <v>38</v>
      </c>
      <c r="L123" s="54">
        <f>'Parameter Input'!O80</f>
        <v>12</v>
      </c>
      <c r="M123" s="37">
        <v>0</v>
      </c>
      <c r="N123" s="37">
        <v>1</v>
      </c>
      <c r="O123" s="37">
        <f>'Parameter Input'!P80</f>
        <v>0.9</v>
      </c>
      <c r="P123" s="55">
        <f>'Parameter Input'!Q80</f>
        <v>0.4</v>
      </c>
      <c r="Q123" s="4">
        <f t="shared" si="77"/>
        <v>0.9867978615748374</v>
      </c>
      <c r="R123" s="4">
        <f t="shared" si="77"/>
        <v>0.98114509762858249</v>
      </c>
      <c r="S123" s="4">
        <f t="shared" si="77"/>
        <v>0.97311898315872036</v>
      </c>
      <c r="T123" s="4">
        <f t="shared" si="77"/>
        <v>0.96177484161592774</v>
      </c>
      <c r="U123" s="4">
        <f t="shared" si="77"/>
        <v>0.94584787155511363</v>
      </c>
      <c r="V123" s="4">
        <f t="shared" si="77"/>
        <v>0.92370360150141495</v>
      </c>
      <c r="W123" s="4">
        <f t="shared" si="77"/>
        <v>0.89334463567658451</v>
      </c>
      <c r="X123" s="4">
        <f t="shared" si="77"/>
        <v>0.85254543874327005</v>
      </c>
      <c r="Y123" s="4">
        <f t="shared" si="77"/>
        <v>0.79921300652623883</v>
      </c>
      <c r="Z123" s="4">
        <f t="shared" si="77"/>
        <v>0.73204982249993378</v>
      </c>
      <c r="AA123" s="4">
        <f t="shared" si="77"/>
        <v>0.65145592958786691</v>
      </c>
      <c r="AB123" s="4">
        <f t="shared" si="77"/>
        <v>0.56032247880849573</v>
      </c>
      <c r="AC123" s="4">
        <f t="shared" si="77"/>
        <v>0.46411326873185343</v>
      </c>
      <c r="AD123" s="4">
        <f t="shared" si="77"/>
        <v>0.36979727595523937</v>
      </c>
      <c r="AE123" s="4">
        <f t="shared" si="77"/>
        <v>0.28393948637231203</v>
      </c>
      <c r="AF123" s="4">
        <f t="shared" si="77"/>
        <v>0.21097259161117732</v>
      </c>
      <c r="AG123" s="4">
        <f t="shared" si="77"/>
        <v>0.15253917653798199</v>
      </c>
      <c r="AH123" s="4">
        <f t="shared" si="77"/>
        <v>0.10795188737709993</v>
      </c>
      <c r="AI123" s="4">
        <f t="shared" si="77"/>
        <v>7.5176653938091809E-2</v>
      </c>
      <c r="AJ123" s="4">
        <f t="shared" si="77"/>
        <v>5.1742836177502194E-2</v>
      </c>
      <c r="AK123" s="4">
        <f t="shared" si="77"/>
        <v>3.5319190625345942E-2</v>
      </c>
      <c r="AL123" s="4">
        <f t="shared" si="77"/>
        <v>2.3969442072658165E-2</v>
      </c>
      <c r="AM123" s="4">
        <f t="shared" si="77"/>
        <v>1.6202243558389728E-2</v>
      </c>
      <c r="AN123" s="4">
        <f t="shared" si="77"/>
        <v>1.0922240564108399E-2</v>
      </c>
      <c r="AO123" s="4">
        <f t="shared" si="77"/>
        <v>7.3493212906090566E-3</v>
      </c>
      <c r="AP123" s="4">
        <f t="shared" si="77"/>
        <v>4.9390262185057265E-3</v>
      </c>
      <c r="AQ123" s="4">
        <f t="shared" si="77"/>
        <v>3.3164275492956197E-3</v>
      </c>
      <c r="AR123" s="4">
        <f t="shared" si="77"/>
        <v>2.2256362146679809E-3</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78">
        <f>'Parameter Input'!L81</f>
        <v>2.9</v>
      </c>
      <c r="C125" s="61">
        <f>'Parameter Input'!M81</f>
        <v>2.4</v>
      </c>
      <c r="D125" s="1" t="s">
        <v>60</v>
      </c>
      <c r="L125" s="54">
        <f>'Parameter Input'!O81</f>
        <v>12</v>
      </c>
      <c r="M125" s="37">
        <v>0</v>
      </c>
      <c r="N125" s="37">
        <v>1</v>
      </c>
      <c r="O125" s="37">
        <f>'Parameter Input'!P81</f>
        <v>0.9</v>
      </c>
      <c r="P125" s="55">
        <f>'Parameter Input'!Q81</f>
        <v>0.4</v>
      </c>
      <c r="Q125" s="4">
        <f t="shared" si="77"/>
        <v>0.9867978615748374</v>
      </c>
      <c r="R125" s="4">
        <f t="shared" si="77"/>
        <v>0.98114509762858249</v>
      </c>
      <c r="S125" s="4">
        <f t="shared" si="77"/>
        <v>0.97311898315872036</v>
      </c>
      <c r="T125" s="4">
        <f t="shared" si="77"/>
        <v>0.96177484161592774</v>
      </c>
      <c r="U125" s="4">
        <f t="shared" si="77"/>
        <v>0.94584787155511363</v>
      </c>
      <c r="V125" s="4">
        <f t="shared" si="77"/>
        <v>0.92370360150141495</v>
      </c>
      <c r="W125" s="4">
        <f t="shared" si="77"/>
        <v>0.89334463567658451</v>
      </c>
      <c r="X125" s="4">
        <f t="shared" si="77"/>
        <v>0.85254543874327005</v>
      </c>
      <c r="Y125" s="4">
        <f t="shared" si="77"/>
        <v>0.79921300652623883</v>
      </c>
      <c r="Z125" s="4">
        <f t="shared" si="77"/>
        <v>0.73204982249993378</v>
      </c>
      <c r="AA125" s="4">
        <f t="shared" si="77"/>
        <v>0.65145592958786691</v>
      </c>
      <c r="AB125" s="4">
        <f t="shared" si="77"/>
        <v>0.56032247880849573</v>
      </c>
      <c r="AC125" s="4">
        <f t="shared" si="77"/>
        <v>0.46411326873185343</v>
      </c>
      <c r="AD125" s="4">
        <f t="shared" si="77"/>
        <v>0.36979727595523937</v>
      </c>
      <c r="AE125" s="4">
        <f t="shared" si="77"/>
        <v>0.28393948637231203</v>
      </c>
      <c r="AF125" s="4">
        <f t="shared" si="77"/>
        <v>0.21097259161117732</v>
      </c>
      <c r="AG125" s="4">
        <f t="shared" si="77"/>
        <v>0.15253917653798199</v>
      </c>
      <c r="AH125" s="4">
        <f t="shared" si="77"/>
        <v>0.10795188737709993</v>
      </c>
      <c r="AI125" s="4">
        <f t="shared" si="77"/>
        <v>7.5176653938091809E-2</v>
      </c>
      <c r="AJ125" s="4">
        <f t="shared" si="77"/>
        <v>5.1742836177502194E-2</v>
      </c>
      <c r="AK125" s="4">
        <f t="shared" si="77"/>
        <v>3.5319190625345942E-2</v>
      </c>
      <c r="AL125" s="4">
        <f t="shared" si="77"/>
        <v>2.3969442072658165E-2</v>
      </c>
      <c r="AM125" s="4">
        <f t="shared" si="77"/>
        <v>1.6202243558389728E-2</v>
      </c>
      <c r="AN125" s="4">
        <f t="shared" si="77"/>
        <v>1.0922240564108399E-2</v>
      </c>
      <c r="AO125" s="4">
        <f t="shared" si="77"/>
        <v>7.3493212906090566E-3</v>
      </c>
      <c r="AP125" s="4">
        <f t="shared" si="77"/>
        <v>4.9390262185057265E-3</v>
      </c>
      <c r="AQ125" s="4">
        <f t="shared" si="77"/>
        <v>3.3164275492956197E-3</v>
      </c>
      <c r="AR125" s="4">
        <f t="shared" si="77"/>
        <v>2.2256362146679809E-3</v>
      </c>
    </row>
    <row r="126" spans="1:44" x14ac:dyDescent="0.25">
      <c r="A126" s="24" t="s">
        <v>67</v>
      </c>
      <c r="B126" s="79">
        <f>'Parameter Input'!L82</f>
        <v>0.1</v>
      </c>
      <c r="C126" s="61">
        <f>'Parameter Input'!M82</f>
        <v>0.1</v>
      </c>
      <c r="D126" s="1" t="s">
        <v>68</v>
      </c>
      <c r="L126" s="54">
        <f>'Parameter Input'!O82</f>
        <v>12</v>
      </c>
      <c r="M126" s="37">
        <v>0</v>
      </c>
      <c r="N126" s="37">
        <v>1</v>
      </c>
      <c r="O126" s="37">
        <f>'Parameter Input'!P82</f>
        <v>0.9</v>
      </c>
      <c r="P126" s="55">
        <f>'Parameter Input'!Q82</f>
        <v>0.4</v>
      </c>
      <c r="Q126" s="4">
        <f t="shared" si="77"/>
        <v>0.9867978615748374</v>
      </c>
      <c r="R126" s="4">
        <f t="shared" ref="R126:AR127" si="78">$N126+($M126-$N126)*((1/(1+EXP(-$P126*(R$9-$L126)))^$O126))</f>
        <v>0.98114509762858249</v>
      </c>
      <c r="S126" s="4">
        <f t="shared" si="78"/>
        <v>0.97311898315872036</v>
      </c>
      <c r="T126" s="4">
        <f t="shared" si="78"/>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si="78"/>
        <v>5.1742836177502194E-2</v>
      </c>
      <c r="AK126" s="4">
        <f t="shared" si="78"/>
        <v>3.5319190625345942E-2</v>
      </c>
      <c r="AL126" s="4">
        <f t="shared" si="78"/>
        <v>2.3969442072658165E-2</v>
      </c>
      <c r="AM126" s="4">
        <f t="shared" si="78"/>
        <v>1.6202243558389728E-2</v>
      </c>
      <c r="AN126" s="4">
        <f t="shared" si="78"/>
        <v>1.0922240564108399E-2</v>
      </c>
      <c r="AO126" s="4">
        <f t="shared" si="78"/>
        <v>7.3493212906090566E-3</v>
      </c>
      <c r="AP126" s="4">
        <f t="shared" si="78"/>
        <v>4.9390262185057265E-3</v>
      </c>
      <c r="AQ126" s="4">
        <f t="shared" si="78"/>
        <v>3.3164275492956197E-3</v>
      </c>
      <c r="AR126" s="4">
        <f t="shared" si="78"/>
        <v>2.2256362146679809E-3</v>
      </c>
    </row>
    <row r="127" spans="1:44" x14ac:dyDescent="0.25">
      <c r="A127" s="24" t="s">
        <v>206</v>
      </c>
      <c r="B127" s="45">
        <f>'Parameter Input'!$L$85</f>
        <v>0</v>
      </c>
      <c r="C127" s="46">
        <f>'Parameter Input'!$M$85</f>
        <v>0</v>
      </c>
      <c r="D127" s="1" t="s">
        <v>76</v>
      </c>
      <c r="L127" s="54">
        <f>'Parameter Input'!$O$85</f>
        <v>17</v>
      </c>
      <c r="M127" s="37">
        <v>0</v>
      </c>
      <c r="N127" s="37">
        <v>1</v>
      </c>
      <c r="O127" s="37">
        <f>'Parameter Input'!$P$85</f>
        <v>0.9</v>
      </c>
      <c r="P127" s="55">
        <f>'Parameter Input'!$Q$85</f>
        <v>0.4</v>
      </c>
      <c r="Q127" s="4">
        <f t="shared" si="77"/>
        <v>0.99780374543478534</v>
      </c>
      <c r="R127" s="4">
        <f t="shared" si="77"/>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Input'!L79</f>
        <v>8</v>
      </c>
      <c r="C128" s="61">
        <f>'Parameter Input'!M79</f>
        <v>8</v>
      </c>
      <c r="D128" s="1" t="s">
        <v>42</v>
      </c>
      <c r="L128" s="54">
        <f>'Parameter Input'!O79</f>
        <v>12</v>
      </c>
      <c r="M128" s="37">
        <v>0</v>
      </c>
      <c r="N128" s="37">
        <v>1</v>
      </c>
      <c r="O128" s="37">
        <f>'Parameter Input'!P79</f>
        <v>0.9</v>
      </c>
      <c r="P128" s="55">
        <f>'Parameter Input'!Q79</f>
        <v>0.4</v>
      </c>
      <c r="Q128" s="4">
        <f t="shared" ref="Q128:AF133" si="79">$N128+($M128-$N128)*((1/(1+EXP(-$P128*(Q$9-$L128)))^$O128))</f>
        <v>0.9867978615748374</v>
      </c>
      <c r="R128" s="4">
        <f t="shared" si="79"/>
        <v>0.98114509762858249</v>
      </c>
      <c r="S128" s="4">
        <f t="shared" si="79"/>
        <v>0.97311898315872036</v>
      </c>
      <c r="T128" s="4">
        <f t="shared" si="79"/>
        <v>0.96177484161592774</v>
      </c>
      <c r="U128" s="4">
        <f t="shared" si="79"/>
        <v>0.94584787155511363</v>
      </c>
      <c r="V128" s="4">
        <f t="shared" si="79"/>
        <v>0.92370360150141495</v>
      </c>
      <c r="W128" s="4">
        <f t="shared" si="79"/>
        <v>0.89334463567658451</v>
      </c>
      <c r="X128" s="4">
        <f t="shared" si="79"/>
        <v>0.85254543874327005</v>
      </c>
      <c r="Y128" s="4">
        <f t="shared" si="79"/>
        <v>0.79921300652623883</v>
      </c>
      <c r="Z128" s="4">
        <f t="shared" si="79"/>
        <v>0.73204982249993378</v>
      </c>
      <c r="AA128" s="4">
        <f t="shared" si="79"/>
        <v>0.65145592958786691</v>
      </c>
      <c r="AB128" s="4">
        <f t="shared" si="79"/>
        <v>0.56032247880849573</v>
      </c>
      <c r="AC128" s="4">
        <f t="shared" si="79"/>
        <v>0.46411326873185343</v>
      </c>
      <c r="AD128" s="4">
        <f t="shared" si="79"/>
        <v>0.36979727595523937</v>
      </c>
      <c r="AE128" s="4">
        <f t="shared" si="79"/>
        <v>0.28393948637231203</v>
      </c>
      <c r="AF128" s="4">
        <f t="shared" si="79"/>
        <v>0.21097259161117732</v>
      </c>
      <c r="AG128" s="4">
        <f t="shared" ref="AG128:AI133" si="80">$N128+($M128-$N128)*((1/(1+EXP(-$P128*(AG$9-$L128)))^$O128))</f>
        <v>0.15253917653798199</v>
      </c>
      <c r="AH128" s="4">
        <f t="shared" si="80"/>
        <v>0.10795188737709993</v>
      </c>
      <c r="AI128" s="4">
        <f t="shared" si="80"/>
        <v>7.5176653938091809E-2</v>
      </c>
      <c r="AJ128" s="4">
        <f t="shared" ref="AJ128:AR133" si="81">$N128+($M128-$N128)*((1/(1+EXP(-$P128*(AJ$9-$L128)))^$O128))</f>
        <v>5.1742836177502194E-2</v>
      </c>
      <c r="AK128" s="4">
        <f t="shared" si="81"/>
        <v>3.5319190625345942E-2</v>
      </c>
      <c r="AL128" s="4">
        <f t="shared" si="81"/>
        <v>2.3969442072658165E-2</v>
      </c>
      <c r="AM128" s="4">
        <f t="shared" si="81"/>
        <v>1.6202243558389728E-2</v>
      </c>
      <c r="AN128" s="4">
        <f t="shared" si="81"/>
        <v>1.0922240564108399E-2</v>
      </c>
      <c r="AO128" s="4">
        <f t="shared" si="81"/>
        <v>7.3493212906090566E-3</v>
      </c>
      <c r="AP128" s="4">
        <f t="shared" si="81"/>
        <v>4.9390262185057265E-3</v>
      </c>
      <c r="AQ128" s="4">
        <f t="shared" si="81"/>
        <v>3.3164275492956197E-3</v>
      </c>
      <c r="AR128" s="4">
        <f t="shared" si="81"/>
        <v>2.2256362146679809E-3</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79"/>
        <v>0.9867978615748374</v>
      </c>
      <c r="R129" s="4">
        <f t="shared" si="79"/>
        <v>0.98114509762858249</v>
      </c>
      <c r="S129" s="4">
        <f t="shared" si="79"/>
        <v>0.97311898315872036</v>
      </c>
      <c r="T129" s="4">
        <f t="shared" si="79"/>
        <v>0.96177484161592774</v>
      </c>
      <c r="U129" s="4">
        <f t="shared" si="79"/>
        <v>0.94584787155511363</v>
      </c>
      <c r="V129" s="4">
        <f t="shared" si="79"/>
        <v>0.92370360150141495</v>
      </c>
      <c r="W129" s="4">
        <f t="shared" si="79"/>
        <v>0.89334463567658451</v>
      </c>
      <c r="X129" s="4">
        <f t="shared" si="79"/>
        <v>0.85254543874327005</v>
      </c>
      <c r="Y129" s="4">
        <f t="shared" si="79"/>
        <v>0.79921300652623883</v>
      </c>
      <c r="Z129" s="4">
        <f t="shared" si="79"/>
        <v>0.73204982249993378</v>
      </c>
      <c r="AA129" s="4">
        <f t="shared" si="79"/>
        <v>0.65145592958786691</v>
      </c>
      <c r="AB129" s="4">
        <f t="shared" si="79"/>
        <v>0.56032247880849573</v>
      </c>
      <c r="AC129" s="4">
        <f t="shared" si="79"/>
        <v>0.46411326873185343</v>
      </c>
      <c r="AD129" s="4">
        <f t="shared" si="79"/>
        <v>0.36979727595523937</v>
      </c>
      <c r="AE129" s="4">
        <f t="shared" si="79"/>
        <v>0.28393948637231203</v>
      </c>
      <c r="AF129" s="4">
        <f t="shared" si="79"/>
        <v>0.21097259161117732</v>
      </c>
      <c r="AG129" s="4">
        <f t="shared" si="80"/>
        <v>0.15253917653798199</v>
      </c>
      <c r="AH129" s="4">
        <f t="shared" si="80"/>
        <v>0.10795188737709993</v>
      </c>
      <c r="AI129" s="4">
        <f t="shared" si="80"/>
        <v>7.5176653938091809E-2</v>
      </c>
      <c r="AJ129" s="4">
        <f t="shared" si="81"/>
        <v>5.1742836177502194E-2</v>
      </c>
      <c r="AK129" s="4">
        <f t="shared" si="81"/>
        <v>3.5319190625345942E-2</v>
      </c>
      <c r="AL129" s="4">
        <f t="shared" si="81"/>
        <v>2.3969442072658165E-2</v>
      </c>
      <c r="AM129" s="4">
        <f t="shared" si="81"/>
        <v>1.6202243558389728E-2</v>
      </c>
      <c r="AN129" s="4">
        <f t="shared" si="81"/>
        <v>1.0922240564108399E-2</v>
      </c>
      <c r="AO129" s="4">
        <f t="shared" si="81"/>
        <v>7.3493212906090566E-3</v>
      </c>
      <c r="AP129" s="4">
        <f t="shared" si="81"/>
        <v>4.9390262185057265E-3</v>
      </c>
      <c r="AQ129" s="4">
        <f t="shared" si="81"/>
        <v>3.3164275492956197E-3</v>
      </c>
      <c r="AR129" s="4">
        <f t="shared" si="81"/>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79"/>
        <v>0.9867978615748374</v>
      </c>
      <c r="R130" s="4">
        <f t="shared" si="79"/>
        <v>0.98114509762858249</v>
      </c>
      <c r="S130" s="4">
        <f t="shared" si="79"/>
        <v>0.97311898315872036</v>
      </c>
      <c r="T130" s="4">
        <f t="shared" si="79"/>
        <v>0.96177484161592774</v>
      </c>
      <c r="U130" s="4">
        <f t="shared" si="79"/>
        <v>0.94584787155511363</v>
      </c>
      <c r="V130" s="4">
        <f t="shared" si="79"/>
        <v>0.92370360150141495</v>
      </c>
      <c r="W130" s="4">
        <f t="shared" si="79"/>
        <v>0.89334463567658451</v>
      </c>
      <c r="X130" s="4">
        <f t="shared" si="79"/>
        <v>0.85254543874327005</v>
      </c>
      <c r="Y130" s="4">
        <f t="shared" si="79"/>
        <v>0.79921300652623883</v>
      </c>
      <c r="Z130" s="4">
        <f t="shared" si="79"/>
        <v>0.73204982249993378</v>
      </c>
      <c r="AA130" s="4">
        <f t="shared" si="79"/>
        <v>0.65145592958786691</v>
      </c>
      <c r="AB130" s="4">
        <f t="shared" si="79"/>
        <v>0.56032247880849573</v>
      </c>
      <c r="AC130" s="4">
        <f t="shared" si="79"/>
        <v>0.46411326873185343</v>
      </c>
      <c r="AD130" s="4">
        <f t="shared" si="79"/>
        <v>0.36979727595523937</v>
      </c>
      <c r="AE130" s="4">
        <f t="shared" si="79"/>
        <v>0.28393948637231203</v>
      </c>
      <c r="AF130" s="4">
        <f t="shared" si="79"/>
        <v>0.21097259161117732</v>
      </c>
      <c r="AG130" s="4">
        <f t="shared" si="80"/>
        <v>0.15253917653798199</v>
      </c>
      <c r="AH130" s="4">
        <f t="shared" si="80"/>
        <v>0.10795188737709993</v>
      </c>
      <c r="AI130" s="4">
        <f t="shared" si="80"/>
        <v>7.5176653938091809E-2</v>
      </c>
      <c r="AJ130" s="4">
        <f t="shared" si="81"/>
        <v>5.1742836177502194E-2</v>
      </c>
      <c r="AK130" s="4">
        <f t="shared" si="81"/>
        <v>3.5319190625345942E-2</v>
      </c>
      <c r="AL130" s="4">
        <f t="shared" si="81"/>
        <v>2.3969442072658165E-2</v>
      </c>
      <c r="AM130" s="4">
        <f t="shared" si="81"/>
        <v>1.6202243558389728E-2</v>
      </c>
      <c r="AN130" s="4">
        <f t="shared" si="81"/>
        <v>1.0922240564108399E-2</v>
      </c>
      <c r="AO130" s="4">
        <f t="shared" si="81"/>
        <v>7.3493212906090566E-3</v>
      </c>
      <c r="AP130" s="4">
        <f t="shared" si="81"/>
        <v>4.9390262185057265E-3</v>
      </c>
      <c r="AQ130" s="4">
        <f t="shared" si="81"/>
        <v>3.3164275492956197E-3</v>
      </c>
      <c r="AR130" s="4">
        <f t="shared" si="81"/>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79"/>
        <v>0.9867978615748374</v>
      </c>
      <c r="R131" s="4">
        <f t="shared" si="79"/>
        <v>0.98114509762858249</v>
      </c>
      <c r="S131" s="4">
        <f t="shared" si="79"/>
        <v>0.97311898315872036</v>
      </c>
      <c r="T131" s="4">
        <f t="shared" si="79"/>
        <v>0.96177484161592774</v>
      </c>
      <c r="U131" s="4">
        <f t="shared" si="79"/>
        <v>0.94584787155511363</v>
      </c>
      <c r="V131" s="4">
        <f t="shared" si="79"/>
        <v>0.92370360150141495</v>
      </c>
      <c r="W131" s="4">
        <f t="shared" si="79"/>
        <v>0.89334463567658451</v>
      </c>
      <c r="X131" s="4">
        <f t="shared" si="79"/>
        <v>0.85254543874327005</v>
      </c>
      <c r="Y131" s="4">
        <f t="shared" si="79"/>
        <v>0.79921300652623883</v>
      </c>
      <c r="Z131" s="4">
        <f t="shared" si="79"/>
        <v>0.73204982249993378</v>
      </c>
      <c r="AA131" s="4">
        <f t="shared" si="79"/>
        <v>0.65145592958786691</v>
      </c>
      <c r="AB131" s="4">
        <f t="shared" si="79"/>
        <v>0.56032247880849573</v>
      </c>
      <c r="AC131" s="4">
        <f t="shared" si="79"/>
        <v>0.46411326873185343</v>
      </c>
      <c r="AD131" s="4">
        <f t="shared" si="79"/>
        <v>0.36979727595523937</v>
      </c>
      <c r="AE131" s="4">
        <f t="shared" si="79"/>
        <v>0.28393948637231203</v>
      </c>
      <c r="AF131" s="4">
        <f t="shared" si="79"/>
        <v>0.21097259161117732</v>
      </c>
      <c r="AG131" s="4">
        <f t="shared" si="80"/>
        <v>0.15253917653798199</v>
      </c>
      <c r="AH131" s="4">
        <f t="shared" si="80"/>
        <v>0.10795188737709993</v>
      </c>
      <c r="AI131" s="4">
        <f t="shared" si="80"/>
        <v>7.5176653938091809E-2</v>
      </c>
      <c r="AJ131" s="4">
        <f t="shared" si="81"/>
        <v>5.1742836177502194E-2</v>
      </c>
      <c r="AK131" s="4">
        <f t="shared" si="81"/>
        <v>3.5319190625345942E-2</v>
      </c>
      <c r="AL131" s="4">
        <f t="shared" si="81"/>
        <v>2.3969442072658165E-2</v>
      </c>
      <c r="AM131" s="4">
        <f t="shared" si="81"/>
        <v>1.6202243558389728E-2</v>
      </c>
      <c r="AN131" s="4">
        <f t="shared" si="81"/>
        <v>1.0922240564108399E-2</v>
      </c>
      <c r="AO131" s="4">
        <f t="shared" si="81"/>
        <v>7.3493212906090566E-3</v>
      </c>
      <c r="AP131" s="4">
        <f t="shared" si="81"/>
        <v>4.9390262185057265E-3</v>
      </c>
      <c r="AQ131" s="4">
        <f t="shared" si="81"/>
        <v>3.3164275492956197E-3</v>
      </c>
      <c r="AR131" s="4">
        <f t="shared" si="81"/>
        <v>2.2256362146679809E-3</v>
      </c>
    </row>
    <row r="132" spans="1:44" x14ac:dyDescent="0.25">
      <c r="A132" s="24" t="s">
        <v>73</v>
      </c>
      <c r="B132" s="45">
        <f>'Parameter Input'!L83</f>
        <v>0</v>
      </c>
      <c r="C132" s="46">
        <f>'Parameter Input'!M83</f>
        <v>0</v>
      </c>
      <c r="D132" s="1" t="s">
        <v>57</v>
      </c>
      <c r="L132" s="54">
        <f>'Parameter Input'!O83</f>
        <v>12</v>
      </c>
      <c r="M132" s="37">
        <v>0</v>
      </c>
      <c r="N132" s="37">
        <v>1</v>
      </c>
      <c r="O132" s="37">
        <f>'Parameter Input'!P83</f>
        <v>0.9</v>
      </c>
      <c r="P132" s="55">
        <f>'Parameter Input'!Q83</f>
        <v>0.4</v>
      </c>
      <c r="Q132" s="4">
        <f t="shared" si="79"/>
        <v>0.9867978615748374</v>
      </c>
      <c r="R132" s="4">
        <f t="shared" si="79"/>
        <v>0.98114509762858249</v>
      </c>
      <c r="S132" s="4">
        <f t="shared" si="79"/>
        <v>0.97311898315872036</v>
      </c>
      <c r="T132" s="4">
        <f t="shared" si="79"/>
        <v>0.96177484161592774</v>
      </c>
      <c r="U132" s="4">
        <f t="shared" si="79"/>
        <v>0.94584787155511363</v>
      </c>
      <c r="V132" s="4">
        <f t="shared" si="79"/>
        <v>0.92370360150141495</v>
      </c>
      <c r="W132" s="4">
        <f t="shared" si="79"/>
        <v>0.89334463567658451</v>
      </c>
      <c r="X132" s="4">
        <f t="shared" si="79"/>
        <v>0.85254543874327005</v>
      </c>
      <c r="Y132" s="4">
        <f t="shared" si="79"/>
        <v>0.79921300652623883</v>
      </c>
      <c r="Z132" s="4">
        <f t="shared" si="79"/>
        <v>0.73204982249993378</v>
      </c>
      <c r="AA132" s="4">
        <f t="shared" si="79"/>
        <v>0.65145592958786691</v>
      </c>
      <c r="AB132" s="4">
        <f t="shared" si="79"/>
        <v>0.56032247880849573</v>
      </c>
      <c r="AC132" s="4">
        <f t="shared" si="79"/>
        <v>0.46411326873185343</v>
      </c>
      <c r="AD132" s="4">
        <f t="shared" si="79"/>
        <v>0.36979727595523937</v>
      </c>
      <c r="AE132" s="4">
        <f t="shared" si="79"/>
        <v>0.28393948637231203</v>
      </c>
      <c r="AF132" s="4">
        <f t="shared" si="79"/>
        <v>0.21097259161117732</v>
      </c>
      <c r="AG132" s="4">
        <f t="shared" si="80"/>
        <v>0.15253917653798199</v>
      </c>
      <c r="AH132" s="4">
        <f t="shared" si="80"/>
        <v>0.10795188737709993</v>
      </c>
      <c r="AI132" s="4">
        <f t="shared" si="80"/>
        <v>7.5176653938091809E-2</v>
      </c>
      <c r="AJ132" s="4">
        <f t="shared" si="81"/>
        <v>5.1742836177502194E-2</v>
      </c>
      <c r="AK132" s="4">
        <f t="shared" si="81"/>
        <v>3.5319190625345942E-2</v>
      </c>
      <c r="AL132" s="4">
        <f t="shared" si="81"/>
        <v>2.3969442072658165E-2</v>
      </c>
      <c r="AM132" s="4">
        <f t="shared" si="81"/>
        <v>1.6202243558389728E-2</v>
      </c>
      <c r="AN132" s="4">
        <f t="shared" si="81"/>
        <v>1.0922240564108399E-2</v>
      </c>
      <c r="AO132" s="4">
        <f t="shared" si="81"/>
        <v>7.3493212906090566E-3</v>
      </c>
      <c r="AP132" s="4">
        <f t="shared" si="81"/>
        <v>4.9390262185057265E-3</v>
      </c>
      <c r="AQ132" s="4">
        <f t="shared" si="81"/>
        <v>3.3164275492956197E-3</v>
      </c>
      <c r="AR132" s="4">
        <f t="shared" si="81"/>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79"/>
        <v>0.9867978615748374</v>
      </c>
      <c r="R133" s="4">
        <f t="shared" si="79"/>
        <v>0.98114509762858249</v>
      </c>
      <c r="S133" s="4">
        <f t="shared" si="79"/>
        <v>0.97311898315872036</v>
      </c>
      <c r="T133" s="4">
        <f t="shared" si="79"/>
        <v>0.96177484161592774</v>
      </c>
      <c r="U133" s="4">
        <f t="shared" si="79"/>
        <v>0.94584787155511363</v>
      </c>
      <c r="V133" s="4">
        <f t="shared" si="79"/>
        <v>0.92370360150141495</v>
      </c>
      <c r="W133" s="4">
        <f t="shared" si="79"/>
        <v>0.89334463567658451</v>
      </c>
      <c r="X133" s="4">
        <f t="shared" si="79"/>
        <v>0.85254543874327005</v>
      </c>
      <c r="Y133" s="4">
        <f t="shared" si="79"/>
        <v>0.79921300652623883</v>
      </c>
      <c r="Z133" s="4">
        <f t="shared" si="79"/>
        <v>0.73204982249993378</v>
      </c>
      <c r="AA133" s="4">
        <f t="shared" si="79"/>
        <v>0.65145592958786691</v>
      </c>
      <c r="AB133" s="4">
        <f t="shared" si="79"/>
        <v>0.56032247880849573</v>
      </c>
      <c r="AC133" s="4">
        <f t="shared" si="79"/>
        <v>0.46411326873185343</v>
      </c>
      <c r="AD133" s="4">
        <f t="shared" si="79"/>
        <v>0.36979727595523937</v>
      </c>
      <c r="AE133" s="4">
        <f t="shared" si="79"/>
        <v>0.28393948637231203</v>
      </c>
      <c r="AF133" s="4">
        <f t="shared" si="79"/>
        <v>0.21097259161117732</v>
      </c>
      <c r="AG133" s="4">
        <f t="shared" si="80"/>
        <v>0.15253917653798199</v>
      </c>
      <c r="AH133" s="4">
        <f t="shared" si="80"/>
        <v>0.10795188737709993</v>
      </c>
      <c r="AI133" s="4">
        <f t="shared" si="80"/>
        <v>7.5176653938091809E-2</v>
      </c>
      <c r="AJ133" s="4">
        <f t="shared" si="81"/>
        <v>5.1742836177502194E-2</v>
      </c>
      <c r="AK133" s="4">
        <f t="shared" si="81"/>
        <v>3.5319190625345942E-2</v>
      </c>
      <c r="AL133" s="4">
        <f t="shared" si="81"/>
        <v>2.3969442072658165E-2</v>
      </c>
      <c r="AM133" s="4">
        <f t="shared" si="81"/>
        <v>1.6202243558389728E-2</v>
      </c>
      <c r="AN133" s="4">
        <f t="shared" si="81"/>
        <v>1.0922240564108399E-2</v>
      </c>
      <c r="AO133" s="4">
        <f t="shared" si="81"/>
        <v>7.3493212906090566E-3</v>
      </c>
      <c r="AP133" s="4">
        <f t="shared" si="81"/>
        <v>4.9390262185057265E-3</v>
      </c>
      <c r="AQ133" s="4">
        <f t="shared" si="81"/>
        <v>3.3164275492956197E-3</v>
      </c>
      <c r="AR133" s="4">
        <f t="shared" si="81"/>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2">A117</f>
        <v>Capex vehicle</v>
      </c>
      <c r="B137" s="62">
        <f t="shared" ref="B137:B145" si="83">$B117+($C117-$B117)*(1-Q117)</f>
        <v>105132.02138425162</v>
      </c>
      <c r="C137" s="62">
        <f t="shared" ref="C137:C145" si="84">$B117+($C117-$B117)*(1-R117)</f>
        <v>105188.54902371418</v>
      </c>
      <c r="D137" s="62">
        <f t="shared" ref="D137:D145" si="85">$B117+($C117-$B117)*(1-S117)</f>
        <v>105268.81016841279</v>
      </c>
      <c r="E137" s="62">
        <f t="shared" ref="E137:E145" si="86">$B117+($C117-$B117)*(1-T117)</f>
        <v>105382.25158384073</v>
      </c>
      <c r="F137" s="62">
        <f t="shared" ref="F137:F145" si="87">$B117+($C117-$B117)*(1-U117)</f>
        <v>105541.52128444887</v>
      </c>
      <c r="G137" s="62">
        <f t="shared" ref="G137:G145" si="88">$B117+($C117-$B117)*(1-V117)</f>
        <v>105762.96398498585</v>
      </c>
      <c r="H137" s="62">
        <f t="shared" ref="H137:H145" si="89">$B117+($C117-$B117)*(1-W117)</f>
        <v>106066.55364323416</v>
      </c>
      <c r="I137" s="62">
        <f t="shared" ref="I137:I145" si="90">$B117+($C117-$B117)*(1-X117)</f>
        <v>106474.54561256729</v>
      </c>
      <c r="J137" s="62">
        <f t="shared" ref="J137:J145" si="91">$B117+($C117-$B117)*(1-Y117)</f>
        <v>107007.86993473761</v>
      </c>
      <c r="K137" s="62">
        <f t="shared" ref="K137:K145" si="92">$B117+($C117-$B117)*(1-Z117)</f>
        <v>107679.50177500067</v>
      </c>
      <c r="L137" s="62">
        <f t="shared" ref="L137:L145" si="93">$B117+($C117-$B117)*(1-AA117)</f>
        <v>108485.44070412133</v>
      </c>
      <c r="M137" s="62">
        <f t="shared" ref="M137:M145" si="94">$B117+($C117-$B117)*(1-AB117)</f>
        <v>109396.77521191504</v>
      </c>
      <c r="N137" s="62">
        <f t="shared" ref="N137:N145" si="95">$B117+($C117-$B117)*(1-AC117)</f>
        <v>110358.86731268147</v>
      </c>
      <c r="O137" s="62">
        <f t="shared" ref="O137:O145" si="96">$B117+($C117-$B117)*(1-AD117)</f>
        <v>111302.02724044761</v>
      </c>
      <c r="P137" s="62">
        <f t="shared" ref="P137:P145" si="97">$B117+($C117-$B117)*(1-AE117)</f>
        <v>112160.60513627688</v>
      </c>
      <c r="Q137" s="62">
        <f t="shared" ref="Q137:Q145" si="98">$B117+($C117-$B117)*(1-AF117)</f>
        <v>112890.27408388823</v>
      </c>
      <c r="R137" s="62">
        <f t="shared" ref="R137:R145" si="99">$B117+($C117-$B117)*(1-AG117)</f>
        <v>113474.60823462019</v>
      </c>
      <c r="S137" s="62">
        <f t="shared" ref="S137:S145" si="100">$B117+($C117-$B117)*(1-AH117)</f>
        <v>113920.481126229</v>
      </c>
      <c r="T137" s="62">
        <f t="shared" ref="T137:T145" si="101">$B117+($C117-$B117)*(1-AI117)</f>
        <v>114248.23346061909</v>
      </c>
      <c r="U137" s="62">
        <f t="shared" ref="U137:U145" si="102">$B117+($C117-$B117)*(1-AJ117)</f>
        <v>114482.57163822498</v>
      </c>
      <c r="V137" s="62">
        <f t="shared" ref="V137:V145" si="103">$B117+($C117-$B117)*(1-AK117)</f>
        <v>114646.80809374654</v>
      </c>
      <c r="W137" s="62">
        <f t="shared" ref="W137:W145" si="104">$B117+($C117-$B117)*(1-AL117)</f>
        <v>114760.30557927342</v>
      </c>
      <c r="X137" s="62">
        <f t="shared" ref="X137:X145" si="105">$B117+($C117-$B117)*(1-AM117)</f>
        <v>114837.9775644161</v>
      </c>
      <c r="Y137" s="62">
        <f t="shared" ref="Y137:Y145" si="106">$B117+($C117-$B117)*(1-AN117)</f>
        <v>114890.77759435892</v>
      </c>
      <c r="Z137" s="62">
        <f t="shared" ref="Z137:Z145" si="107">$B117+($C117-$B117)*(1-AO117)</f>
        <v>114926.50678709391</v>
      </c>
      <c r="AA137" s="62">
        <f t="shared" ref="AA137:AA145" si="108">$B117+($C117-$B117)*(1-AP117)</f>
        <v>114950.60973781494</v>
      </c>
      <c r="AB137" s="62">
        <f t="shared" ref="AB137:AB145" si="109">$B117+($C117-$B117)*(1-AQ117)</f>
        <v>114966.83572450705</v>
      </c>
      <c r="AC137" s="62">
        <f t="shared" ref="AC137:AC145" si="110">$B117+($C117-$B117)*(1-AR117)</f>
        <v>114977.74363785332</v>
      </c>
    </row>
    <row r="138" spans="1:44" x14ac:dyDescent="0.25">
      <c r="A138" s="30" t="str">
        <f t="shared" si="82"/>
        <v>Residual value (vehicle)</v>
      </c>
      <c r="B138" s="62">
        <f t="shared" si="83"/>
        <v>-26131.180754173536</v>
      </c>
      <c r="C138" s="62">
        <f t="shared" si="84"/>
        <v>-26080.305878657244</v>
      </c>
      <c r="D138" s="62">
        <f t="shared" si="85"/>
        <v>-26008.070848428484</v>
      </c>
      <c r="E138" s="62">
        <f t="shared" si="86"/>
        <v>-25905.97357454335</v>
      </c>
      <c r="F138" s="62">
        <f t="shared" si="87"/>
        <v>-25762.630843996023</v>
      </c>
      <c r="G138" s="62">
        <f t="shared" si="88"/>
        <v>-25563.332413512733</v>
      </c>
      <c r="H138" s="62">
        <f t="shared" si="89"/>
        <v>-25290.101721089261</v>
      </c>
      <c r="I138" s="62">
        <f t="shared" si="90"/>
        <v>-24922.90894868943</v>
      </c>
      <c r="J138" s="62">
        <f t="shared" si="91"/>
        <v>-24442.917058736151</v>
      </c>
      <c r="K138" s="62">
        <f t="shared" si="92"/>
        <v>-23838.448402499405</v>
      </c>
      <c r="L138" s="62">
        <f t="shared" si="93"/>
        <v>-23113.103366290801</v>
      </c>
      <c r="M138" s="62">
        <f t="shared" si="94"/>
        <v>-22292.902309276462</v>
      </c>
      <c r="N138" s="62">
        <f t="shared" si="95"/>
        <v>-21427.019418586682</v>
      </c>
      <c r="O138" s="62">
        <f t="shared" si="96"/>
        <v>-20578.175483597155</v>
      </c>
      <c r="P138" s="62">
        <f t="shared" si="97"/>
        <v>-19805.455377350809</v>
      </c>
      <c r="Q138" s="62">
        <f t="shared" si="98"/>
        <v>-19148.753324500598</v>
      </c>
      <c r="R138" s="62">
        <f t="shared" si="99"/>
        <v>-18622.852588841837</v>
      </c>
      <c r="S138" s="62">
        <f t="shared" si="100"/>
        <v>-18221.5669863939</v>
      </c>
      <c r="T138" s="62">
        <f t="shared" si="101"/>
        <v>-17926.589885442827</v>
      </c>
      <c r="U138" s="62">
        <f t="shared" si="102"/>
        <v>-17715.685525597521</v>
      </c>
      <c r="V138" s="62">
        <f t="shared" si="103"/>
        <v>-17567.872715628113</v>
      </c>
      <c r="W138" s="62">
        <f t="shared" si="104"/>
        <v>-17465.724978653925</v>
      </c>
      <c r="X138" s="62">
        <f t="shared" si="105"/>
        <v>-17395.820192025509</v>
      </c>
      <c r="Y138" s="62">
        <f t="shared" si="106"/>
        <v>-17348.300165076973</v>
      </c>
      <c r="Z138" s="62">
        <f t="shared" si="107"/>
        <v>-17316.14389161548</v>
      </c>
      <c r="AA138" s="62">
        <f t="shared" si="108"/>
        <v>-17294.451235966553</v>
      </c>
      <c r="AB138" s="62">
        <f t="shared" si="109"/>
        <v>-17279.84784794366</v>
      </c>
      <c r="AC138" s="62">
        <f t="shared" si="110"/>
        <v>-17270.030725932011</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20000</v>
      </c>
      <c r="C143" s="62">
        <f t="shared" si="84"/>
        <v>20000</v>
      </c>
      <c r="D143" s="62">
        <f t="shared" si="85"/>
        <v>20000</v>
      </c>
      <c r="E143" s="62">
        <f t="shared" si="86"/>
        <v>20000</v>
      </c>
      <c r="F143" s="62">
        <f t="shared" si="87"/>
        <v>20000</v>
      </c>
      <c r="G143" s="62">
        <f t="shared" si="88"/>
        <v>20000</v>
      </c>
      <c r="H143" s="62">
        <f t="shared" si="89"/>
        <v>20000</v>
      </c>
      <c r="I143" s="62">
        <f t="shared" si="90"/>
        <v>20000</v>
      </c>
      <c r="J143" s="62">
        <f t="shared" si="91"/>
        <v>20000</v>
      </c>
      <c r="K143" s="62">
        <f t="shared" si="92"/>
        <v>20000</v>
      </c>
      <c r="L143" s="62">
        <f t="shared" si="93"/>
        <v>20000</v>
      </c>
      <c r="M143" s="62">
        <f t="shared" si="94"/>
        <v>20000</v>
      </c>
      <c r="N143" s="62">
        <f t="shared" si="95"/>
        <v>20000</v>
      </c>
      <c r="O143" s="62">
        <f t="shared" si="96"/>
        <v>20000</v>
      </c>
      <c r="P143" s="62">
        <f t="shared" si="97"/>
        <v>20000</v>
      </c>
      <c r="Q143" s="62">
        <f t="shared" si="98"/>
        <v>20000</v>
      </c>
      <c r="R143" s="62">
        <f t="shared" si="99"/>
        <v>20000</v>
      </c>
      <c r="S143" s="62">
        <f t="shared" si="100"/>
        <v>20000</v>
      </c>
      <c r="T143" s="62">
        <f t="shared" si="101"/>
        <v>20000</v>
      </c>
      <c r="U143" s="62">
        <f t="shared" si="102"/>
        <v>20000</v>
      </c>
      <c r="V143" s="62">
        <f t="shared" si="103"/>
        <v>20000</v>
      </c>
      <c r="W143" s="62">
        <f t="shared" si="104"/>
        <v>20000</v>
      </c>
      <c r="X143" s="62">
        <f t="shared" si="105"/>
        <v>20000</v>
      </c>
      <c r="Y143" s="62">
        <f t="shared" si="106"/>
        <v>20000</v>
      </c>
      <c r="Z143" s="62">
        <f t="shared" si="107"/>
        <v>20000</v>
      </c>
      <c r="AA143" s="62">
        <f t="shared" si="108"/>
        <v>20000</v>
      </c>
      <c r="AB143" s="62">
        <f t="shared" si="109"/>
        <v>20000</v>
      </c>
      <c r="AC143" s="62">
        <f t="shared" si="110"/>
        <v>20000</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2.8933989307874186</v>
      </c>
      <c r="C145" s="62">
        <f t="shared" si="84"/>
        <v>2.890572548814291</v>
      </c>
      <c r="D145" s="62">
        <f t="shared" si="85"/>
        <v>2.88655949157936</v>
      </c>
      <c r="E145" s="62">
        <f t="shared" si="86"/>
        <v>2.880887420807964</v>
      </c>
      <c r="F145" s="62">
        <f t="shared" si="87"/>
        <v>2.8729239357775569</v>
      </c>
      <c r="G145" s="62">
        <f t="shared" si="88"/>
        <v>2.8618518007507072</v>
      </c>
      <c r="H145" s="62">
        <f t="shared" si="89"/>
        <v>2.846672317838292</v>
      </c>
      <c r="I145" s="62">
        <f t="shared" si="90"/>
        <v>2.826272719371635</v>
      </c>
      <c r="J145" s="62">
        <f t="shared" si="91"/>
        <v>2.7996065032631194</v>
      </c>
      <c r="K145" s="62">
        <f t="shared" si="92"/>
        <v>2.7660249112499669</v>
      </c>
      <c r="L145" s="62">
        <f t="shared" si="93"/>
        <v>2.7257279647939332</v>
      </c>
      <c r="M145" s="62">
        <f t="shared" si="94"/>
        <v>2.6801612394042476</v>
      </c>
      <c r="N145" s="62">
        <f t="shared" si="95"/>
        <v>2.6320566343659264</v>
      </c>
      <c r="O145" s="62">
        <f t="shared" si="96"/>
        <v>2.5848986379776195</v>
      </c>
      <c r="P145" s="62">
        <f t="shared" si="97"/>
        <v>2.5419697431861561</v>
      </c>
      <c r="Q145" s="62">
        <f t="shared" si="98"/>
        <v>2.5054862958055883</v>
      </c>
      <c r="R145" s="62">
        <f t="shared" si="99"/>
        <v>2.4762695882689911</v>
      </c>
      <c r="S145" s="62">
        <f t="shared" si="100"/>
        <v>2.4539759436885498</v>
      </c>
      <c r="T145" s="62">
        <f t="shared" si="101"/>
        <v>2.4375883269690459</v>
      </c>
      <c r="U145" s="62">
        <f t="shared" si="102"/>
        <v>2.4258714180887511</v>
      </c>
      <c r="V145" s="62">
        <f t="shared" si="103"/>
        <v>2.4176595953126729</v>
      </c>
      <c r="W145" s="62">
        <f t="shared" si="104"/>
        <v>2.4119847210363288</v>
      </c>
      <c r="X145" s="62">
        <f t="shared" si="105"/>
        <v>2.408101121779195</v>
      </c>
      <c r="Y145" s="62">
        <f t="shared" si="106"/>
        <v>2.4054611202820539</v>
      </c>
      <c r="Z145" s="62">
        <f t="shared" si="107"/>
        <v>2.4036746606453043</v>
      </c>
      <c r="AA145" s="62">
        <f t="shared" si="108"/>
        <v>2.4024695131092528</v>
      </c>
      <c r="AB145" s="62">
        <f t="shared" si="109"/>
        <v>2.4016582137746476</v>
      </c>
      <c r="AC145" s="62">
        <f t="shared" si="110"/>
        <v>2.4011128181073338</v>
      </c>
    </row>
    <row r="146" spans="1:29" x14ac:dyDescent="0.25">
      <c r="A146" s="30" t="str">
        <f t="shared" si="82"/>
        <v>Fuel Cost</v>
      </c>
      <c r="B146" s="66">
        <f>'Parameter Input'!J8</f>
        <v>5.7951260504201685E-2</v>
      </c>
      <c r="C146" s="66">
        <f>'Parameter Input'!K8</f>
        <v>5.3954621848739497E-2</v>
      </c>
      <c r="D146" s="66">
        <f>'Parameter Input'!L8</f>
        <v>4.9957983193277315E-2</v>
      </c>
      <c r="E146" s="66">
        <f>'Parameter Input'!M8</f>
        <v>4.5961344537815127E-2</v>
      </c>
      <c r="F146" s="66">
        <f>'Parameter Input'!N8</f>
        <v>4.1964705882352946E-2</v>
      </c>
      <c r="G146" s="66">
        <f>'Parameter Input'!O8</f>
        <v>3.7968067226890764E-2</v>
      </c>
      <c r="H146" s="66">
        <f>'Parameter Input'!P8</f>
        <v>3.3971428571428583E-2</v>
      </c>
      <c r="I146" s="66">
        <f>'Parameter Input'!Q8</f>
        <v>2.9974789915966391E-2</v>
      </c>
      <c r="J146" s="66">
        <f>'Parameter Input'!R8</f>
        <v>2.9368157262905165E-2</v>
      </c>
      <c r="K146" s="66">
        <f>'Parameter Input'!S8</f>
        <v>2.8761524609843939E-2</v>
      </c>
      <c r="L146" s="66">
        <f>'Parameter Input'!T8</f>
        <v>2.8154891956782713E-2</v>
      </c>
      <c r="M146" s="66">
        <f>'Parameter Input'!U8</f>
        <v>2.7548259303721487E-2</v>
      </c>
      <c r="N146" s="66">
        <f>'Parameter Input'!V8</f>
        <v>2.6941626650660268E-2</v>
      </c>
      <c r="O146" s="66">
        <f>'Parameter Input'!W8</f>
        <v>2.6334993997599043E-2</v>
      </c>
      <c r="P146" s="66">
        <f>'Parameter Input'!X8</f>
        <v>2.5728361344537817E-2</v>
      </c>
      <c r="Q146" s="66">
        <f>'Parameter Input'!Y8</f>
        <v>2.5121728691476591E-2</v>
      </c>
      <c r="R146" s="66">
        <f>'Parameter Input'!Z8</f>
        <v>2.4515096038415365E-2</v>
      </c>
      <c r="S146" s="66">
        <f>'Parameter Input'!AA8</f>
        <v>2.3908463385354146E-2</v>
      </c>
      <c r="T146" s="66">
        <f>'Parameter Input'!AB8</f>
        <v>2.330183073229292E-2</v>
      </c>
      <c r="U146" s="66">
        <f>'Parameter Input'!AC8</f>
        <v>2.2695198079231694E-2</v>
      </c>
      <c r="V146" s="66">
        <f>'Parameter Input'!AD8</f>
        <v>2.2088565426170468E-2</v>
      </c>
      <c r="W146" s="66">
        <f>'Parameter Input'!AE8</f>
        <v>2.1481932773109242E-2</v>
      </c>
      <c r="X146" s="66">
        <f>'Parameter Input'!AF8</f>
        <v>2.0875300120048023E-2</v>
      </c>
      <c r="Y146" s="66">
        <f>'Parameter Input'!AG8</f>
        <v>2.0268667466986797E-2</v>
      </c>
      <c r="Z146" s="66">
        <f>'Parameter Input'!AH8</f>
        <v>1.9662034813925571E-2</v>
      </c>
      <c r="AA146" s="66">
        <f>'Parameter Input'!AI8</f>
        <v>1.9055402160864345E-2</v>
      </c>
      <c r="AB146" s="66">
        <f>'Parameter Input'!AJ8</f>
        <v>1.8448769507803119E-2</v>
      </c>
      <c r="AC146" s="66">
        <f>'Parameter Input'!AK8</f>
        <v>1.78421368547419E-2</v>
      </c>
    </row>
    <row r="147" spans="1:29" x14ac:dyDescent="0.25">
      <c r="A147" s="30" t="str">
        <f t="shared" si="82"/>
        <v>Emission Cost</v>
      </c>
      <c r="B147" s="66">
        <f>$B127+($C127-$B127)*(1-Q127)</f>
        <v>0</v>
      </c>
      <c r="C147" s="66">
        <f t="shared" ref="C147:AC147" si="111">$B127+($C127-$B127)*(1-R127)</f>
        <v>0</v>
      </c>
      <c r="D147" s="66">
        <f t="shared" si="111"/>
        <v>0</v>
      </c>
      <c r="E147" s="66">
        <f t="shared" si="111"/>
        <v>0</v>
      </c>
      <c r="F147" s="66">
        <f t="shared" si="111"/>
        <v>0</v>
      </c>
      <c r="G147" s="66">
        <f t="shared" si="111"/>
        <v>0</v>
      </c>
      <c r="H147" s="66">
        <f t="shared" si="111"/>
        <v>0</v>
      </c>
      <c r="I147" s="66">
        <f t="shared" si="111"/>
        <v>0</v>
      </c>
      <c r="J147" s="66">
        <f t="shared" si="111"/>
        <v>0</v>
      </c>
      <c r="K147" s="66">
        <f t="shared" si="111"/>
        <v>0</v>
      </c>
      <c r="L147" s="66">
        <f t="shared" si="111"/>
        <v>0</v>
      </c>
      <c r="M147" s="66">
        <f t="shared" si="111"/>
        <v>0</v>
      </c>
      <c r="N147" s="66">
        <f t="shared" si="111"/>
        <v>0</v>
      </c>
      <c r="O147" s="66">
        <f t="shared" si="111"/>
        <v>0</v>
      </c>
      <c r="P147" s="66">
        <f t="shared" si="111"/>
        <v>0</v>
      </c>
      <c r="Q147" s="66">
        <f t="shared" si="111"/>
        <v>0</v>
      </c>
      <c r="R147" s="66">
        <f t="shared" si="111"/>
        <v>0</v>
      </c>
      <c r="S147" s="66">
        <f t="shared" si="111"/>
        <v>0</v>
      </c>
      <c r="T147" s="66">
        <f t="shared" si="111"/>
        <v>0</v>
      </c>
      <c r="U147" s="66">
        <f t="shared" si="111"/>
        <v>0</v>
      </c>
      <c r="V147" s="66">
        <f t="shared" si="111"/>
        <v>0</v>
      </c>
      <c r="W147" s="66">
        <f t="shared" si="111"/>
        <v>0</v>
      </c>
      <c r="X147" s="66">
        <f t="shared" si="111"/>
        <v>0</v>
      </c>
      <c r="Y147" s="66">
        <f t="shared" si="111"/>
        <v>0</v>
      </c>
      <c r="Z147" s="66">
        <f t="shared" si="111"/>
        <v>0</v>
      </c>
      <c r="AA147" s="66">
        <f t="shared" si="111"/>
        <v>0</v>
      </c>
      <c r="AB147" s="66">
        <f t="shared" si="111"/>
        <v>0</v>
      </c>
      <c r="AC147" s="66">
        <f t="shared" si="111"/>
        <v>0</v>
      </c>
    </row>
    <row r="148" spans="1:29" x14ac:dyDescent="0.25">
      <c r="A148" s="30" t="str">
        <f t="shared" si="82"/>
        <v>Lifetime vehicle</v>
      </c>
      <c r="B148" s="62">
        <f>$B128+($C128-$B128)*(1-Q128)</f>
        <v>8</v>
      </c>
      <c r="C148" s="62">
        <f t="shared" ref="C148:L150" si="112">$B128+($C128-$B128)*(1-R128)</f>
        <v>8</v>
      </c>
      <c r="D148" s="62">
        <f t="shared" si="112"/>
        <v>8</v>
      </c>
      <c r="E148" s="62">
        <f t="shared" si="112"/>
        <v>8</v>
      </c>
      <c r="F148" s="62">
        <f t="shared" si="112"/>
        <v>8</v>
      </c>
      <c r="G148" s="62">
        <f t="shared" si="112"/>
        <v>8</v>
      </c>
      <c r="H148" s="62">
        <f t="shared" si="112"/>
        <v>8</v>
      </c>
      <c r="I148" s="62">
        <f t="shared" si="112"/>
        <v>8</v>
      </c>
      <c r="J148" s="62">
        <f t="shared" si="112"/>
        <v>8</v>
      </c>
      <c r="K148" s="62">
        <f t="shared" si="112"/>
        <v>8</v>
      </c>
      <c r="L148" s="62">
        <f t="shared" si="112"/>
        <v>8</v>
      </c>
      <c r="M148" s="62">
        <f t="shared" ref="M148:V150" si="113">$B128+($C128-$B128)*(1-AB128)</f>
        <v>8</v>
      </c>
      <c r="N148" s="62">
        <f t="shared" si="113"/>
        <v>8</v>
      </c>
      <c r="O148" s="62">
        <f t="shared" si="113"/>
        <v>8</v>
      </c>
      <c r="P148" s="62">
        <f t="shared" si="113"/>
        <v>8</v>
      </c>
      <c r="Q148" s="62">
        <f t="shared" si="113"/>
        <v>8</v>
      </c>
      <c r="R148" s="62">
        <f t="shared" si="113"/>
        <v>8</v>
      </c>
      <c r="S148" s="62">
        <f t="shared" si="113"/>
        <v>8</v>
      </c>
      <c r="T148" s="62">
        <f t="shared" si="113"/>
        <v>8</v>
      </c>
      <c r="U148" s="62">
        <f t="shared" si="113"/>
        <v>8</v>
      </c>
      <c r="V148" s="62">
        <f t="shared" si="113"/>
        <v>8</v>
      </c>
      <c r="W148" s="62">
        <f t="shared" ref="W148:AC150" si="114">$B128+($C128-$B128)*(1-AL128)</f>
        <v>8</v>
      </c>
      <c r="X148" s="62">
        <f t="shared" si="114"/>
        <v>8</v>
      </c>
      <c r="Y148" s="62">
        <f t="shared" si="114"/>
        <v>8</v>
      </c>
      <c r="Z148" s="62">
        <f t="shared" si="114"/>
        <v>8</v>
      </c>
      <c r="AA148" s="62">
        <f t="shared" si="114"/>
        <v>8</v>
      </c>
      <c r="AB148" s="62">
        <f t="shared" si="114"/>
        <v>8</v>
      </c>
      <c r="AC148" s="62">
        <f t="shared" si="114"/>
        <v>8</v>
      </c>
    </row>
    <row r="149" spans="1:29" x14ac:dyDescent="0.25">
      <c r="A149" s="30" t="str">
        <f t="shared" si="82"/>
        <v>Lifetime costumization</v>
      </c>
      <c r="B149" s="62">
        <f>$B129+($C129-$B129)*(1-Q129)</f>
        <v>10</v>
      </c>
      <c r="C149" s="62">
        <f t="shared" si="112"/>
        <v>10</v>
      </c>
      <c r="D149" s="62">
        <f t="shared" si="112"/>
        <v>10</v>
      </c>
      <c r="E149" s="62">
        <f t="shared" si="112"/>
        <v>10</v>
      </c>
      <c r="F149" s="62">
        <f t="shared" si="112"/>
        <v>10</v>
      </c>
      <c r="G149" s="62">
        <f t="shared" si="112"/>
        <v>10</v>
      </c>
      <c r="H149" s="62">
        <f t="shared" si="112"/>
        <v>10</v>
      </c>
      <c r="I149" s="62">
        <f t="shared" si="112"/>
        <v>10</v>
      </c>
      <c r="J149" s="62">
        <f t="shared" si="112"/>
        <v>10</v>
      </c>
      <c r="K149" s="62">
        <f t="shared" si="112"/>
        <v>10</v>
      </c>
      <c r="L149" s="62">
        <f t="shared" si="112"/>
        <v>10</v>
      </c>
      <c r="M149" s="62">
        <f t="shared" si="113"/>
        <v>10</v>
      </c>
      <c r="N149" s="62">
        <f t="shared" si="113"/>
        <v>10</v>
      </c>
      <c r="O149" s="62">
        <f t="shared" si="113"/>
        <v>10</v>
      </c>
      <c r="P149" s="62">
        <f t="shared" si="113"/>
        <v>10</v>
      </c>
      <c r="Q149" s="62">
        <f t="shared" si="113"/>
        <v>10</v>
      </c>
      <c r="R149" s="62">
        <f t="shared" si="113"/>
        <v>10</v>
      </c>
      <c r="S149" s="62">
        <f t="shared" si="113"/>
        <v>10</v>
      </c>
      <c r="T149" s="62">
        <f t="shared" si="113"/>
        <v>10</v>
      </c>
      <c r="U149" s="62">
        <f t="shared" si="113"/>
        <v>10</v>
      </c>
      <c r="V149" s="62">
        <f t="shared" si="113"/>
        <v>10</v>
      </c>
      <c r="W149" s="62">
        <f t="shared" si="114"/>
        <v>10</v>
      </c>
      <c r="X149" s="62">
        <f t="shared" si="114"/>
        <v>10</v>
      </c>
      <c r="Y149" s="62">
        <f t="shared" si="114"/>
        <v>10</v>
      </c>
      <c r="Z149" s="62">
        <f t="shared" si="114"/>
        <v>10</v>
      </c>
      <c r="AA149" s="62">
        <f t="shared" si="114"/>
        <v>10</v>
      </c>
      <c r="AB149" s="62">
        <f t="shared" si="114"/>
        <v>10</v>
      </c>
      <c r="AC149" s="62">
        <f t="shared" si="114"/>
        <v>10</v>
      </c>
    </row>
    <row r="150" spans="1:29" x14ac:dyDescent="0.25">
      <c r="A150" s="30" t="str">
        <f t="shared" si="82"/>
        <v>Tonnage .</v>
      </c>
      <c r="B150" s="62">
        <f>$B130+($C130-$B130)*(1-Q130)</f>
        <v>25</v>
      </c>
      <c r="C150" s="62">
        <f t="shared" si="112"/>
        <v>25</v>
      </c>
      <c r="D150" s="62">
        <f t="shared" si="112"/>
        <v>25</v>
      </c>
      <c r="E150" s="62">
        <f t="shared" si="112"/>
        <v>25</v>
      </c>
      <c r="F150" s="62">
        <f t="shared" si="112"/>
        <v>25</v>
      </c>
      <c r="G150" s="62">
        <f t="shared" si="112"/>
        <v>25</v>
      </c>
      <c r="H150" s="62">
        <f t="shared" si="112"/>
        <v>25</v>
      </c>
      <c r="I150" s="62">
        <f t="shared" si="112"/>
        <v>25</v>
      </c>
      <c r="J150" s="62">
        <f t="shared" si="112"/>
        <v>25</v>
      </c>
      <c r="K150" s="62">
        <f t="shared" si="112"/>
        <v>25</v>
      </c>
      <c r="L150" s="62">
        <f t="shared" si="112"/>
        <v>25</v>
      </c>
      <c r="M150" s="62">
        <f t="shared" si="113"/>
        <v>25</v>
      </c>
      <c r="N150" s="62">
        <f t="shared" si="113"/>
        <v>25</v>
      </c>
      <c r="O150" s="62">
        <f t="shared" si="113"/>
        <v>25</v>
      </c>
      <c r="P150" s="62">
        <f t="shared" si="113"/>
        <v>25</v>
      </c>
      <c r="Q150" s="62">
        <f t="shared" si="113"/>
        <v>25</v>
      </c>
      <c r="R150" s="62">
        <f t="shared" si="113"/>
        <v>25</v>
      </c>
      <c r="S150" s="62">
        <f t="shared" si="113"/>
        <v>25</v>
      </c>
      <c r="T150" s="62">
        <f t="shared" si="113"/>
        <v>25</v>
      </c>
      <c r="U150" s="62">
        <f t="shared" si="113"/>
        <v>25</v>
      </c>
      <c r="V150" s="62">
        <f t="shared" si="113"/>
        <v>25</v>
      </c>
      <c r="W150" s="62">
        <f t="shared" si="114"/>
        <v>25</v>
      </c>
      <c r="X150" s="62">
        <f t="shared" si="114"/>
        <v>25</v>
      </c>
      <c r="Y150" s="62">
        <f t="shared" si="114"/>
        <v>25</v>
      </c>
      <c r="Z150" s="62">
        <f t="shared" si="114"/>
        <v>25</v>
      </c>
      <c r="AA150" s="62">
        <f t="shared" si="114"/>
        <v>25</v>
      </c>
      <c r="AB150" s="62">
        <f t="shared" si="114"/>
        <v>25</v>
      </c>
      <c r="AC150" s="62">
        <f t="shared" si="114"/>
        <v>25</v>
      </c>
    </row>
    <row r="151" spans="1:29" x14ac:dyDescent="0.25">
      <c r="A151" s="30" t="str">
        <f t="shared" si="82"/>
        <v>Market failure (av. utilization)</v>
      </c>
      <c r="B151" s="62">
        <f t="shared" ref="B151:K152" si="115">($B131+($C131-$B131)*(1-Q131))*B$44</f>
        <v>16</v>
      </c>
      <c r="C151" s="62">
        <f t="shared" si="115"/>
        <v>16</v>
      </c>
      <c r="D151" s="62">
        <f t="shared" si="115"/>
        <v>16</v>
      </c>
      <c r="E151" s="62">
        <f t="shared" si="115"/>
        <v>16</v>
      </c>
      <c r="F151" s="62">
        <f t="shared" si="115"/>
        <v>16</v>
      </c>
      <c r="G151" s="62">
        <f t="shared" si="115"/>
        <v>16</v>
      </c>
      <c r="H151" s="62">
        <f t="shared" si="115"/>
        <v>16</v>
      </c>
      <c r="I151" s="62">
        <f t="shared" si="115"/>
        <v>16</v>
      </c>
      <c r="J151" s="62">
        <f t="shared" si="115"/>
        <v>16</v>
      </c>
      <c r="K151" s="62">
        <f t="shared" si="115"/>
        <v>16</v>
      </c>
      <c r="L151" s="62">
        <f t="shared" ref="L151:U152" si="116">($B131+($C131-$B131)*(1-AA131))*L$44</f>
        <v>16</v>
      </c>
      <c r="M151" s="62">
        <f t="shared" si="116"/>
        <v>16</v>
      </c>
      <c r="N151" s="62">
        <f t="shared" si="116"/>
        <v>16</v>
      </c>
      <c r="O151" s="62">
        <f t="shared" si="116"/>
        <v>16</v>
      </c>
      <c r="P151" s="62">
        <f t="shared" si="116"/>
        <v>16</v>
      </c>
      <c r="Q151" s="62">
        <f t="shared" si="116"/>
        <v>16</v>
      </c>
      <c r="R151" s="62">
        <f t="shared" si="116"/>
        <v>16</v>
      </c>
      <c r="S151" s="62">
        <f t="shared" si="116"/>
        <v>16</v>
      </c>
      <c r="T151" s="62">
        <f t="shared" si="116"/>
        <v>16</v>
      </c>
      <c r="U151" s="62">
        <f t="shared" si="116"/>
        <v>16</v>
      </c>
      <c r="V151" s="62">
        <f t="shared" ref="V151:AC152" si="117">($B131+($C131-$B131)*(1-AK131))*V$44</f>
        <v>16</v>
      </c>
      <c r="W151" s="62">
        <f t="shared" si="117"/>
        <v>16</v>
      </c>
      <c r="X151" s="62">
        <f t="shared" si="117"/>
        <v>16</v>
      </c>
      <c r="Y151" s="62">
        <f t="shared" si="117"/>
        <v>16</v>
      </c>
      <c r="Z151" s="62">
        <f t="shared" si="117"/>
        <v>16</v>
      </c>
      <c r="AA151" s="62">
        <f t="shared" si="117"/>
        <v>16</v>
      </c>
      <c r="AB151" s="62">
        <f t="shared" si="117"/>
        <v>16</v>
      </c>
      <c r="AC151" s="62">
        <f t="shared" si="117"/>
        <v>16</v>
      </c>
    </row>
    <row r="152" spans="1:29" x14ac:dyDescent="0.25">
      <c r="A152" s="30" t="s">
        <v>73</v>
      </c>
      <c r="B152" s="62">
        <f t="shared" si="115"/>
        <v>0</v>
      </c>
      <c r="C152" s="62">
        <f t="shared" si="115"/>
        <v>0</v>
      </c>
      <c r="D152" s="62">
        <f t="shared" si="115"/>
        <v>0</v>
      </c>
      <c r="E152" s="62">
        <f t="shared" si="115"/>
        <v>0</v>
      </c>
      <c r="F152" s="62">
        <f t="shared" si="115"/>
        <v>0</v>
      </c>
      <c r="G152" s="62">
        <f t="shared" si="115"/>
        <v>0</v>
      </c>
      <c r="H152" s="62">
        <f t="shared" si="115"/>
        <v>0</v>
      </c>
      <c r="I152" s="62">
        <f t="shared" si="115"/>
        <v>0</v>
      </c>
      <c r="J152" s="62">
        <f t="shared" si="115"/>
        <v>0</v>
      </c>
      <c r="K152" s="62">
        <f t="shared" si="115"/>
        <v>0</v>
      </c>
      <c r="L152" s="62">
        <f t="shared" si="116"/>
        <v>0</v>
      </c>
      <c r="M152" s="62">
        <f t="shared" si="116"/>
        <v>0</v>
      </c>
      <c r="N152" s="62">
        <f t="shared" si="116"/>
        <v>0</v>
      </c>
      <c r="O152" s="62">
        <f t="shared" si="116"/>
        <v>0</v>
      </c>
      <c r="P152" s="62">
        <f t="shared" si="116"/>
        <v>0</v>
      </c>
      <c r="Q152" s="62">
        <f t="shared" si="116"/>
        <v>0</v>
      </c>
      <c r="R152" s="62">
        <f t="shared" si="116"/>
        <v>0</v>
      </c>
      <c r="S152" s="62">
        <f t="shared" si="116"/>
        <v>0</v>
      </c>
      <c r="T152" s="62">
        <f t="shared" si="116"/>
        <v>0</v>
      </c>
      <c r="U152" s="62">
        <f t="shared" si="116"/>
        <v>0</v>
      </c>
      <c r="V152" s="62">
        <f t="shared" si="117"/>
        <v>0</v>
      </c>
      <c r="W152" s="62">
        <f t="shared" si="117"/>
        <v>0</v>
      </c>
      <c r="X152" s="62">
        <f t="shared" si="117"/>
        <v>0</v>
      </c>
      <c r="Y152" s="62">
        <f t="shared" si="117"/>
        <v>0</v>
      </c>
      <c r="Z152" s="62">
        <f t="shared" si="117"/>
        <v>0</v>
      </c>
      <c r="AA152" s="62">
        <f t="shared" si="117"/>
        <v>0</v>
      </c>
      <c r="AB152" s="62">
        <f t="shared" si="117"/>
        <v>0</v>
      </c>
      <c r="AC152" s="62">
        <f t="shared" si="117"/>
        <v>0</v>
      </c>
    </row>
    <row r="153" spans="1:29" x14ac:dyDescent="0.25">
      <c r="A153" s="30" t="str">
        <f>A133</f>
        <v>Annual Mileage</v>
      </c>
      <c r="B153" s="62">
        <f t="shared" ref="B153" si="118">$B133+($C133-$B133)*(1-Q133)</f>
        <v>110000</v>
      </c>
      <c r="C153" s="62">
        <f t="shared" ref="C153" si="119">$B133+($C133-$B133)*(1-R133)</f>
        <v>110000</v>
      </c>
      <c r="D153" s="62">
        <f t="shared" ref="D153" si="120">$B133+($C133-$B133)*(1-S133)</f>
        <v>110000</v>
      </c>
      <c r="E153" s="62">
        <f t="shared" ref="E153" si="121">$B133+($C133-$B133)*(1-T133)</f>
        <v>110000</v>
      </c>
      <c r="F153" s="62">
        <f t="shared" ref="F153" si="122">$B133+($C133-$B133)*(1-U133)</f>
        <v>110000</v>
      </c>
      <c r="G153" s="62">
        <f t="shared" ref="G153" si="123">$B133+($C133-$B133)*(1-V133)</f>
        <v>110000</v>
      </c>
      <c r="H153" s="62">
        <f t="shared" ref="H153" si="124">$B133+($C133-$B133)*(1-W133)</f>
        <v>110000</v>
      </c>
      <c r="I153" s="62">
        <f t="shared" ref="I153" si="125">$B133+($C133-$B133)*(1-X133)</f>
        <v>110000</v>
      </c>
      <c r="J153" s="62">
        <f t="shared" ref="J153" si="126">$B133+($C133-$B133)*(1-Y133)</f>
        <v>110000</v>
      </c>
      <c r="K153" s="62">
        <f t="shared" ref="K153" si="127">$B133+($C133-$B133)*(1-Z133)</f>
        <v>110000</v>
      </c>
      <c r="L153" s="62">
        <f t="shared" ref="L153" si="128">$B133+($C133-$B133)*(1-AA133)</f>
        <v>110000</v>
      </c>
      <c r="M153" s="62">
        <f t="shared" ref="M153" si="129">$B133+($C133-$B133)*(1-AB133)</f>
        <v>110000</v>
      </c>
      <c r="N153" s="62">
        <f t="shared" ref="N153" si="130">$B133+($C133-$B133)*(1-AC133)</f>
        <v>110000</v>
      </c>
      <c r="O153" s="62">
        <f t="shared" ref="O153" si="131">$B133+($C133-$B133)*(1-AD133)</f>
        <v>110000</v>
      </c>
      <c r="P153" s="62">
        <f t="shared" ref="P153" si="132">$B133+($C133-$B133)*(1-AE133)</f>
        <v>110000</v>
      </c>
      <c r="Q153" s="62">
        <f t="shared" ref="Q153" si="133">$B133+($C133-$B133)*(1-AF133)</f>
        <v>110000</v>
      </c>
      <c r="R153" s="62">
        <f t="shared" ref="R153" si="134">$B133+($C133-$B133)*(1-AG133)</f>
        <v>110000</v>
      </c>
      <c r="S153" s="62">
        <f t="shared" ref="S153" si="135">$B133+($C133-$B133)*(1-AH133)</f>
        <v>110000</v>
      </c>
      <c r="T153" s="62">
        <f t="shared" ref="T153" si="136">$B133+($C133-$B133)*(1-AI133)</f>
        <v>110000</v>
      </c>
      <c r="U153" s="62">
        <f t="shared" ref="U153" si="137">$B133+($C133-$B133)*(1-AJ133)</f>
        <v>110000</v>
      </c>
      <c r="V153" s="62">
        <f t="shared" ref="V153" si="138">$B133+($C133-$B133)*(1-AK133)</f>
        <v>110000</v>
      </c>
      <c r="W153" s="62">
        <f t="shared" ref="W153" si="139">$B133+($C133-$B133)*(1-AL133)</f>
        <v>110000</v>
      </c>
      <c r="X153" s="62">
        <f t="shared" ref="X153" si="140">$B133+($C133-$B133)*(1-AM133)</f>
        <v>110000</v>
      </c>
      <c r="Y153" s="62">
        <f t="shared" ref="Y153" si="141">$B133+($C133-$B133)*(1-AN133)</f>
        <v>110000</v>
      </c>
      <c r="Z153" s="62">
        <f t="shared" ref="Z153" si="142">$B133+($C133-$B133)*(1-AO133)</f>
        <v>110000</v>
      </c>
      <c r="AA153" s="62">
        <f t="shared" ref="AA153" si="143">$B133+($C133-$B133)*(1-AP133)</f>
        <v>110000</v>
      </c>
      <c r="AB153" s="62">
        <f t="shared" ref="AB153" si="144">$B133+($C133-$B133)*(1-AQ133)</f>
        <v>110000</v>
      </c>
      <c r="AC153" s="62">
        <f t="shared" ref="AC153" si="145">$B133+($C133-$B133)*(1-AR133)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6">((1+C141)^C148)*C141/(((1+C141)^C148)-1)*(C137)</f>
        <v>16939.137147822737</v>
      </c>
      <c r="D156" s="63">
        <f t="shared" si="146"/>
        <v>16952.062076917297</v>
      </c>
      <c r="E156" s="63">
        <f t="shared" si="146"/>
        <v>16970.330222186072</v>
      </c>
      <c r="F156" s="63">
        <f t="shared" si="146"/>
        <v>16995.97836855879</v>
      </c>
      <c r="G156" s="63">
        <f t="shared" si="146"/>
        <v>17031.638602582309</v>
      </c>
      <c r="H156" s="63">
        <f t="shared" si="146"/>
        <v>17080.52744937655</v>
      </c>
      <c r="I156" s="63">
        <f t="shared" si="146"/>
        <v>17146.228820750977</v>
      </c>
      <c r="J156" s="63">
        <f t="shared" si="146"/>
        <v>17232.113205708847</v>
      </c>
      <c r="K156" s="63">
        <f t="shared" si="146"/>
        <v>17340.270072218107</v>
      </c>
      <c r="L156" s="63">
        <f t="shared" si="146"/>
        <v>17470.055207385878</v>
      </c>
      <c r="M156" s="63">
        <f t="shared" si="146"/>
        <v>17616.812818916205</v>
      </c>
      <c r="N156" s="63">
        <f t="shared" si="146"/>
        <v>17771.744227277446</v>
      </c>
      <c r="O156" s="63">
        <f t="shared" si="146"/>
        <v>17923.62687531321</v>
      </c>
      <c r="P156" s="63">
        <f t="shared" si="146"/>
        <v>18061.888776104923</v>
      </c>
      <c r="Q156" s="63">
        <f t="shared" si="146"/>
        <v>18179.391702904584</v>
      </c>
      <c r="R156" s="63">
        <f t="shared" si="146"/>
        <v>18273.490503689198</v>
      </c>
      <c r="S156" s="63">
        <f t="shared" si="146"/>
        <v>18345.292065090671</v>
      </c>
      <c r="T156" s="63">
        <f t="shared" si="146"/>
        <v>18398.071971214304</v>
      </c>
      <c r="U156" s="63">
        <f t="shared" si="146"/>
        <v>18435.808840543512</v>
      </c>
      <c r="V156" s="63">
        <f t="shared" si="146"/>
        <v>18462.256812975615</v>
      </c>
      <c r="W156" s="63">
        <f t="shared" si="146"/>
        <v>18480.533987545627</v>
      </c>
      <c r="X156" s="63">
        <f t="shared" si="146"/>
        <v>18493.041968890429</v>
      </c>
      <c r="Y156" s="63">
        <f t="shared" si="146"/>
        <v>18501.544671484124</v>
      </c>
      <c r="Z156" s="63">
        <f t="shared" si="146"/>
        <v>18507.298355716259</v>
      </c>
      <c r="AA156" s="63">
        <f t="shared" si="146"/>
        <v>18511.179797106222</v>
      </c>
      <c r="AB156" s="63">
        <f t="shared" si="146"/>
        <v>18513.792764168582</v>
      </c>
      <c r="AC156" s="63">
        <f t="shared" si="146"/>
        <v>18515.549330276619</v>
      </c>
    </row>
    <row r="157" spans="1:29" x14ac:dyDescent="0.25">
      <c r="A157" s="30" t="str">
        <f>A138</f>
        <v>Residual value (vehicle)</v>
      </c>
      <c r="B157" s="62">
        <f>((1+B141)^B148)*B141/(((1+B141)^B148)-1)*(B138)</f>
        <v>-4208.0593252569806</v>
      </c>
      <c r="C157" s="62">
        <f t="shared" ref="C157:AC157" si="147">((1+C141)^C148)*C141/(((1+C141)^C148)-1)*(C138)</f>
        <v>-4199.866641721108</v>
      </c>
      <c r="D157" s="62">
        <f t="shared" si="147"/>
        <v>-4188.2342055360041</v>
      </c>
      <c r="E157" s="62">
        <f t="shared" si="147"/>
        <v>-4171.7928747941069</v>
      </c>
      <c r="F157" s="62">
        <f t="shared" si="147"/>
        <v>-4148.7095430586614</v>
      </c>
      <c r="G157" s="62">
        <f t="shared" si="147"/>
        <v>-4116.6153324374927</v>
      </c>
      <c r="H157" s="62">
        <f t="shared" si="147"/>
        <v>-4072.6153703226773</v>
      </c>
      <c r="I157" s="62">
        <f t="shared" si="147"/>
        <v>-4013.4841360856908</v>
      </c>
      <c r="J157" s="62">
        <f t="shared" si="147"/>
        <v>-3936.1881896236077</v>
      </c>
      <c r="K157" s="62">
        <f t="shared" si="147"/>
        <v>-3838.8470097652757</v>
      </c>
      <c r="L157" s="62">
        <f t="shared" si="147"/>
        <v>-3722.0403881142815</v>
      </c>
      <c r="M157" s="62">
        <f t="shared" si="147"/>
        <v>-3589.9585377369858</v>
      </c>
      <c r="N157" s="62">
        <f t="shared" si="147"/>
        <v>-3450.5202702118704</v>
      </c>
      <c r="O157" s="62">
        <f t="shared" si="147"/>
        <v>-3313.8258869796846</v>
      </c>
      <c r="P157" s="62">
        <f t="shared" si="147"/>
        <v>-3189.3901762671421</v>
      </c>
      <c r="Q157" s="62">
        <f t="shared" si="147"/>
        <v>-3083.6375421474468</v>
      </c>
      <c r="R157" s="62">
        <f t="shared" si="147"/>
        <v>-2998.9486214412941</v>
      </c>
      <c r="S157" s="62">
        <f t="shared" si="147"/>
        <v>-2934.3272161799682</v>
      </c>
      <c r="T157" s="62">
        <f t="shared" si="147"/>
        <v>-2886.8253006686996</v>
      </c>
      <c r="U157" s="62">
        <f t="shared" si="147"/>
        <v>-2852.8621182724105</v>
      </c>
      <c r="V157" s="62">
        <f t="shared" si="147"/>
        <v>-2829.0589430835184</v>
      </c>
      <c r="W157" s="62">
        <f t="shared" si="147"/>
        <v>-2812.6094859705067</v>
      </c>
      <c r="X157" s="62">
        <f t="shared" si="147"/>
        <v>-2801.3523027601836</v>
      </c>
      <c r="Y157" s="62">
        <f t="shared" si="147"/>
        <v>-2793.6998704258613</v>
      </c>
      <c r="Z157" s="62">
        <f t="shared" si="147"/>
        <v>-2788.5215546169388</v>
      </c>
      <c r="AA157" s="62">
        <f t="shared" si="147"/>
        <v>-2785.0282573659729</v>
      </c>
      <c r="AB157" s="62">
        <f t="shared" si="147"/>
        <v>-2782.6765870098498</v>
      </c>
      <c r="AC157" s="62">
        <f t="shared" si="147"/>
        <v>-2781.0956775126119</v>
      </c>
    </row>
    <row r="158" spans="1:29" x14ac:dyDescent="0.25">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25">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25">
      <c r="A160" s="30" t="str">
        <f>A142</f>
        <v>Opex fix (admin, crew, insurance)</v>
      </c>
      <c r="B160" s="62">
        <f>B142</f>
        <v>70000</v>
      </c>
      <c r="C160" s="62">
        <f t="shared" ref="C160:AC160" si="150">C142</f>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25">
      <c r="A161" s="30" t="str">
        <f>A143</f>
        <v>Opex maintenance &amp; repair</v>
      </c>
      <c r="B161" s="62">
        <f>B143</f>
        <v>20000</v>
      </c>
      <c r="C161" s="62">
        <f t="shared" ref="C161:AC161" si="151">C143</f>
        <v>20000</v>
      </c>
      <c r="D161" s="62">
        <f t="shared" si="151"/>
        <v>20000</v>
      </c>
      <c r="E161" s="62">
        <f t="shared" si="151"/>
        <v>20000</v>
      </c>
      <c r="F161" s="62">
        <f t="shared" si="151"/>
        <v>20000</v>
      </c>
      <c r="G161" s="62">
        <f t="shared" si="151"/>
        <v>20000</v>
      </c>
      <c r="H161" s="62">
        <f t="shared" si="151"/>
        <v>20000</v>
      </c>
      <c r="I161" s="62">
        <f t="shared" si="151"/>
        <v>20000</v>
      </c>
      <c r="J161" s="62">
        <f t="shared" si="151"/>
        <v>20000</v>
      </c>
      <c r="K161" s="62">
        <f t="shared" si="151"/>
        <v>20000</v>
      </c>
      <c r="L161" s="62">
        <f t="shared" si="151"/>
        <v>20000</v>
      </c>
      <c r="M161" s="62">
        <f t="shared" si="151"/>
        <v>20000</v>
      </c>
      <c r="N161" s="62">
        <f t="shared" si="151"/>
        <v>20000</v>
      </c>
      <c r="O161" s="62">
        <f t="shared" si="151"/>
        <v>20000</v>
      </c>
      <c r="P161" s="62">
        <f t="shared" si="151"/>
        <v>20000</v>
      </c>
      <c r="Q161" s="62">
        <f t="shared" si="151"/>
        <v>20000</v>
      </c>
      <c r="R161" s="62">
        <f t="shared" si="151"/>
        <v>20000</v>
      </c>
      <c r="S161" s="62">
        <f t="shared" si="151"/>
        <v>20000</v>
      </c>
      <c r="T161" s="62">
        <f t="shared" si="151"/>
        <v>20000</v>
      </c>
      <c r="U161" s="62">
        <f t="shared" si="151"/>
        <v>20000</v>
      </c>
      <c r="V161" s="62">
        <f t="shared" si="151"/>
        <v>20000</v>
      </c>
      <c r="W161" s="62">
        <f t="shared" si="151"/>
        <v>20000</v>
      </c>
      <c r="X161" s="62">
        <f t="shared" si="151"/>
        <v>20000</v>
      </c>
      <c r="Y161" s="62">
        <f t="shared" si="151"/>
        <v>20000</v>
      </c>
      <c r="Z161" s="62">
        <f t="shared" si="151"/>
        <v>20000</v>
      </c>
      <c r="AA161" s="62">
        <f t="shared" si="151"/>
        <v>20000</v>
      </c>
      <c r="AB161" s="62">
        <f t="shared" si="151"/>
        <v>20000</v>
      </c>
      <c r="AC161" s="62">
        <f t="shared" si="151"/>
        <v>20000</v>
      </c>
    </row>
    <row r="162" spans="1:29" x14ac:dyDescent="0.25">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25">
      <c r="A163" s="30" t="str">
        <f>A146</f>
        <v>Fuel Cost</v>
      </c>
      <c r="B163" s="62">
        <f t="shared" ref="B163:AC163" si="153">B145*B146*B153</f>
        <v>18444.372669870434</v>
      </c>
      <c r="C163" s="62">
        <f t="shared" si="153"/>
        <v>17155.572367738438</v>
      </c>
      <c r="D163" s="62">
        <f t="shared" si="153"/>
        <v>15862.735962338846</v>
      </c>
      <c r="E163" s="62">
        <f t="shared" si="153"/>
        <v>14565.040525465369</v>
      </c>
      <c r="F163" s="62">
        <f t="shared" si="153"/>
        <v>13261.754878600472</v>
      </c>
      <c r="G163" s="62">
        <f t="shared" si="153"/>
        <v>11952.487972073137</v>
      </c>
      <c r="H163" s="62">
        <f t="shared" si="153"/>
        <v>10637.607784287724</v>
      </c>
      <c r="I163" s="62">
        <f t="shared" si="153"/>
        <v>9318.8624109230968</v>
      </c>
      <c r="J163" s="62">
        <f t="shared" si="153"/>
        <v>9044.1212468291651</v>
      </c>
      <c r="K163" s="62">
        <f t="shared" si="153"/>
        <v>8751.0602911993046</v>
      </c>
      <c r="L163" s="62">
        <f t="shared" si="153"/>
        <v>8441.6833987589871</v>
      </c>
      <c r="M163" s="62">
        <f t="shared" si="153"/>
        <v>8121.7154478780958</v>
      </c>
      <c r="N163" s="62">
        <f t="shared" si="153"/>
        <v>7800.3075883128231</v>
      </c>
      <c r="O163" s="62">
        <f t="shared" si="153"/>
        <v>7488.0619127096816</v>
      </c>
      <c r="P163" s="62">
        <f t="shared" si="153"/>
        <v>7194.0787687532957</v>
      </c>
      <c r="Q163" s="62">
        <f t="shared" si="153"/>
        <v>6923.6361659784716</v>
      </c>
      <c r="R163" s="62">
        <f t="shared" si="153"/>
        <v>6677.658545076375</v>
      </c>
      <c r="S163" s="62">
        <f t="shared" si="153"/>
        <v>6453.7873398039337</v>
      </c>
      <c r="T163" s="62">
        <f t="shared" si="153"/>
        <v>6248.0297649050381</v>
      </c>
      <c r="U163" s="62">
        <f t="shared" si="153"/>
        <v>6056.1195583097979</v>
      </c>
      <c r="V163" s="62">
        <f t="shared" si="153"/>
        <v>5874.2895364200076</v>
      </c>
      <c r="W163" s="62">
        <f t="shared" si="153"/>
        <v>5699.5502989775969</v>
      </c>
      <c r="X163" s="62">
        <f t="shared" si="153"/>
        <v>5529.6817000221508</v>
      </c>
      <c r="Y163" s="62">
        <f t="shared" si="153"/>
        <v>5363.1040706938729</v>
      </c>
      <c r="Z163" s="62">
        <f t="shared" si="153"/>
        <v>5198.7248344854579</v>
      </c>
      <c r="AA163" s="62">
        <f t="shared" si="153"/>
        <v>5035.8025026664045</v>
      </c>
      <c r="AB163" s="62">
        <f t="shared" si="153"/>
        <v>4873.8402704695691</v>
      </c>
      <c r="AC163" s="62">
        <f t="shared" si="153"/>
        <v>4712.5081854780647</v>
      </c>
    </row>
    <row r="164" spans="1:29" ht="15.75" thickBot="1" x14ac:dyDescent="0.3">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75" thickBot="1" x14ac:dyDescent="0.3">
      <c r="A165" s="31" t="s">
        <v>209</v>
      </c>
      <c r="B165" s="64">
        <f>B156+B157+B158+B159+B160+B161+B162+B163+B164</f>
        <v>139380.40563064694</v>
      </c>
      <c r="C165" s="64">
        <f t="shared" ref="C165:AC165" si="155">C156+C157+C158+C159+C160+C161+C162+C163+C164</f>
        <v>138108.90099375733</v>
      </c>
      <c r="D165" s="64">
        <f t="shared" si="155"/>
        <v>136840.6219536374</v>
      </c>
      <c r="E165" s="64">
        <f t="shared" si="155"/>
        <v>135577.63599277459</v>
      </c>
      <c r="F165" s="64">
        <f t="shared" si="155"/>
        <v>134323.08182401786</v>
      </c>
      <c r="G165" s="64">
        <f t="shared" si="155"/>
        <v>133081.56936213523</v>
      </c>
      <c r="H165" s="64">
        <f t="shared" si="155"/>
        <v>131859.57798325885</v>
      </c>
      <c r="I165" s="64">
        <f t="shared" si="155"/>
        <v>130665.66521550565</v>
      </c>
      <c r="J165" s="64">
        <f t="shared" si="155"/>
        <v>130554.10438283166</v>
      </c>
      <c r="K165" s="64">
        <f t="shared" si="155"/>
        <v>130466.54147356941</v>
      </c>
      <c r="L165" s="64">
        <f t="shared" si="155"/>
        <v>130403.75633794785</v>
      </c>
      <c r="M165" s="64">
        <f t="shared" si="155"/>
        <v>130362.62784897459</v>
      </c>
      <c r="N165" s="64">
        <f t="shared" si="155"/>
        <v>130335.58966529566</v>
      </c>
      <c r="O165" s="64">
        <f t="shared" si="155"/>
        <v>130311.92102096048</v>
      </c>
      <c r="P165" s="64">
        <f t="shared" si="155"/>
        <v>130280.63548850836</v>
      </c>
      <c r="Q165" s="64">
        <f t="shared" si="155"/>
        <v>130233.44844665288</v>
      </c>
      <c r="R165" s="64">
        <f t="shared" si="155"/>
        <v>130166.25854724155</v>
      </c>
      <c r="S165" s="64">
        <f t="shared" si="155"/>
        <v>130078.8103086319</v>
      </c>
      <c r="T165" s="64">
        <f t="shared" si="155"/>
        <v>129973.33455536791</v>
      </c>
      <c r="U165" s="64">
        <f t="shared" si="155"/>
        <v>129853.12440049817</v>
      </c>
      <c r="V165" s="64">
        <f t="shared" si="155"/>
        <v>129721.54552622937</v>
      </c>
      <c r="W165" s="64">
        <f t="shared" si="155"/>
        <v>129581.53292046998</v>
      </c>
      <c r="X165" s="64">
        <f t="shared" si="155"/>
        <v>129435.42948606967</v>
      </c>
      <c r="Y165" s="64">
        <f t="shared" si="155"/>
        <v>129285.00699166939</v>
      </c>
      <c r="Z165" s="64">
        <f t="shared" si="155"/>
        <v>129131.55975550205</v>
      </c>
      <c r="AA165" s="64">
        <f t="shared" si="155"/>
        <v>128976.01216232392</v>
      </c>
      <c r="AB165" s="64">
        <f t="shared" si="155"/>
        <v>128819.01456754556</v>
      </c>
      <c r="AC165" s="64">
        <f t="shared" si="155"/>
        <v>128661.01995815933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6">A156</f>
        <v>Capex vehicle</v>
      </c>
      <c r="B168" s="65">
        <f t="shared" ref="B168:AC168" si="157">((1+B141)^B148)*B141/(((1+B141)^B148)-1)*(B137)/B153</f>
        <v>0.1539094015101474</v>
      </c>
      <c r="C168" s="65">
        <f t="shared" si="157"/>
        <v>0.1539921558892976</v>
      </c>
      <c r="D168" s="65">
        <f t="shared" si="157"/>
        <v>0.15410965524470269</v>
      </c>
      <c r="E168" s="65">
        <f t="shared" si="157"/>
        <v>0.15427572929260067</v>
      </c>
      <c r="F168" s="65">
        <f t="shared" si="157"/>
        <v>0.15450889425962536</v>
      </c>
      <c r="G168" s="65">
        <f t="shared" si="157"/>
        <v>0.15483307820529371</v>
      </c>
      <c r="H168" s="65">
        <f t="shared" si="157"/>
        <v>0.15527752226705954</v>
      </c>
      <c r="I168" s="65">
        <f t="shared" si="157"/>
        <v>0.15587480746137253</v>
      </c>
      <c r="J168" s="65">
        <f t="shared" si="157"/>
        <v>0.15665557459735316</v>
      </c>
      <c r="K168" s="65">
        <f t="shared" si="157"/>
        <v>0.15763881883834643</v>
      </c>
      <c r="L168" s="65">
        <f t="shared" si="157"/>
        <v>0.15881868370350799</v>
      </c>
      <c r="M168" s="65">
        <f t="shared" si="157"/>
        <v>0.16015284380832914</v>
      </c>
      <c r="N168" s="65">
        <f t="shared" si="157"/>
        <v>0.16156131115706771</v>
      </c>
      <c r="O168" s="65">
        <f t="shared" si="157"/>
        <v>0.16294206250284737</v>
      </c>
      <c r="P168" s="65">
        <f t="shared" si="157"/>
        <v>0.16419898887368112</v>
      </c>
      <c r="Q168" s="65">
        <f t="shared" si="157"/>
        <v>0.16526719729913258</v>
      </c>
      <c r="R168" s="65">
        <f t="shared" si="157"/>
        <v>0.16612264094262907</v>
      </c>
      <c r="S168" s="65">
        <f t="shared" si="157"/>
        <v>0.16677538240991518</v>
      </c>
      <c r="T168" s="65">
        <f t="shared" si="157"/>
        <v>0.16725519973831185</v>
      </c>
      <c r="U168" s="65">
        <f t="shared" si="157"/>
        <v>0.16759826218675919</v>
      </c>
      <c r="V168" s="65">
        <f t="shared" si="157"/>
        <v>0.16783869829977832</v>
      </c>
      <c r="W168" s="65">
        <f t="shared" si="157"/>
        <v>0.16800485443223298</v>
      </c>
      <c r="X168" s="65">
        <f t="shared" si="157"/>
        <v>0.16811856335354936</v>
      </c>
      <c r="Y168" s="65">
        <f t="shared" si="157"/>
        <v>0.16819586064985567</v>
      </c>
      <c r="Z168" s="65">
        <f t="shared" si="157"/>
        <v>0.16824816687014782</v>
      </c>
      <c r="AA168" s="65">
        <f t="shared" si="157"/>
        <v>0.16828345270096565</v>
      </c>
      <c r="AB168" s="65">
        <f t="shared" si="157"/>
        <v>0.16830720694698711</v>
      </c>
      <c r="AC168" s="65">
        <f t="shared" si="157"/>
        <v>0.16832317572978744</v>
      </c>
    </row>
    <row r="169" spans="1:29" x14ac:dyDescent="0.25">
      <c r="A169" s="30" t="str">
        <f t="shared" si="156"/>
        <v>Residual value (vehicle)</v>
      </c>
      <c r="B169" s="66">
        <f t="shared" ref="B169:AC169" si="158">((1+B141)^B148)*B141/(((1+B141)^B148)-1)*(B138)/B153</f>
        <v>-3.825508477506346E-2</v>
      </c>
      <c r="C169" s="66">
        <f t="shared" si="158"/>
        <v>-3.8180605833828256E-2</v>
      </c>
      <c r="D169" s="66">
        <f t="shared" si="158"/>
        <v>-3.8074856413963673E-2</v>
      </c>
      <c r="E169" s="66">
        <f t="shared" si="158"/>
        <v>-3.7925389770855515E-2</v>
      </c>
      <c r="F169" s="66">
        <f t="shared" si="158"/>
        <v>-3.7715541300533284E-2</v>
      </c>
      <c r="G169" s="66">
        <f t="shared" si="158"/>
        <v>-3.7423775749431752E-2</v>
      </c>
      <c r="H169" s="66">
        <f t="shared" si="158"/>
        <v>-3.7023776093842518E-2</v>
      </c>
      <c r="I169" s="66">
        <f t="shared" si="158"/>
        <v>-3.6486219418960825E-2</v>
      </c>
      <c r="J169" s="66">
        <f t="shared" si="158"/>
        <v>-3.5783528996578252E-2</v>
      </c>
      <c r="K169" s="66">
        <f t="shared" si="158"/>
        <v>-3.4898609179684327E-2</v>
      </c>
      <c r="L169" s="66">
        <f t="shared" si="158"/>
        <v>-3.3836730801038925E-2</v>
      </c>
      <c r="M169" s="66">
        <f t="shared" si="158"/>
        <v>-3.2635986706699871E-2</v>
      </c>
      <c r="N169" s="66">
        <f t="shared" si="158"/>
        <v>-3.1368366092835186E-2</v>
      </c>
      <c r="O169" s="66">
        <f t="shared" si="158"/>
        <v>-3.0125689881633496E-2</v>
      </c>
      <c r="P169" s="66">
        <f t="shared" si="158"/>
        <v>-2.899445614788311E-2</v>
      </c>
      <c r="Q169" s="66">
        <f t="shared" si="158"/>
        <v>-2.8033068564976789E-2</v>
      </c>
      <c r="R169" s="66">
        <f t="shared" si="158"/>
        <v>-2.7263169285829947E-2</v>
      </c>
      <c r="S169" s="66">
        <f t="shared" si="158"/>
        <v>-2.6675701965272438E-2</v>
      </c>
      <c r="T169" s="66">
        <f t="shared" si="158"/>
        <v>-2.624386636971545E-2</v>
      </c>
      <c r="U169" s="66">
        <f t="shared" si="158"/>
        <v>-2.5935110166112822E-2</v>
      </c>
      <c r="V169" s="66">
        <f t="shared" si="158"/>
        <v>-2.5718717664395624E-2</v>
      </c>
      <c r="W169" s="66">
        <f t="shared" si="158"/>
        <v>-2.5569177145186424E-2</v>
      </c>
      <c r="X169" s="66">
        <f t="shared" si="158"/>
        <v>-2.5466839116001668E-2</v>
      </c>
      <c r="Y169" s="66">
        <f t="shared" si="158"/>
        <v>-2.5397271549326011E-2</v>
      </c>
      <c r="Z169" s="66">
        <f t="shared" si="158"/>
        <v>-2.5350195951063081E-2</v>
      </c>
      <c r="AA169" s="66">
        <f t="shared" si="158"/>
        <v>-2.5318438703327027E-2</v>
      </c>
      <c r="AB169" s="66">
        <f t="shared" si="158"/>
        <v>-2.5297059881907724E-2</v>
      </c>
      <c r="AC169" s="66">
        <f t="shared" si="158"/>
        <v>-2.5282687977387381E-2</v>
      </c>
    </row>
    <row r="170" spans="1:29" x14ac:dyDescent="0.25">
      <c r="A170" s="30" t="str">
        <f t="shared" si="156"/>
        <v>Capex costumization</v>
      </c>
      <c r="B170" s="66">
        <f t="shared" ref="B170:AC170" si="159">((1+B141)^B149)*B141/(((1+B141)^B149)-1)*(B139)/B153</f>
        <v>7.4109795392936578E-2</v>
      </c>
      <c r="C170" s="66">
        <f t="shared" si="159"/>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25">
      <c r="A171" s="30" t="str">
        <f t="shared" si="156"/>
        <v>Residual value (costumization)</v>
      </c>
      <c r="B171" s="66">
        <f t="shared" ref="B171:AC171" si="160">((1+B141)^B149)*B141/(((1+B141)^B149)-1)*(B140)/B153</f>
        <v>-1.8527448848234145E-2</v>
      </c>
      <c r="C171" s="66">
        <f t="shared" si="160"/>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25">
      <c r="A172" s="30" t="str">
        <f t="shared" si="156"/>
        <v>Opex fix (admin, crew, insurance)</v>
      </c>
      <c r="B172" s="66">
        <f t="shared" ref="B172:AC172" si="161">B142/B153</f>
        <v>0.63636363636363635</v>
      </c>
      <c r="C172" s="66">
        <f t="shared" si="161"/>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25">
      <c r="A173" s="30" t="str">
        <f t="shared" si="156"/>
        <v>Opex maintenance &amp; repair</v>
      </c>
      <c r="B173" s="66">
        <f t="shared" ref="B173:AC173" si="162">B143/B153</f>
        <v>0.18181818181818182</v>
      </c>
      <c r="C173" s="66">
        <f t="shared" si="162"/>
        <v>0.18181818181818182</v>
      </c>
      <c r="D173" s="66">
        <f t="shared" si="162"/>
        <v>0.18181818181818182</v>
      </c>
      <c r="E173" s="66">
        <f t="shared" si="162"/>
        <v>0.18181818181818182</v>
      </c>
      <c r="F173" s="66">
        <f t="shared" si="162"/>
        <v>0.18181818181818182</v>
      </c>
      <c r="G173" s="66">
        <f t="shared" si="162"/>
        <v>0.18181818181818182</v>
      </c>
      <c r="H173" s="66">
        <f t="shared" si="162"/>
        <v>0.18181818181818182</v>
      </c>
      <c r="I173" s="66">
        <f t="shared" si="162"/>
        <v>0.18181818181818182</v>
      </c>
      <c r="J173" s="66">
        <f t="shared" si="162"/>
        <v>0.18181818181818182</v>
      </c>
      <c r="K173" s="66">
        <f t="shared" si="162"/>
        <v>0.18181818181818182</v>
      </c>
      <c r="L173" s="66">
        <f t="shared" si="162"/>
        <v>0.18181818181818182</v>
      </c>
      <c r="M173" s="66">
        <f t="shared" si="162"/>
        <v>0.18181818181818182</v>
      </c>
      <c r="N173" s="66">
        <f t="shared" si="162"/>
        <v>0.18181818181818182</v>
      </c>
      <c r="O173" s="66">
        <f t="shared" si="162"/>
        <v>0.18181818181818182</v>
      </c>
      <c r="P173" s="66">
        <f t="shared" si="162"/>
        <v>0.18181818181818182</v>
      </c>
      <c r="Q173" s="66">
        <f t="shared" si="162"/>
        <v>0.18181818181818182</v>
      </c>
      <c r="R173" s="66">
        <f t="shared" si="162"/>
        <v>0.18181818181818182</v>
      </c>
      <c r="S173" s="66">
        <f t="shared" si="162"/>
        <v>0.18181818181818182</v>
      </c>
      <c r="T173" s="66">
        <f t="shared" si="162"/>
        <v>0.18181818181818182</v>
      </c>
      <c r="U173" s="66">
        <f t="shared" si="162"/>
        <v>0.18181818181818182</v>
      </c>
      <c r="V173" s="66">
        <f t="shared" si="162"/>
        <v>0.18181818181818182</v>
      </c>
      <c r="W173" s="66">
        <f t="shared" si="162"/>
        <v>0.18181818181818182</v>
      </c>
      <c r="X173" s="66">
        <f t="shared" si="162"/>
        <v>0.18181818181818182</v>
      </c>
      <c r="Y173" s="66">
        <f t="shared" si="162"/>
        <v>0.18181818181818182</v>
      </c>
      <c r="Z173" s="66">
        <f t="shared" si="162"/>
        <v>0.18181818181818182</v>
      </c>
      <c r="AA173" s="66">
        <f t="shared" si="162"/>
        <v>0.18181818181818182</v>
      </c>
      <c r="AB173" s="66">
        <f t="shared" si="162"/>
        <v>0.18181818181818182</v>
      </c>
      <c r="AC173" s="66">
        <f t="shared" si="162"/>
        <v>0.18181818181818182</v>
      </c>
    </row>
    <row r="174" spans="1:29" x14ac:dyDescent="0.25">
      <c r="A174" s="30" t="str">
        <f t="shared" si="156"/>
        <v>Opex var (mode-fees)</v>
      </c>
      <c r="B174" s="66">
        <f t="shared" ref="B174:AC174" si="163">B144*B153/B153</f>
        <v>0.11</v>
      </c>
      <c r="C174" s="66">
        <f t="shared" si="163"/>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25">
      <c r="A175" s="30" t="str">
        <f t="shared" ref="A175" si="164">A163</f>
        <v>Fuel Cost</v>
      </c>
      <c r="B175" s="66">
        <f t="shared" ref="B175:AC175" si="165">B145*B146*B153/B153</f>
        <v>0.16767611518064032</v>
      </c>
      <c r="C175" s="66">
        <f t="shared" si="165"/>
        <v>0.15595974879762217</v>
      </c>
      <c r="D175" s="66">
        <f t="shared" si="165"/>
        <v>0.14420669056671678</v>
      </c>
      <c r="E175" s="66">
        <f t="shared" si="165"/>
        <v>0.13240945932241244</v>
      </c>
      <c r="F175" s="66">
        <f t="shared" si="165"/>
        <v>0.12056140798727702</v>
      </c>
      <c r="G175" s="66">
        <f t="shared" si="165"/>
        <v>0.10865898156430125</v>
      </c>
      <c r="H175" s="66">
        <f t="shared" si="165"/>
        <v>9.6705525311706578E-2</v>
      </c>
      <c r="I175" s="66">
        <f t="shared" si="165"/>
        <v>8.4716931008391783E-2</v>
      </c>
      <c r="J175" s="66">
        <f t="shared" si="165"/>
        <v>8.2219284062083314E-2</v>
      </c>
      <c r="K175" s="66">
        <f t="shared" si="165"/>
        <v>7.9555093556357315E-2</v>
      </c>
      <c r="L175" s="66">
        <f t="shared" si="165"/>
        <v>7.674257635235443E-2</v>
      </c>
      <c r="M175" s="66">
        <f t="shared" si="165"/>
        <v>7.3833776798891776E-2</v>
      </c>
      <c r="N175" s="66">
        <f t="shared" si="165"/>
        <v>7.0911887166480211E-2</v>
      </c>
      <c r="O175" s="66">
        <f t="shared" si="165"/>
        <v>6.8073290115542556E-2</v>
      </c>
      <c r="P175" s="66">
        <f t="shared" si="165"/>
        <v>6.5400716079575413E-2</v>
      </c>
      <c r="Q175" s="66">
        <f t="shared" si="165"/>
        <v>6.2942146963440651E-2</v>
      </c>
      <c r="R175" s="66">
        <f t="shared" si="165"/>
        <v>6.0705986773421594E-2</v>
      </c>
      <c r="S175" s="66">
        <f t="shared" si="165"/>
        <v>5.8670793998217577E-2</v>
      </c>
      <c r="T175" s="66">
        <f t="shared" si="165"/>
        <v>5.6800270590045804E-2</v>
      </c>
      <c r="U175" s="66">
        <f t="shared" si="165"/>
        <v>5.5055632348270891E-2</v>
      </c>
      <c r="V175" s="66">
        <f t="shared" si="165"/>
        <v>5.3402632149272794E-2</v>
      </c>
      <c r="W175" s="66">
        <f t="shared" si="165"/>
        <v>5.1814093627069062E-2</v>
      </c>
      <c r="X175" s="66">
        <f t="shared" si="165"/>
        <v>5.0269833636565009E-2</v>
      </c>
      <c r="Y175" s="66">
        <f t="shared" si="165"/>
        <v>4.8755491551762481E-2</v>
      </c>
      <c r="Z175" s="66">
        <f t="shared" si="165"/>
        <v>4.7261134858958706E-2</v>
      </c>
      <c r="AA175" s="66">
        <f t="shared" si="165"/>
        <v>4.5780022751512765E-2</v>
      </c>
      <c r="AB175" s="66">
        <f t="shared" si="165"/>
        <v>4.4307638822450625E-2</v>
      </c>
      <c r="AC175" s="66">
        <f t="shared" si="165"/>
        <v>4.2840983504346043E-2</v>
      </c>
    </row>
    <row r="176" spans="1:29" ht="15.75" thickBot="1" x14ac:dyDescent="0.3">
      <c r="A176" s="59" t="str">
        <f>A127</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75" thickBot="1" x14ac:dyDescent="0.3">
      <c r="A177" s="31" t="s">
        <v>63</v>
      </c>
      <c r="B177" s="76">
        <f>B168+B169+B170-B171+B172+B173+B174+B175+B176</f>
        <v>1.3041494943387133</v>
      </c>
      <c r="C177" s="76">
        <f t="shared" ref="C177:AC177" si="167">C168+C169+C170-C171+C172+C173+C174+C175+C176</f>
        <v>1.2925903612760805</v>
      </c>
      <c r="D177" s="76">
        <f t="shared" si="167"/>
        <v>1.2810605518204448</v>
      </c>
      <c r="E177" s="76">
        <f t="shared" si="167"/>
        <v>1.2695788612671466</v>
      </c>
      <c r="F177" s="76">
        <f t="shared" si="167"/>
        <v>1.258173823369358</v>
      </c>
      <c r="G177" s="76">
        <f t="shared" si="167"/>
        <v>1.2468873464431522</v>
      </c>
      <c r="H177" s="76">
        <f t="shared" si="167"/>
        <v>1.2357783339079127</v>
      </c>
      <c r="I177" s="76">
        <f t="shared" si="167"/>
        <v>1.2249245814737924</v>
      </c>
      <c r="J177" s="76">
        <f t="shared" si="167"/>
        <v>1.2239103920858472</v>
      </c>
      <c r="K177" s="76">
        <f t="shared" si="167"/>
        <v>1.2231143656380086</v>
      </c>
      <c r="L177" s="76">
        <f t="shared" si="167"/>
        <v>1.2225435916778125</v>
      </c>
      <c r="M177" s="76">
        <f t="shared" si="167"/>
        <v>1.22216969632351</v>
      </c>
      <c r="N177" s="76">
        <f t="shared" si="167"/>
        <v>1.2219238946537017</v>
      </c>
      <c r="O177" s="76">
        <f t="shared" si="167"/>
        <v>1.2217087251597454</v>
      </c>
      <c r="P177" s="76">
        <f t="shared" si="167"/>
        <v>1.2214243112283623</v>
      </c>
      <c r="Q177" s="76">
        <f t="shared" si="167"/>
        <v>1.2209953381205854</v>
      </c>
      <c r="R177" s="76">
        <f t="shared" si="167"/>
        <v>1.2203845208532098</v>
      </c>
      <c r="S177" s="76">
        <f t="shared" si="167"/>
        <v>1.2195895368658494</v>
      </c>
      <c r="T177" s="76">
        <f t="shared" si="167"/>
        <v>1.2186306663816313</v>
      </c>
      <c r="U177" s="76">
        <f t="shared" si="167"/>
        <v>1.2175378467919062</v>
      </c>
      <c r="V177" s="76">
        <f t="shared" si="167"/>
        <v>1.2163416752076446</v>
      </c>
      <c r="W177" s="76">
        <f t="shared" si="167"/>
        <v>1.2150688333371047</v>
      </c>
      <c r="X177" s="76">
        <f t="shared" si="167"/>
        <v>1.2137406202971017</v>
      </c>
      <c r="Y177" s="76">
        <f t="shared" si="167"/>
        <v>1.2123731430752811</v>
      </c>
      <c r="Z177" s="76">
        <f t="shared" si="167"/>
        <v>1.2109781682010323</v>
      </c>
      <c r="AA177" s="76">
        <f t="shared" si="167"/>
        <v>1.2095640991721404</v>
      </c>
      <c r="AB177" s="76">
        <f t="shared" si="167"/>
        <v>1.208136848310519</v>
      </c>
      <c r="AC177" s="76">
        <f t="shared" si="167"/>
        <v>1.206700533679735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68">A156</f>
        <v>Capex vehicle</v>
      </c>
      <c r="B180" s="65">
        <f t="shared" ref="B180:AC180" si="169">((1+B141)^B148)*B141/(((1+B141)^B148)-1)*(B137)/B153/(B150)</f>
        <v>6.1563760604058963E-3</v>
      </c>
      <c r="C180" s="65">
        <f t="shared" si="169"/>
        <v>6.1596862355719042E-3</v>
      </c>
      <c r="D180" s="65">
        <f t="shared" si="169"/>
        <v>6.1643862097881079E-3</v>
      </c>
      <c r="E180" s="65">
        <f t="shared" si="169"/>
        <v>6.1710291717040266E-3</v>
      </c>
      <c r="F180" s="65">
        <f t="shared" si="169"/>
        <v>6.1803557703850147E-3</v>
      </c>
      <c r="G180" s="65">
        <f t="shared" si="169"/>
        <v>6.1933231282117482E-3</v>
      </c>
      <c r="H180" s="65">
        <f t="shared" si="169"/>
        <v>6.2111008906823818E-3</v>
      </c>
      <c r="I180" s="65">
        <f t="shared" si="169"/>
        <v>6.2349922984549014E-3</v>
      </c>
      <c r="J180" s="65">
        <f t="shared" si="169"/>
        <v>6.266222983894126E-3</v>
      </c>
      <c r="K180" s="65">
        <f t="shared" si="169"/>
        <v>6.3055527535338576E-3</v>
      </c>
      <c r="L180" s="65">
        <f t="shared" si="169"/>
        <v>6.3527473481403193E-3</v>
      </c>
      <c r="M180" s="65">
        <f t="shared" si="169"/>
        <v>6.406113752333166E-3</v>
      </c>
      <c r="N180" s="65">
        <f t="shared" si="169"/>
        <v>6.4624524462827083E-3</v>
      </c>
      <c r="O180" s="65">
        <f t="shared" si="169"/>
        <v>6.5176825001138951E-3</v>
      </c>
      <c r="P180" s="65">
        <f t="shared" si="169"/>
        <v>6.5679595549472444E-3</v>
      </c>
      <c r="Q180" s="65">
        <f t="shared" si="169"/>
        <v>6.6106878919653033E-3</v>
      </c>
      <c r="R180" s="65">
        <f t="shared" si="169"/>
        <v>6.6449056377051625E-3</v>
      </c>
      <c r="S180" s="65">
        <f t="shared" si="169"/>
        <v>6.6710152963966075E-3</v>
      </c>
      <c r="T180" s="65">
        <f t="shared" si="169"/>
        <v>6.6902079895324743E-3</v>
      </c>
      <c r="U180" s="65">
        <f t="shared" si="169"/>
        <v>6.7039304874703673E-3</v>
      </c>
      <c r="V180" s="65">
        <f t="shared" si="169"/>
        <v>6.713547931991133E-3</v>
      </c>
      <c r="W180" s="65">
        <f t="shared" si="169"/>
        <v>6.7201941772893192E-3</v>
      </c>
      <c r="X180" s="65">
        <f t="shared" si="169"/>
        <v>6.7247425341419743E-3</v>
      </c>
      <c r="Y180" s="65">
        <f t="shared" si="169"/>
        <v>6.7278344259942271E-3</v>
      </c>
      <c r="Z180" s="65">
        <f t="shared" si="169"/>
        <v>6.7299266748059132E-3</v>
      </c>
      <c r="AA180" s="65">
        <f t="shared" si="169"/>
        <v>6.7313381080386257E-3</v>
      </c>
      <c r="AB180" s="65">
        <f t="shared" si="169"/>
        <v>6.7322882778794845E-3</v>
      </c>
      <c r="AC180" s="65">
        <f t="shared" si="169"/>
        <v>6.7329270291914978E-3</v>
      </c>
    </row>
    <row r="181" spans="1:29" x14ac:dyDescent="0.25">
      <c r="A181" s="30" t="str">
        <f t="shared" si="168"/>
        <v>Residual value (vehicle)</v>
      </c>
      <c r="B181" s="68">
        <f t="shared" ref="B181:AC181" si="170">((1+B141)^B148)*B141/(((1+B141)^B148)-1)*(B138)/B153/(B150)</f>
        <v>-1.5302033910025385E-3</v>
      </c>
      <c r="C181" s="68">
        <f t="shared" si="170"/>
        <v>-1.5272242333531302E-3</v>
      </c>
      <c r="D181" s="68">
        <f t="shared" si="170"/>
        <v>-1.5229942565585469E-3</v>
      </c>
      <c r="E181" s="68">
        <f t="shared" si="170"/>
        <v>-1.5170155908342206E-3</v>
      </c>
      <c r="F181" s="68">
        <f t="shared" si="170"/>
        <v>-1.5086216520213314E-3</v>
      </c>
      <c r="G181" s="68">
        <f t="shared" si="170"/>
        <v>-1.4969510299772701E-3</v>
      </c>
      <c r="H181" s="68">
        <f t="shared" si="170"/>
        <v>-1.4809510437537006E-3</v>
      </c>
      <c r="I181" s="68">
        <f t="shared" si="170"/>
        <v>-1.4594487767584331E-3</v>
      </c>
      <c r="J181" s="68">
        <f t="shared" si="170"/>
        <v>-1.4313411598631301E-3</v>
      </c>
      <c r="K181" s="68">
        <f t="shared" si="170"/>
        <v>-1.395944367187373E-3</v>
      </c>
      <c r="L181" s="68">
        <f t="shared" si="170"/>
        <v>-1.3534692320415569E-3</v>
      </c>
      <c r="M181" s="68">
        <f t="shared" si="170"/>
        <v>-1.3054394682679949E-3</v>
      </c>
      <c r="N181" s="68">
        <f t="shared" si="170"/>
        <v>-1.2547346437134074E-3</v>
      </c>
      <c r="O181" s="68">
        <f t="shared" si="170"/>
        <v>-1.2050275952653398E-3</v>
      </c>
      <c r="P181" s="68">
        <f t="shared" si="170"/>
        <v>-1.1597782459153243E-3</v>
      </c>
      <c r="Q181" s="68">
        <f t="shared" si="170"/>
        <v>-1.1213227425990715E-3</v>
      </c>
      <c r="R181" s="68">
        <f t="shared" si="170"/>
        <v>-1.0905267714331978E-3</v>
      </c>
      <c r="S181" s="68">
        <f t="shared" si="170"/>
        <v>-1.0670280786108976E-3</v>
      </c>
      <c r="T181" s="68">
        <f t="shared" si="170"/>
        <v>-1.049754654788618E-3</v>
      </c>
      <c r="U181" s="68">
        <f t="shared" si="170"/>
        <v>-1.0374044066445128E-3</v>
      </c>
      <c r="V181" s="68">
        <f t="shared" si="170"/>
        <v>-1.0287487065758249E-3</v>
      </c>
      <c r="W181" s="68">
        <f t="shared" si="170"/>
        <v>-1.022767085807457E-3</v>
      </c>
      <c r="X181" s="68">
        <f t="shared" si="170"/>
        <v>-1.0186735646400668E-3</v>
      </c>
      <c r="Y181" s="68">
        <f t="shared" si="170"/>
        <v>-1.0158908619730404E-3</v>
      </c>
      <c r="Z181" s="68">
        <f t="shared" si="170"/>
        <v>-1.0140078380425233E-3</v>
      </c>
      <c r="AA181" s="68">
        <f t="shared" si="170"/>
        <v>-1.0127375481330811E-3</v>
      </c>
      <c r="AB181" s="68">
        <f t="shared" si="170"/>
        <v>-1.0118823952763091E-3</v>
      </c>
      <c r="AC181" s="68">
        <f t="shared" si="170"/>
        <v>-1.0113075190954952E-3</v>
      </c>
    </row>
    <row r="182" spans="1:29" x14ac:dyDescent="0.25">
      <c r="A182" s="30" t="str">
        <f t="shared" si="168"/>
        <v>Capex costumization</v>
      </c>
      <c r="B182" s="66">
        <f t="shared" ref="B182:AC182" si="171">((1+B141)^B149)*B141/(((1+B141)^B149)-1)*(B139)/B153/(B150)</f>
        <v>2.964391815717463E-3</v>
      </c>
      <c r="C182" s="66">
        <f t="shared" si="171"/>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25">
      <c r="A183" s="30" t="str">
        <f t="shared" si="168"/>
        <v>Residual value (costumization)</v>
      </c>
      <c r="B183" s="69">
        <f t="shared" ref="B183:AC183" si="172">((1+B141)^B149)*B141/(((1+B141)^B149)-1)*(B140)/B153/(B150)</f>
        <v>-7.4109795392936575E-4</v>
      </c>
      <c r="C183" s="69">
        <f t="shared" si="172"/>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25">
      <c r="A184" s="30" t="str">
        <f t="shared" si="168"/>
        <v>Opex fix (admin, crew, insurance)</v>
      </c>
      <c r="B184" s="66">
        <f t="shared" ref="B184:AC184" si="173">B142/B153/(B150)</f>
        <v>2.5454545454545455E-2</v>
      </c>
      <c r="C184" s="66">
        <f t="shared" si="173"/>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25">
      <c r="A185" s="30" t="str">
        <f t="shared" si="168"/>
        <v>Opex maintenance &amp; repair</v>
      </c>
      <c r="B185" s="66">
        <f t="shared" ref="B185:AC185" si="174">B143/B153/(B150)</f>
        <v>7.2727272727272727E-3</v>
      </c>
      <c r="C185" s="66">
        <f t="shared" si="174"/>
        <v>7.2727272727272727E-3</v>
      </c>
      <c r="D185" s="66">
        <f t="shared" si="174"/>
        <v>7.2727272727272727E-3</v>
      </c>
      <c r="E185" s="66">
        <f t="shared" si="174"/>
        <v>7.2727272727272727E-3</v>
      </c>
      <c r="F185" s="66">
        <f t="shared" si="174"/>
        <v>7.2727272727272727E-3</v>
      </c>
      <c r="G185" s="66">
        <f t="shared" si="174"/>
        <v>7.2727272727272727E-3</v>
      </c>
      <c r="H185" s="66">
        <f t="shared" si="174"/>
        <v>7.2727272727272727E-3</v>
      </c>
      <c r="I185" s="66">
        <f t="shared" si="174"/>
        <v>7.2727272727272727E-3</v>
      </c>
      <c r="J185" s="66">
        <f t="shared" si="174"/>
        <v>7.2727272727272727E-3</v>
      </c>
      <c r="K185" s="66">
        <f t="shared" si="174"/>
        <v>7.2727272727272727E-3</v>
      </c>
      <c r="L185" s="66">
        <f t="shared" si="174"/>
        <v>7.2727272727272727E-3</v>
      </c>
      <c r="M185" s="66">
        <f t="shared" si="174"/>
        <v>7.2727272727272727E-3</v>
      </c>
      <c r="N185" s="66">
        <f t="shared" si="174"/>
        <v>7.2727272727272727E-3</v>
      </c>
      <c r="O185" s="66">
        <f t="shared" si="174"/>
        <v>7.2727272727272727E-3</v>
      </c>
      <c r="P185" s="66">
        <f t="shared" si="174"/>
        <v>7.2727272727272727E-3</v>
      </c>
      <c r="Q185" s="66">
        <f t="shared" si="174"/>
        <v>7.2727272727272727E-3</v>
      </c>
      <c r="R185" s="66">
        <f t="shared" si="174"/>
        <v>7.2727272727272727E-3</v>
      </c>
      <c r="S185" s="66">
        <f t="shared" si="174"/>
        <v>7.2727272727272727E-3</v>
      </c>
      <c r="T185" s="66">
        <f t="shared" si="174"/>
        <v>7.2727272727272727E-3</v>
      </c>
      <c r="U185" s="66">
        <f t="shared" si="174"/>
        <v>7.2727272727272727E-3</v>
      </c>
      <c r="V185" s="66">
        <f t="shared" si="174"/>
        <v>7.2727272727272727E-3</v>
      </c>
      <c r="W185" s="66">
        <f t="shared" si="174"/>
        <v>7.2727272727272727E-3</v>
      </c>
      <c r="X185" s="66">
        <f t="shared" si="174"/>
        <v>7.2727272727272727E-3</v>
      </c>
      <c r="Y185" s="66">
        <f t="shared" si="174"/>
        <v>7.2727272727272727E-3</v>
      </c>
      <c r="Z185" s="66">
        <f t="shared" si="174"/>
        <v>7.2727272727272727E-3</v>
      </c>
      <c r="AA185" s="66">
        <f t="shared" si="174"/>
        <v>7.2727272727272727E-3</v>
      </c>
      <c r="AB185" s="66">
        <f t="shared" si="174"/>
        <v>7.2727272727272727E-3</v>
      </c>
      <c r="AC185" s="66">
        <f t="shared" si="174"/>
        <v>7.2727272727272727E-3</v>
      </c>
    </row>
    <row r="186" spans="1:29" x14ac:dyDescent="0.25">
      <c r="A186" s="30" t="str">
        <f t="shared" si="168"/>
        <v>Opex var (mode-fees)</v>
      </c>
      <c r="B186" s="66">
        <f t="shared" ref="B186:AC186" si="175">B144*B153/B153/(B150)</f>
        <v>4.4000000000000003E-3</v>
      </c>
      <c r="C186" s="66">
        <f t="shared" si="175"/>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25">
      <c r="A187" s="30" t="str">
        <f t="shared" ref="A187" si="176">A163</f>
        <v>Fuel Cost</v>
      </c>
      <c r="B187" s="66">
        <f t="shared" ref="B187:AC187" si="177">B145*B146*B153/B153/(B150)</f>
        <v>6.7070446072256132E-3</v>
      </c>
      <c r="C187" s="66">
        <f t="shared" si="177"/>
        <v>6.2383899519048869E-3</v>
      </c>
      <c r="D187" s="66">
        <f t="shared" si="177"/>
        <v>5.7682676226686715E-3</v>
      </c>
      <c r="E187" s="66">
        <f t="shared" si="177"/>
        <v>5.2963783728964976E-3</v>
      </c>
      <c r="F187" s="66">
        <f t="shared" si="177"/>
        <v>4.8224563194910804E-3</v>
      </c>
      <c r="G187" s="66">
        <f t="shared" si="177"/>
        <v>4.3463592625720502E-3</v>
      </c>
      <c r="H187" s="66">
        <f t="shared" si="177"/>
        <v>3.8682210124682632E-3</v>
      </c>
      <c r="I187" s="66">
        <f t="shared" si="177"/>
        <v>3.3886772403356712E-3</v>
      </c>
      <c r="J187" s="66">
        <f t="shared" si="177"/>
        <v>3.2887713624833326E-3</v>
      </c>
      <c r="K187" s="66">
        <f t="shared" si="177"/>
        <v>3.1822037422542925E-3</v>
      </c>
      <c r="L187" s="66">
        <f t="shared" si="177"/>
        <v>3.0697030540941771E-3</v>
      </c>
      <c r="M187" s="66">
        <f t="shared" si="177"/>
        <v>2.9533510719556709E-3</v>
      </c>
      <c r="N187" s="66">
        <f t="shared" si="177"/>
        <v>2.8364754866592084E-3</v>
      </c>
      <c r="O187" s="66">
        <f t="shared" si="177"/>
        <v>2.7229316046217021E-3</v>
      </c>
      <c r="P187" s="66">
        <f t="shared" si="177"/>
        <v>2.6160286431830167E-3</v>
      </c>
      <c r="Q187" s="66">
        <f t="shared" si="177"/>
        <v>2.5176858785376259E-3</v>
      </c>
      <c r="R187" s="66">
        <f t="shared" si="177"/>
        <v>2.4282394709368637E-3</v>
      </c>
      <c r="S187" s="66">
        <f t="shared" si="177"/>
        <v>2.346831759928703E-3</v>
      </c>
      <c r="T187" s="66">
        <f t="shared" si="177"/>
        <v>2.2720108236018322E-3</v>
      </c>
      <c r="U187" s="66">
        <f t="shared" si="177"/>
        <v>2.2022252939308358E-3</v>
      </c>
      <c r="V187" s="66">
        <f t="shared" si="177"/>
        <v>2.1361052859709116E-3</v>
      </c>
      <c r="W187" s="66">
        <f t="shared" si="177"/>
        <v>2.0725637450827623E-3</v>
      </c>
      <c r="X187" s="66">
        <f t="shared" si="177"/>
        <v>2.0107933454626002E-3</v>
      </c>
      <c r="Y187" s="66">
        <f t="shared" si="177"/>
        <v>1.9502196620704993E-3</v>
      </c>
      <c r="Z187" s="66">
        <f t="shared" si="177"/>
        <v>1.8904453943583482E-3</v>
      </c>
      <c r="AA187" s="66">
        <f t="shared" si="177"/>
        <v>1.8312009100605105E-3</v>
      </c>
      <c r="AB187" s="66">
        <f t="shared" si="177"/>
        <v>1.772305552898025E-3</v>
      </c>
      <c r="AC187" s="66">
        <f t="shared" si="177"/>
        <v>1.7136393401738417E-3</v>
      </c>
    </row>
    <row r="188" spans="1:29" x14ac:dyDescent="0.25">
      <c r="A188" s="59" t="str">
        <f>A151</f>
        <v>Market failure (av. utilization)</v>
      </c>
      <c r="B188" s="66">
        <f t="shared" ref="B188:AC188" si="178">B177/B151-B177/B150</f>
        <v>2.9343363622621049E-2</v>
      </c>
      <c r="C188" s="66">
        <f t="shared" si="178"/>
        <v>2.9083283128711813E-2</v>
      </c>
      <c r="D188" s="66">
        <f t="shared" si="178"/>
        <v>2.8823862415960008E-2</v>
      </c>
      <c r="E188" s="66">
        <f t="shared" si="178"/>
        <v>2.8565524378510801E-2</v>
      </c>
      <c r="F188" s="66">
        <f t="shared" si="178"/>
        <v>2.8308911025810554E-2</v>
      </c>
      <c r="G188" s="66">
        <f t="shared" si="178"/>
        <v>2.8054965294970924E-2</v>
      </c>
      <c r="H188" s="66">
        <f t="shared" si="178"/>
        <v>2.7805012512928037E-2</v>
      </c>
      <c r="I188" s="66">
        <f t="shared" si="178"/>
        <v>2.7560803083160328E-2</v>
      </c>
      <c r="J188" s="66">
        <f t="shared" si="178"/>
        <v>2.753798382193156E-2</v>
      </c>
      <c r="K188" s="66">
        <f t="shared" si="178"/>
        <v>2.7520073226855193E-2</v>
      </c>
      <c r="L188" s="66">
        <f t="shared" si="178"/>
        <v>2.7507230812750777E-2</v>
      </c>
      <c r="M188" s="66">
        <f t="shared" si="178"/>
        <v>2.7498818167278977E-2</v>
      </c>
      <c r="N188" s="66">
        <f t="shared" si="178"/>
        <v>2.7493287629708291E-2</v>
      </c>
      <c r="O188" s="66">
        <f t="shared" si="178"/>
        <v>2.7488446316094269E-2</v>
      </c>
      <c r="P188" s="66">
        <f t="shared" si="178"/>
        <v>2.7482047002638149E-2</v>
      </c>
      <c r="Q188" s="66">
        <f t="shared" si="178"/>
        <v>2.7472395107713168E-2</v>
      </c>
      <c r="R188" s="66">
        <f t="shared" si="178"/>
        <v>2.7458651719197223E-2</v>
      </c>
      <c r="S188" s="66">
        <f t="shared" si="178"/>
        <v>2.7440764579481608E-2</v>
      </c>
      <c r="T188" s="66">
        <f t="shared" si="178"/>
        <v>2.7419189993586703E-2</v>
      </c>
      <c r="U188" s="66">
        <f t="shared" si="178"/>
        <v>2.7394601552817893E-2</v>
      </c>
      <c r="V188" s="66">
        <f t="shared" si="178"/>
        <v>2.7367687692172002E-2</v>
      </c>
      <c r="W188" s="66">
        <f t="shared" si="178"/>
        <v>2.7339048750084853E-2</v>
      </c>
      <c r="X188" s="66">
        <f t="shared" si="178"/>
        <v>2.7309163956684791E-2</v>
      </c>
      <c r="Y188" s="66">
        <f t="shared" si="178"/>
        <v>2.7278395719193826E-2</v>
      </c>
      <c r="Z188" s="66">
        <f t="shared" si="178"/>
        <v>2.7247008784523227E-2</v>
      </c>
      <c r="AA188" s="66">
        <f t="shared" si="178"/>
        <v>2.7215192231373156E-2</v>
      </c>
      <c r="AB188" s="66">
        <f t="shared" si="178"/>
        <v>2.7183079086986681E-2</v>
      </c>
      <c r="AC188" s="66">
        <f t="shared" si="178"/>
        <v>2.7150762007794038E-2</v>
      </c>
    </row>
    <row r="189" spans="1:29" x14ac:dyDescent="0.25">
      <c r="A189" s="59" t="str">
        <f>A152</f>
        <v>Payload loss (fuel)</v>
      </c>
      <c r="B189" s="66">
        <f>B177/(B150-B152)-B177/B150</f>
        <v>0</v>
      </c>
      <c r="C189" s="66">
        <f t="shared" ref="C189:AC189" si="179">C177/(C150-C152)-C177/C150</f>
        <v>0</v>
      </c>
      <c r="D189" s="66">
        <f t="shared" si="179"/>
        <v>0</v>
      </c>
      <c r="E189" s="66">
        <f t="shared" si="179"/>
        <v>0</v>
      </c>
      <c r="F189" s="66">
        <f t="shared" si="179"/>
        <v>0</v>
      </c>
      <c r="G189" s="66">
        <f t="shared" si="179"/>
        <v>0</v>
      </c>
      <c r="H189" s="66">
        <f t="shared" si="179"/>
        <v>0</v>
      </c>
      <c r="I189" s="66">
        <f t="shared" si="179"/>
        <v>0</v>
      </c>
      <c r="J189" s="66">
        <f t="shared" si="179"/>
        <v>0</v>
      </c>
      <c r="K189" s="66">
        <f t="shared" si="179"/>
        <v>0</v>
      </c>
      <c r="L189" s="66">
        <f t="shared" si="179"/>
        <v>0</v>
      </c>
      <c r="M189" s="66">
        <f t="shared" si="179"/>
        <v>0</v>
      </c>
      <c r="N189" s="66">
        <f t="shared" si="179"/>
        <v>0</v>
      </c>
      <c r="O189" s="66">
        <f t="shared" si="179"/>
        <v>0</v>
      </c>
      <c r="P189" s="66">
        <f t="shared" si="179"/>
        <v>0</v>
      </c>
      <c r="Q189" s="66">
        <f t="shared" si="179"/>
        <v>0</v>
      </c>
      <c r="R189" s="66">
        <f t="shared" si="179"/>
        <v>0</v>
      </c>
      <c r="S189" s="66">
        <f t="shared" si="179"/>
        <v>0</v>
      </c>
      <c r="T189" s="66">
        <f t="shared" si="179"/>
        <v>0</v>
      </c>
      <c r="U189" s="66">
        <f t="shared" si="179"/>
        <v>0</v>
      </c>
      <c r="V189" s="66">
        <f t="shared" si="179"/>
        <v>0</v>
      </c>
      <c r="W189" s="66">
        <f t="shared" si="179"/>
        <v>0</v>
      </c>
      <c r="X189" s="66">
        <f t="shared" si="179"/>
        <v>0</v>
      </c>
      <c r="Y189" s="66">
        <f t="shared" si="179"/>
        <v>0</v>
      </c>
      <c r="Z189" s="66">
        <f t="shared" si="179"/>
        <v>0</v>
      </c>
      <c r="AA189" s="66">
        <f t="shared" si="179"/>
        <v>0</v>
      </c>
      <c r="AB189" s="66">
        <f t="shared" si="179"/>
        <v>0</v>
      </c>
      <c r="AC189" s="66">
        <f t="shared" si="179"/>
        <v>0</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210</v>
      </c>
      <c r="B191" s="67">
        <f>B180+B181+B182+B183+B184+B185+B186+B187+B188+B189+B190</f>
        <v>8.0027147488310843E-2</v>
      </c>
      <c r="C191" s="67">
        <f t="shared" ref="C191:AC191" si="181">C180+C181+C182+C183+C184+C185+C186+C187+C188+C189+C190</f>
        <v>7.9304701671896294E-2</v>
      </c>
      <c r="D191" s="67">
        <f t="shared" si="181"/>
        <v>7.8584088580919059E-2</v>
      </c>
      <c r="E191" s="67">
        <f t="shared" si="181"/>
        <v>7.7866482921337937E-2</v>
      </c>
      <c r="F191" s="67">
        <f t="shared" si="181"/>
        <v>7.7153668052726138E-2</v>
      </c>
      <c r="G191" s="67">
        <f t="shared" si="181"/>
        <v>7.6448263244838277E-2</v>
      </c>
      <c r="H191" s="67">
        <f t="shared" si="181"/>
        <v>7.5753949961385805E-2</v>
      </c>
      <c r="I191" s="67">
        <f t="shared" si="181"/>
        <v>7.5075590434253298E-2</v>
      </c>
      <c r="J191" s="67">
        <f t="shared" si="181"/>
        <v>7.501220359750671E-2</v>
      </c>
      <c r="K191" s="67">
        <f t="shared" si="181"/>
        <v>7.4962451944516797E-2</v>
      </c>
      <c r="L191" s="67">
        <f t="shared" si="181"/>
        <v>7.492677857200454E-2</v>
      </c>
      <c r="M191" s="67">
        <f t="shared" si="181"/>
        <v>7.4903410112360652E-2</v>
      </c>
      <c r="N191" s="67">
        <f t="shared" si="181"/>
        <v>7.4888047507997629E-2</v>
      </c>
      <c r="O191" s="67">
        <f t="shared" si="181"/>
        <v>7.4874599414625348E-2</v>
      </c>
      <c r="P191" s="67">
        <f t="shared" si="181"/>
        <v>7.4856823543913917E-2</v>
      </c>
      <c r="Q191" s="67">
        <f t="shared" si="181"/>
        <v>7.4830012724677847E-2</v>
      </c>
      <c r="R191" s="67">
        <f t="shared" si="181"/>
        <v>7.4791836645466875E-2</v>
      </c>
      <c r="S191" s="67">
        <f t="shared" si="181"/>
        <v>7.4742150146256847E-2</v>
      </c>
      <c r="T191" s="67">
        <f t="shared" si="181"/>
        <v>7.4682220740993205E-2</v>
      </c>
      <c r="U191" s="67">
        <f t="shared" si="181"/>
        <v>7.4613919516635402E-2</v>
      </c>
      <c r="V191" s="67">
        <f t="shared" si="181"/>
        <v>7.4539158792619048E-2</v>
      </c>
      <c r="W191" s="67">
        <f t="shared" si="181"/>
        <v>7.4459606175710291E-2</v>
      </c>
      <c r="X191" s="67">
        <f t="shared" si="181"/>
        <v>7.437659286071012E-2</v>
      </c>
      <c r="Y191" s="67">
        <f t="shared" si="181"/>
        <v>7.4291125534346331E-2</v>
      </c>
      <c r="Z191" s="67">
        <f t="shared" si="181"/>
        <v>7.4203939604705782E-2</v>
      </c>
      <c r="AA191" s="67">
        <f t="shared" si="181"/>
        <v>7.4115560290400034E-2</v>
      </c>
      <c r="AB191" s="67">
        <f t="shared" si="181"/>
        <v>7.4026357111548702E-2</v>
      </c>
      <c r="AC191" s="67">
        <f t="shared" si="181"/>
        <v>7.393658744712471E-2</v>
      </c>
    </row>
    <row r="193" spans="2:2" x14ac:dyDescent="0.25">
      <c r="B193" s="40"/>
    </row>
    <row r="215" spans="1:44" s="3" customFormat="1" ht="21" x14ac:dyDescent="0.35">
      <c r="A215" s="2" t="str">
        <f>'Parameter Input'!A101</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Input'!L77</f>
        <v>105000</v>
      </c>
      <c r="C225" s="42">
        <f>'Parameter Input'!M77</f>
        <v>115000</v>
      </c>
      <c r="D225" s="1" t="s">
        <v>15</v>
      </c>
      <c r="L225" s="51">
        <f>'Parameter Input'!O77</f>
        <v>12</v>
      </c>
      <c r="M225" s="52">
        <v>0</v>
      </c>
      <c r="N225" s="52">
        <v>1</v>
      </c>
      <c r="O225" s="52">
        <f>'Parameter Input'!P77</f>
        <v>0.9</v>
      </c>
      <c r="P225" s="53">
        <f>'Parameter Input'!Q77</f>
        <v>0.4</v>
      </c>
      <c r="Q225" s="4">
        <f t="shared" ref="Q225:AR234" si="182">$N225+($M225-$N225)*((1/(1+EXP(-$P225*(Q$9-$L225)))^$O225))</f>
        <v>0.9867978615748374</v>
      </c>
      <c r="R225" s="4">
        <f t="shared" si="182"/>
        <v>0.98114509762858249</v>
      </c>
      <c r="S225" s="4">
        <f t="shared" si="182"/>
        <v>0.97311898315872036</v>
      </c>
      <c r="T225" s="4">
        <f t="shared" si="182"/>
        <v>0.96177484161592774</v>
      </c>
      <c r="U225" s="4">
        <f t="shared" si="182"/>
        <v>0.94584787155511363</v>
      </c>
      <c r="V225" s="4">
        <f t="shared" si="182"/>
        <v>0.92370360150141495</v>
      </c>
      <c r="W225" s="4">
        <f t="shared" si="182"/>
        <v>0.89334463567658451</v>
      </c>
      <c r="X225" s="4">
        <f t="shared" si="182"/>
        <v>0.85254543874327005</v>
      </c>
      <c r="Y225" s="4">
        <f t="shared" si="182"/>
        <v>0.79921300652623883</v>
      </c>
      <c r="Z225" s="4">
        <f t="shared" si="182"/>
        <v>0.73204982249993378</v>
      </c>
      <c r="AA225" s="4">
        <f t="shared" si="182"/>
        <v>0.65145592958786691</v>
      </c>
      <c r="AB225" s="4">
        <f t="shared" si="182"/>
        <v>0.56032247880849573</v>
      </c>
      <c r="AC225" s="4">
        <f t="shared" si="182"/>
        <v>0.46411326873185343</v>
      </c>
      <c r="AD225" s="4">
        <f t="shared" si="182"/>
        <v>0.36979727595523937</v>
      </c>
      <c r="AE225" s="4">
        <f t="shared" si="182"/>
        <v>0.28393948637231203</v>
      </c>
      <c r="AF225" s="4">
        <f t="shared" si="182"/>
        <v>0.21097259161117732</v>
      </c>
      <c r="AG225" s="4">
        <f t="shared" si="182"/>
        <v>0.15253917653798199</v>
      </c>
      <c r="AH225" s="4">
        <f t="shared" si="182"/>
        <v>0.10795188737709993</v>
      </c>
      <c r="AI225" s="4">
        <f t="shared" si="182"/>
        <v>7.5176653938091809E-2</v>
      </c>
      <c r="AJ225" s="4">
        <f t="shared" si="182"/>
        <v>5.1742836177502194E-2</v>
      </c>
      <c r="AK225" s="4">
        <f t="shared" si="182"/>
        <v>3.5319190625345942E-2</v>
      </c>
      <c r="AL225" s="4">
        <f t="shared" si="182"/>
        <v>2.3969442072658165E-2</v>
      </c>
      <c r="AM225" s="4">
        <f t="shared" si="182"/>
        <v>1.6202243558389728E-2</v>
      </c>
      <c r="AN225" s="4">
        <f t="shared" si="182"/>
        <v>1.0922240564108399E-2</v>
      </c>
      <c r="AO225" s="4">
        <f t="shared" si="182"/>
        <v>7.3493212906090566E-3</v>
      </c>
      <c r="AP225" s="4">
        <f t="shared" si="182"/>
        <v>4.9390262185057265E-3</v>
      </c>
      <c r="AQ225" s="4">
        <f t="shared" si="182"/>
        <v>3.3164275492956197E-3</v>
      </c>
      <c r="AR225" s="4">
        <f t="shared" si="182"/>
        <v>2.2256362146679809E-3</v>
      </c>
    </row>
    <row r="226" spans="1:44" x14ac:dyDescent="0.25">
      <c r="A226" s="24" t="s">
        <v>28</v>
      </c>
      <c r="B226" s="60">
        <f>'Parameter Input'!L78</f>
        <v>-26250</v>
      </c>
      <c r="C226" s="61">
        <f>'Parameter Input'!M78</f>
        <v>-17250</v>
      </c>
      <c r="D226" s="1" t="s">
        <v>15</v>
      </c>
      <c r="L226" s="54">
        <f>'Parameter Input'!O78</f>
        <v>12</v>
      </c>
      <c r="M226" s="37">
        <v>0</v>
      </c>
      <c r="N226" s="37">
        <v>1</v>
      </c>
      <c r="O226" s="37">
        <f>'Parameter Input'!P78</f>
        <v>0.9</v>
      </c>
      <c r="P226" s="55">
        <f>'Parameter Input'!Q78</f>
        <v>0.4</v>
      </c>
      <c r="Q226" s="4">
        <f t="shared" si="182"/>
        <v>0.9867978615748374</v>
      </c>
      <c r="R226" s="4">
        <f t="shared" si="182"/>
        <v>0.98114509762858249</v>
      </c>
      <c r="S226" s="4">
        <f t="shared" si="182"/>
        <v>0.97311898315872036</v>
      </c>
      <c r="T226" s="4">
        <f t="shared" si="182"/>
        <v>0.96177484161592774</v>
      </c>
      <c r="U226" s="4">
        <f t="shared" si="182"/>
        <v>0.94584787155511363</v>
      </c>
      <c r="V226" s="4">
        <f t="shared" si="182"/>
        <v>0.92370360150141495</v>
      </c>
      <c r="W226" s="4">
        <f t="shared" si="182"/>
        <v>0.89334463567658451</v>
      </c>
      <c r="X226" s="4">
        <f t="shared" si="182"/>
        <v>0.85254543874327005</v>
      </c>
      <c r="Y226" s="4">
        <f t="shared" si="182"/>
        <v>0.79921300652623883</v>
      </c>
      <c r="Z226" s="4">
        <f t="shared" si="182"/>
        <v>0.73204982249993378</v>
      </c>
      <c r="AA226" s="4">
        <f t="shared" si="182"/>
        <v>0.65145592958786691</v>
      </c>
      <c r="AB226" s="4">
        <f t="shared" si="182"/>
        <v>0.56032247880849573</v>
      </c>
      <c r="AC226" s="4">
        <f t="shared" si="182"/>
        <v>0.46411326873185343</v>
      </c>
      <c r="AD226" s="4">
        <f t="shared" si="182"/>
        <v>0.36979727595523937</v>
      </c>
      <c r="AE226" s="4">
        <f t="shared" si="182"/>
        <v>0.28393948637231203</v>
      </c>
      <c r="AF226" s="4">
        <f t="shared" si="182"/>
        <v>0.21097259161117732</v>
      </c>
      <c r="AG226" s="4">
        <f t="shared" si="182"/>
        <v>0.15253917653798199</v>
      </c>
      <c r="AH226" s="4">
        <f t="shared" si="182"/>
        <v>0.10795188737709993</v>
      </c>
      <c r="AI226" s="4">
        <f t="shared" si="182"/>
        <v>7.5176653938091809E-2</v>
      </c>
      <c r="AJ226" s="4">
        <f t="shared" si="182"/>
        <v>5.1742836177502194E-2</v>
      </c>
      <c r="AK226" s="4">
        <f t="shared" si="182"/>
        <v>3.5319190625345942E-2</v>
      </c>
      <c r="AL226" s="4">
        <f t="shared" si="182"/>
        <v>2.3969442072658165E-2</v>
      </c>
      <c r="AM226" s="4">
        <f t="shared" si="182"/>
        <v>1.6202243558389728E-2</v>
      </c>
      <c r="AN226" s="4">
        <f t="shared" si="182"/>
        <v>1.0922240564108399E-2</v>
      </c>
      <c r="AO226" s="4">
        <f t="shared" si="182"/>
        <v>7.3493212906090566E-3</v>
      </c>
      <c r="AP226" s="4">
        <f t="shared" si="182"/>
        <v>4.9390262185057265E-3</v>
      </c>
      <c r="AQ226" s="4">
        <f t="shared" si="182"/>
        <v>3.3164275492956197E-3</v>
      </c>
      <c r="AR226" s="4">
        <f t="shared" si="182"/>
        <v>2.2256362146679809E-3</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60">
        <f>'Parameter Input'!L84</f>
        <v>0.06</v>
      </c>
      <c r="C229" s="61">
        <f>'Parameter Input'!M84</f>
        <v>0.06</v>
      </c>
      <c r="D229" s="1" t="s">
        <v>57</v>
      </c>
      <c r="L229" s="54">
        <f>'Parameter Input'!O84</f>
        <v>12</v>
      </c>
      <c r="M229" s="37">
        <v>0</v>
      </c>
      <c r="N229" s="37">
        <v>1</v>
      </c>
      <c r="O229" s="37">
        <f>'Parameter Input'!P84</f>
        <v>0.9</v>
      </c>
      <c r="P229" s="55">
        <f>'Parameter Input'!Q84</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60">
        <f>'Parameter Input'!L80</f>
        <v>20000</v>
      </c>
      <c r="C231" s="61">
        <f>'Parameter Input'!M80</f>
        <v>20000</v>
      </c>
      <c r="D231" s="1" t="s">
        <v>38</v>
      </c>
      <c r="L231" s="54">
        <f>'Parameter Input'!O80</f>
        <v>12</v>
      </c>
      <c r="M231" s="37">
        <v>0</v>
      </c>
      <c r="N231" s="37">
        <v>1</v>
      </c>
      <c r="O231" s="37">
        <f>'Parameter Input'!P80</f>
        <v>0.9</v>
      </c>
      <c r="P231" s="55">
        <f>'Parameter Input'!Q80</f>
        <v>0.4</v>
      </c>
      <c r="Q231" s="4">
        <f t="shared" si="182"/>
        <v>0.9867978615748374</v>
      </c>
      <c r="R231" s="4">
        <f t="shared" si="182"/>
        <v>0.98114509762858249</v>
      </c>
      <c r="S231" s="4">
        <f t="shared" si="182"/>
        <v>0.97311898315872036</v>
      </c>
      <c r="T231" s="4">
        <f t="shared" si="182"/>
        <v>0.96177484161592774</v>
      </c>
      <c r="U231" s="4">
        <f t="shared" si="182"/>
        <v>0.94584787155511363</v>
      </c>
      <c r="V231" s="4">
        <f t="shared" si="182"/>
        <v>0.92370360150141495</v>
      </c>
      <c r="W231" s="4">
        <f t="shared" si="182"/>
        <v>0.89334463567658451</v>
      </c>
      <c r="X231" s="4">
        <f t="shared" si="182"/>
        <v>0.85254543874327005</v>
      </c>
      <c r="Y231" s="4">
        <f t="shared" si="182"/>
        <v>0.79921300652623883</v>
      </c>
      <c r="Z231" s="4">
        <f t="shared" si="182"/>
        <v>0.73204982249993378</v>
      </c>
      <c r="AA231" s="4">
        <f t="shared" si="182"/>
        <v>0.65145592958786691</v>
      </c>
      <c r="AB231" s="4">
        <f t="shared" si="182"/>
        <v>0.56032247880849573</v>
      </c>
      <c r="AC231" s="4">
        <f t="shared" si="182"/>
        <v>0.46411326873185343</v>
      </c>
      <c r="AD231" s="4">
        <f t="shared" si="182"/>
        <v>0.36979727595523937</v>
      </c>
      <c r="AE231" s="4">
        <f t="shared" si="182"/>
        <v>0.28393948637231203</v>
      </c>
      <c r="AF231" s="4">
        <f t="shared" si="182"/>
        <v>0.21097259161117732</v>
      </c>
      <c r="AG231" s="4">
        <f t="shared" si="182"/>
        <v>0.15253917653798199</v>
      </c>
      <c r="AH231" s="4">
        <f t="shared" si="182"/>
        <v>0.10795188737709993</v>
      </c>
      <c r="AI231" s="4">
        <f t="shared" si="182"/>
        <v>7.5176653938091809E-2</v>
      </c>
      <c r="AJ231" s="4">
        <f t="shared" si="182"/>
        <v>5.1742836177502194E-2</v>
      </c>
      <c r="AK231" s="4">
        <f t="shared" si="182"/>
        <v>3.5319190625345942E-2</v>
      </c>
      <c r="AL231" s="4">
        <f t="shared" si="182"/>
        <v>2.3969442072658165E-2</v>
      </c>
      <c r="AM231" s="4">
        <f t="shared" si="182"/>
        <v>1.6202243558389728E-2</v>
      </c>
      <c r="AN231" s="4">
        <f t="shared" si="182"/>
        <v>1.0922240564108399E-2</v>
      </c>
      <c r="AO231" s="4">
        <f t="shared" si="182"/>
        <v>7.3493212906090566E-3</v>
      </c>
      <c r="AP231" s="4">
        <f t="shared" si="182"/>
        <v>4.9390262185057265E-3</v>
      </c>
      <c r="AQ231" s="4">
        <f t="shared" si="182"/>
        <v>3.3164275492956197E-3</v>
      </c>
      <c r="AR231" s="4">
        <f t="shared" si="182"/>
        <v>2.2256362146679809E-3</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60">
        <f>'Parameter Input'!L81</f>
        <v>2.9</v>
      </c>
      <c r="C233" s="61">
        <f>'Parameter Input'!M81</f>
        <v>2.4</v>
      </c>
      <c r="D233" s="1" t="s">
        <v>60</v>
      </c>
      <c r="L233" s="54">
        <f>'Parameter Input'!O81</f>
        <v>12</v>
      </c>
      <c r="M233" s="37">
        <v>0</v>
      </c>
      <c r="N233" s="37">
        <v>1</v>
      </c>
      <c r="O233" s="37">
        <f>'Parameter Input'!P81</f>
        <v>0.9</v>
      </c>
      <c r="P233" s="55">
        <f>'Parameter Input'!Q81</f>
        <v>0.4</v>
      </c>
      <c r="Q233" s="4">
        <f t="shared" si="182"/>
        <v>0.9867978615748374</v>
      </c>
      <c r="R233" s="4">
        <f t="shared" si="182"/>
        <v>0.98114509762858249</v>
      </c>
      <c r="S233" s="4">
        <f t="shared" si="182"/>
        <v>0.97311898315872036</v>
      </c>
      <c r="T233" s="4">
        <f t="shared" si="182"/>
        <v>0.96177484161592774</v>
      </c>
      <c r="U233" s="4">
        <f t="shared" si="182"/>
        <v>0.94584787155511363</v>
      </c>
      <c r="V233" s="4">
        <f t="shared" si="182"/>
        <v>0.92370360150141495</v>
      </c>
      <c r="W233" s="4">
        <f t="shared" si="182"/>
        <v>0.89334463567658451</v>
      </c>
      <c r="X233" s="4">
        <f t="shared" si="182"/>
        <v>0.85254543874327005</v>
      </c>
      <c r="Y233" s="4">
        <f t="shared" si="182"/>
        <v>0.79921300652623883</v>
      </c>
      <c r="Z233" s="4">
        <f t="shared" si="182"/>
        <v>0.73204982249993378</v>
      </c>
      <c r="AA233" s="4">
        <f t="shared" si="182"/>
        <v>0.65145592958786691</v>
      </c>
      <c r="AB233" s="4">
        <f t="shared" si="182"/>
        <v>0.56032247880849573</v>
      </c>
      <c r="AC233" s="4">
        <f t="shared" si="182"/>
        <v>0.46411326873185343</v>
      </c>
      <c r="AD233" s="4">
        <f t="shared" si="182"/>
        <v>0.36979727595523937</v>
      </c>
      <c r="AE233" s="4">
        <f t="shared" si="182"/>
        <v>0.28393948637231203</v>
      </c>
      <c r="AF233" s="4">
        <f t="shared" si="182"/>
        <v>0.21097259161117732</v>
      </c>
      <c r="AG233" s="4">
        <f t="shared" si="182"/>
        <v>0.15253917653798199</v>
      </c>
      <c r="AH233" s="4">
        <f t="shared" si="182"/>
        <v>0.10795188737709993</v>
      </c>
      <c r="AI233" s="4">
        <f t="shared" si="182"/>
        <v>7.5176653938091809E-2</v>
      </c>
      <c r="AJ233" s="4">
        <f t="shared" si="182"/>
        <v>5.1742836177502194E-2</v>
      </c>
      <c r="AK233" s="4">
        <f t="shared" si="182"/>
        <v>3.5319190625345942E-2</v>
      </c>
      <c r="AL233" s="4">
        <f t="shared" si="182"/>
        <v>2.3969442072658165E-2</v>
      </c>
      <c r="AM233" s="4">
        <f t="shared" si="182"/>
        <v>1.6202243558389728E-2</v>
      </c>
      <c r="AN233" s="4">
        <f t="shared" si="182"/>
        <v>1.0922240564108399E-2</v>
      </c>
      <c r="AO233" s="4">
        <f t="shared" si="182"/>
        <v>7.3493212906090566E-3</v>
      </c>
      <c r="AP233" s="4">
        <f t="shared" si="182"/>
        <v>4.9390262185057265E-3</v>
      </c>
      <c r="AQ233" s="4">
        <f t="shared" si="182"/>
        <v>3.3164275492956197E-3</v>
      </c>
      <c r="AR233" s="4">
        <f t="shared" si="182"/>
        <v>2.2256362146679809E-3</v>
      </c>
    </row>
    <row r="234" spans="1:44" x14ac:dyDescent="0.25">
      <c r="A234" s="24" t="s">
        <v>67</v>
      </c>
      <c r="B234" s="60">
        <f>'Parameter Input'!L82</f>
        <v>0.1</v>
      </c>
      <c r="C234" s="61">
        <f>'Parameter Input'!M82</f>
        <v>0.1</v>
      </c>
      <c r="D234" s="1" t="s">
        <v>68</v>
      </c>
      <c r="L234" s="54">
        <f>'Parameter Input'!O82</f>
        <v>12</v>
      </c>
      <c r="M234" s="37">
        <v>0</v>
      </c>
      <c r="N234" s="37">
        <v>1</v>
      </c>
      <c r="O234" s="37">
        <f>'Parameter Input'!P82</f>
        <v>0.9</v>
      </c>
      <c r="P234" s="55">
        <f>'Parameter Input'!Q82</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45">
        <f>'Parameter Input'!$L$85</f>
        <v>0</v>
      </c>
      <c r="C235" s="46">
        <f>'Parameter Input'!$M$85</f>
        <v>0</v>
      </c>
      <c r="D235" s="1" t="s">
        <v>76</v>
      </c>
      <c r="L235" s="54">
        <f>'Parameter Input'!$O$85</f>
        <v>17</v>
      </c>
      <c r="M235" s="37">
        <v>0</v>
      </c>
      <c r="N235" s="37">
        <v>1</v>
      </c>
      <c r="O235" s="37">
        <f>'Parameter Input'!$P$85</f>
        <v>0.9</v>
      </c>
      <c r="P235" s="55">
        <f>'Parameter Input'!$Q$85</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60">
        <f>'Parameter Input'!L79</f>
        <v>8</v>
      </c>
      <c r="C236" s="61">
        <f>'Parameter Input'!M79</f>
        <v>8</v>
      </c>
      <c r="D236" s="1" t="s">
        <v>42</v>
      </c>
      <c r="L236" s="54">
        <f>'Parameter Input'!O79</f>
        <v>12</v>
      </c>
      <c r="M236" s="37">
        <v>0</v>
      </c>
      <c r="N236" s="37">
        <v>1</v>
      </c>
      <c r="O236" s="37">
        <f>'Parameter Input'!P79</f>
        <v>0.9</v>
      </c>
      <c r="P236" s="55">
        <f>'Parameter Input'!Q79</f>
        <v>0.4</v>
      </c>
      <c r="Q236" s="4">
        <f t="shared" ref="Q236:AF241" si="186">$N236+($M236-$N236)*((1/(1+EXP(-$P236*(Q$9-$L236)))^$O236))</f>
        <v>0.9867978615748374</v>
      </c>
      <c r="R236" s="4">
        <f t="shared" si="186"/>
        <v>0.98114509762858249</v>
      </c>
      <c r="S236" s="4">
        <f t="shared" si="186"/>
        <v>0.97311898315872036</v>
      </c>
      <c r="T236" s="4">
        <f t="shared" si="186"/>
        <v>0.96177484161592774</v>
      </c>
      <c r="U236" s="4">
        <f t="shared" si="186"/>
        <v>0.94584787155511363</v>
      </c>
      <c r="V236" s="4">
        <f t="shared" si="186"/>
        <v>0.92370360150141495</v>
      </c>
      <c r="W236" s="4">
        <f t="shared" si="186"/>
        <v>0.89334463567658451</v>
      </c>
      <c r="X236" s="4">
        <f t="shared" si="186"/>
        <v>0.85254543874327005</v>
      </c>
      <c r="Y236" s="4">
        <f t="shared" si="186"/>
        <v>0.79921300652623883</v>
      </c>
      <c r="Z236" s="4">
        <f t="shared" si="186"/>
        <v>0.73204982249993378</v>
      </c>
      <c r="AA236" s="4">
        <f t="shared" si="186"/>
        <v>0.65145592958786691</v>
      </c>
      <c r="AB236" s="4">
        <f t="shared" si="186"/>
        <v>0.56032247880849573</v>
      </c>
      <c r="AC236" s="4">
        <f t="shared" si="186"/>
        <v>0.46411326873185343</v>
      </c>
      <c r="AD236" s="4">
        <f t="shared" si="186"/>
        <v>0.36979727595523937</v>
      </c>
      <c r="AE236" s="4">
        <f t="shared" si="186"/>
        <v>0.28393948637231203</v>
      </c>
      <c r="AF236" s="4">
        <f t="shared" si="186"/>
        <v>0.21097259161117732</v>
      </c>
      <c r="AG236" s="4">
        <f t="shared" si="183"/>
        <v>0.15253917653798199</v>
      </c>
      <c r="AH236" s="4">
        <f t="shared" si="183"/>
        <v>0.10795188737709993</v>
      </c>
      <c r="AI236" s="4">
        <f t="shared" si="183"/>
        <v>7.5176653938091809E-2</v>
      </c>
      <c r="AJ236" s="4">
        <f t="shared" si="184"/>
        <v>5.1742836177502194E-2</v>
      </c>
      <c r="AK236" s="4">
        <f t="shared" si="184"/>
        <v>3.5319190625345942E-2</v>
      </c>
      <c r="AL236" s="4">
        <f t="shared" si="184"/>
        <v>2.3969442072658165E-2</v>
      </c>
      <c r="AM236" s="4">
        <f t="shared" si="184"/>
        <v>1.6202243558389728E-2</v>
      </c>
      <c r="AN236" s="4">
        <f t="shared" si="184"/>
        <v>1.0922240564108399E-2</v>
      </c>
      <c r="AO236" s="4">
        <f t="shared" si="184"/>
        <v>7.3493212906090566E-3</v>
      </c>
      <c r="AP236" s="4">
        <f t="shared" si="184"/>
        <v>4.9390262185057265E-3</v>
      </c>
      <c r="AQ236" s="4">
        <f t="shared" si="184"/>
        <v>3.3164275492956197E-3</v>
      </c>
      <c r="AR236" s="4">
        <f t="shared" si="184"/>
        <v>2.2256362146679809E-3</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45">
        <f>'Parameter Input'!L83</f>
        <v>0</v>
      </c>
      <c r="C240" s="46">
        <f>'Parameter Input'!M83</f>
        <v>0</v>
      </c>
      <c r="D240" s="1" t="s">
        <v>57</v>
      </c>
      <c r="L240" s="54">
        <f>'Parameter Input'!O83</f>
        <v>12</v>
      </c>
      <c r="M240" s="37">
        <v>0</v>
      </c>
      <c r="N240" s="37">
        <v>1</v>
      </c>
      <c r="O240" s="37">
        <f>'Parameter Input'!P83</f>
        <v>0.9</v>
      </c>
      <c r="P240" s="55">
        <f>'Parameter Input'!Q83</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7">A225</f>
        <v>Capex vehicle</v>
      </c>
      <c r="B245" s="62">
        <f t="shared" ref="B245:B253" si="188">$B225+($C225-$B225)*(1-Q225)</f>
        <v>105132.02138425162</v>
      </c>
      <c r="C245" s="62">
        <f t="shared" ref="C245:C253" si="189">$B225+($C225-$B225)*(1-R225)</f>
        <v>105188.54902371418</v>
      </c>
      <c r="D245" s="62">
        <f t="shared" ref="D245:D253" si="190">$B225+($C225-$B225)*(1-S225)</f>
        <v>105268.81016841279</v>
      </c>
      <c r="E245" s="62">
        <f t="shared" ref="E245:E253" si="191">$B225+($C225-$B225)*(1-T225)</f>
        <v>105382.25158384073</v>
      </c>
      <c r="F245" s="62">
        <f t="shared" ref="F245:F253" si="192">$B225+($C225-$B225)*(1-U225)</f>
        <v>105541.52128444887</v>
      </c>
      <c r="G245" s="62">
        <f t="shared" ref="G245:G253" si="193">$B225+($C225-$B225)*(1-V225)</f>
        <v>105762.96398498585</v>
      </c>
      <c r="H245" s="62">
        <f t="shared" ref="H245:H253" si="194">$B225+($C225-$B225)*(1-W225)</f>
        <v>106066.55364323416</v>
      </c>
      <c r="I245" s="62">
        <f t="shared" ref="I245:I253" si="195">$B225+($C225-$B225)*(1-X225)</f>
        <v>106474.54561256729</v>
      </c>
      <c r="J245" s="62">
        <f t="shared" ref="J245:J253" si="196">$B225+($C225-$B225)*(1-Y225)</f>
        <v>107007.86993473761</v>
      </c>
      <c r="K245" s="62">
        <f t="shared" ref="K245:K253" si="197">$B225+($C225-$B225)*(1-Z225)</f>
        <v>107679.50177500067</v>
      </c>
      <c r="L245" s="62">
        <f t="shared" ref="L245:L253" si="198">$B225+($C225-$B225)*(1-AA225)</f>
        <v>108485.44070412133</v>
      </c>
      <c r="M245" s="62">
        <f t="shared" ref="M245:M253" si="199">$B225+($C225-$B225)*(1-AB225)</f>
        <v>109396.77521191504</v>
      </c>
      <c r="N245" s="62">
        <f t="shared" ref="N245:N253" si="200">$B225+($C225-$B225)*(1-AC225)</f>
        <v>110358.86731268147</v>
      </c>
      <c r="O245" s="62">
        <f t="shared" ref="O245:O253" si="201">$B225+($C225-$B225)*(1-AD225)</f>
        <v>111302.02724044761</v>
      </c>
      <c r="P245" s="62">
        <f t="shared" ref="P245:P253" si="202">$B225+($C225-$B225)*(1-AE225)</f>
        <v>112160.60513627688</v>
      </c>
      <c r="Q245" s="62">
        <f t="shared" ref="Q245:Q253" si="203">$B225+($C225-$B225)*(1-AF225)</f>
        <v>112890.27408388823</v>
      </c>
      <c r="R245" s="62">
        <f t="shared" ref="R245:R253" si="204">$B225+($C225-$B225)*(1-AG225)</f>
        <v>113474.60823462019</v>
      </c>
      <c r="S245" s="62">
        <f t="shared" ref="S245:S253" si="205">$B225+($C225-$B225)*(1-AH225)</f>
        <v>113920.481126229</v>
      </c>
      <c r="T245" s="62">
        <f t="shared" ref="T245:T253" si="206">$B225+($C225-$B225)*(1-AI225)</f>
        <v>114248.23346061909</v>
      </c>
      <c r="U245" s="62">
        <f t="shared" ref="U245:U253" si="207">$B225+($C225-$B225)*(1-AJ225)</f>
        <v>114482.57163822498</v>
      </c>
      <c r="V245" s="62">
        <f t="shared" ref="V245:V253" si="208">$B225+($C225-$B225)*(1-AK225)</f>
        <v>114646.80809374654</v>
      </c>
      <c r="W245" s="62">
        <f t="shared" ref="W245:W253" si="209">$B225+($C225-$B225)*(1-AL225)</f>
        <v>114760.30557927342</v>
      </c>
      <c r="X245" s="62">
        <f t="shared" ref="X245:X253" si="210">$B225+($C225-$B225)*(1-AM225)</f>
        <v>114837.9775644161</v>
      </c>
      <c r="Y245" s="62">
        <f t="shared" ref="Y245:Y253" si="211">$B225+($C225-$B225)*(1-AN225)</f>
        <v>114890.77759435892</v>
      </c>
      <c r="Z245" s="62">
        <f t="shared" ref="Z245:Z253" si="212">$B225+($C225-$B225)*(1-AO225)</f>
        <v>114926.50678709391</v>
      </c>
      <c r="AA245" s="62">
        <f t="shared" ref="AA245:AA253" si="213">$B225+($C225-$B225)*(1-AP225)</f>
        <v>114950.60973781494</v>
      </c>
      <c r="AB245" s="62">
        <f t="shared" ref="AB245:AB253" si="214">$B225+($C225-$B225)*(1-AQ225)</f>
        <v>114966.83572450705</v>
      </c>
      <c r="AC245" s="62">
        <f t="shared" ref="AC245:AC253" si="215">$B225+($C225-$B225)*(1-AR225)</f>
        <v>114977.74363785332</v>
      </c>
    </row>
    <row r="246" spans="1:44" x14ac:dyDescent="0.25">
      <c r="A246" s="30" t="str">
        <f t="shared" si="187"/>
        <v>Residual value (vehicle)</v>
      </c>
      <c r="B246" s="62">
        <f t="shared" si="188"/>
        <v>-26131.180754173536</v>
      </c>
      <c r="C246" s="62">
        <f t="shared" si="189"/>
        <v>-26080.305878657244</v>
      </c>
      <c r="D246" s="62">
        <f t="shared" si="190"/>
        <v>-26008.070848428484</v>
      </c>
      <c r="E246" s="62">
        <f t="shared" si="191"/>
        <v>-25905.97357454335</v>
      </c>
      <c r="F246" s="62">
        <f t="shared" si="192"/>
        <v>-25762.630843996023</v>
      </c>
      <c r="G246" s="62">
        <f t="shared" si="193"/>
        <v>-25563.332413512733</v>
      </c>
      <c r="H246" s="62">
        <f t="shared" si="194"/>
        <v>-25290.101721089261</v>
      </c>
      <c r="I246" s="62">
        <f t="shared" si="195"/>
        <v>-24922.90894868943</v>
      </c>
      <c r="J246" s="62">
        <f t="shared" si="196"/>
        <v>-24442.917058736151</v>
      </c>
      <c r="K246" s="62">
        <f t="shared" si="197"/>
        <v>-23838.448402499405</v>
      </c>
      <c r="L246" s="62">
        <f t="shared" si="198"/>
        <v>-23113.103366290801</v>
      </c>
      <c r="M246" s="62">
        <f t="shared" si="199"/>
        <v>-22292.902309276462</v>
      </c>
      <c r="N246" s="62">
        <f t="shared" si="200"/>
        <v>-21427.019418586682</v>
      </c>
      <c r="O246" s="62">
        <f t="shared" si="201"/>
        <v>-20578.175483597155</v>
      </c>
      <c r="P246" s="62">
        <f t="shared" si="202"/>
        <v>-19805.455377350809</v>
      </c>
      <c r="Q246" s="62">
        <f t="shared" si="203"/>
        <v>-19148.753324500598</v>
      </c>
      <c r="R246" s="62">
        <f t="shared" si="204"/>
        <v>-18622.852588841837</v>
      </c>
      <c r="S246" s="62">
        <f t="shared" si="205"/>
        <v>-18221.5669863939</v>
      </c>
      <c r="T246" s="62">
        <f t="shared" si="206"/>
        <v>-17926.589885442827</v>
      </c>
      <c r="U246" s="62">
        <f t="shared" si="207"/>
        <v>-17715.685525597521</v>
      </c>
      <c r="V246" s="62">
        <f t="shared" si="208"/>
        <v>-17567.872715628113</v>
      </c>
      <c r="W246" s="62">
        <f t="shared" si="209"/>
        <v>-17465.724978653925</v>
      </c>
      <c r="X246" s="62">
        <f t="shared" si="210"/>
        <v>-17395.820192025509</v>
      </c>
      <c r="Y246" s="62">
        <f t="shared" si="211"/>
        <v>-17348.300165076973</v>
      </c>
      <c r="Z246" s="62">
        <f t="shared" si="212"/>
        <v>-17316.14389161548</v>
      </c>
      <c r="AA246" s="62">
        <f t="shared" si="213"/>
        <v>-17294.451235966553</v>
      </c>
      <c r="AB246" s="62">
        <f t="shared" si="214"/>
        <v>-17279.84784794366</v>
      </c>
      <c r="AC246" s="62">
        <f t="shared" si="215"/>
        <v>-17270.030725932011</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20000</v>
      </c>
      <c r="C251" s="62">
        <f t="shared" si="189"/>
        <v>20000</v>
      </c>
      <c r="D251" s="62">
        <f t="shared" si="190"/>
        <v>20000</v>
      </c>
      <c r="E251" s="62">
        <f t="shared" si="191"/>
        <v>20000</v>
      </c>
      <c r="F251" s="62">
        <f t="shared" si="192"/>
        <v>20000</v>
      </c>
      <c r="G251" s="62">
        <f t="shared" si="193"/>
        <v>20000</v>
      </c>
      <c r="H251" s="62">
        <f t="shared" si="194"/>
        <v>20000</v>
      </c>
      <c r="I251" s="62">
        <f t="shared" si="195"/>
        <v>20000</v>
      </c>
      <c r="J251" s="62">
        <f t="shared" si="196"/>
        <v>20000</v>
      </c>
      <c r="K251" s="62">
        <f t="shared" si="197"/>
        <v>20000</v>
      </c>
      <c r="L251" s="62">
        <f t="shared" si="198"/>
        <v>20000</v>
      </c>
      <c r="M251" s="62">
        <f t="shared" si="199"/>
        <v>20000</v>
      </c>
      <c r="N251" s="62">
        <f t="shared" si="200"/>
        <v>20000</v>
      </c>
      <c r="O251" s="62">
        <f t="shared" si="201"/>
        <v>20000</v>
      </c>
      <c r="P251" s="62">
        <f t="shared" si="202"/>
        <v>20000</v>
      </c>
      <c r="Q251" s="62">
        <f t="shared" si="203"/>
        <v>20000</v>
      </c>
      <c r="R251" s="62">
        <f t="shared" si="204"/>
        <v>20000</v>
      </c>
      <c r="S251" s="62">
        <f t="shared" si="205"/>
        <v>20000</v>
      </c>
      <c r="T251" s="62">
        <f t="shared" si="206"/>
        <v>20000</v>
      </c>
      <c r="U251" s="62">
        <f t="shared" si="207"/>
        <v>20000</v>
      </c>
      <c r="V251" s="62">
        <f t="shared" si="208"/>
        <v>20000</v>
      </c>
      <c r="W251" s="62">
        <f t="shared" si="209"/>
        <v>20000</v>
      </c>
      <c r="X251" s="62">
        <f t="shared" si="210"/>
        <v>20000</v>
      </c>
      <c r="Y251" s="62">
        <f t="shared" si="211"/>
        <v>20000</v>
      </c>
      <c r="Z251" s="62">
        <f t="shared" si="212"/>
        <v>20000</v>
      </c>
      <c r="AA251" s="62">
        <f t="shared" si="213"/>
        <v>20000</v>
      </c>
      <c r="AB251" s="62">
        <f t="shared" si="214"/>
        <v>20000</v>
      </c>
      <c r="AC251" s="62">
        <f t="shared" si="215"/>
        <v>20000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2.8933989307874186</v>
      </c>
      <c r="C253" s="62">
        <f t="shared" si="189"/>
        <v>2.890572548814291</v>
      </c>
      <c r="D253" s="62">
        <f t="shared" si="190"/>
        <v>2.88655949157936</v>
      </c>
      <c r="E253" s="62">
        <f t="shared" si="191"/>
        <v>2.880887420807964</v>
      </c>
      <c r="F253" s="62">
        <f t="shared" si="192"/>
        <v>2.8729239357775569</v>
      </c>
      <c r="G253" s="62">
        <f t="shared" si="193"/>
        <v>2.8618518007507072</v>
      </c>
      <c r="H253" s="62">
        <f t="shared" si="194"/>
        <v>2.846672317838292</v>
      </c>
      <c r="I253" s="62">
        <f t="shared" si="195"/>
        <v>2.826272719371635</v>
      </c>
      <c r="J253" s="62">
        <f t="shared" si="196"/>
        <v>2.7996065032631194</v>
      </c>
      <c r="K253" s="62">
        <f t="shared" si="197"/>
        <v>2.7660249112499669</v>
      </c>
      <c r="L253" s="62">
        <f t="shared" si="198"/>
        <v>2.7257279647939332</v>
      </c>
      <c r="M253" s="62">
        <f t="shared" si="199"/>
        <v>2.6801612394042476</v>
      </c>
      <c r="N253" s="62">
        <f t="shared" si="200"/>
        <v>2.6320566343659264</v>
      </c>
      <c r="O253" s="62">
        <f t="shared" si="201"/>
        <v>2.5848986379776195</v>
      </c>
      <c r="P253" s="62">
        <f t="shared" si="202"/>
        <v>2.5419697431861561</v>
      </c>
      <c r="Q253" s="62">
        <f t="shared" si="203"/>
        <v>2.5054862958055883</v>
      </c>
      <c r="R253" s="62">
        <f t="shared" si="204"/>
        <v>2.4762695882689911</v>
      </c>
      <c r="S253" s="62">
        <f t="shared" si="205"/>
        <v>2.4539759436885498</v>
      </c>
      <c r="T253" s="62">
        <f t="shared" si="206"/>
        <v>2.4375883269690459</v>
      </c>
      <c r="U253" s="62">
        <f t="shared" si="207"/>
        <v>2.4258714180887511</v>
      </c>
      <c r="V253" s="62">
        <f t="shared" si="208"/>
        <v>2.4176595953126729</v>
      </c>
      <c r="W253" s="62">
        <f t="shared" si="209"/>
        <v>2.4119847210363288</v>
      </c>
      <c r="X253" s="62">
        <f t="shared" si="210"/>
        <v>2.408101121779195</v>
      </c>
      <c r="Y253" s="62">
        <f t="shared" si="211"/>
        <v>2.4054611202820539</v>
      </c>
      <c r="Z253" s="62">
        <f t="shared" si="212"/>
        <v>2.4036746606453043</v>
      </c>
      <c r="AA253" s="62">
        <f t="shared" si="213"/>
        <v>2.4024695131092528</v>
      </c>
      <c r="AB253" s="62">
        <f t="shared" si="214"/>
        <v>2.4016582137746476</v>
      </c>
      <c r="AC253" s="62">
        <f t="shared" si="215"/>
        <v>2.4011128181073338</v>
      </c>
    </row>
    <row r="254" spans="1:44" x14ac:dyDescent="0.25">
      <c r="A254" s="30" t="str">
        <f t="shared" si="187"/>
        <v>Fuel Cost</v>
      </c>
      <c r="B254" s="66">
        <f>'Parameter Input'!J8</f>
        <v>5.7951260504201685E-2</v>
      </c>
      <c r="C254" s="66">
        <f>'Parameter Input'!K8</f>
        <v>5.3954621848739497E-2</v>
      </c>
      <c r="D254" s="66">
        <f>'Parameter Input'!L8</f>
        <v>4.9957983193277315E-2</v>
      </c>
      <c r="E254" s="66">
        <f>'Parameter Input'!M8</f>
        <v>4.5961344537815127E-2</v>
      </c>
      <c r="F254" s="66">
        <f>'Parameter Input'!N8</f>
        <v>4.1964705882352946E-2</v>
      </c>
      <c r="G254" s="66">
        <f>'Parameter Input'!O8</f>
        <v>3.7968067226890764E-2</v>
      </c>
      <c r="H254" s="66">
        <f>'Parameter Input'!P8</f>
        <v>3.3971428571428583E-2</v>
      </c>
      <c r="I254" s="66">
        <f>'Parameter Input'!Q8</f>
        <v>2.9974789915966391E-2</v>
      </c>
      <c r="J254" s="66">
        <f>'Parameter Input'!R8</f>
        <v>2.9368157262905165E-2</v>
      </c>
      <c r="K254" s="66">
        <f>'Parameter Input'!S8</f>
        <v>2.8761524609843939E-2</v>
      </c>
      <c r="L254" s="66">
        <f>'Parameter Input'!T8</f>
        <v>2.8154891956782713E-2</v>
      </c>
      <c r="M254" s="66">
        <f>'Parameter Input'!U8</f>
        <v>2.7548259303721487E-2</v>
      </c>
      <c r="N254" s="66">
        <f>'Parameter Input'!V8</f>
        <v>2.6941626650660268E-2</v>
      </c>
      <c r="O254" s="66">
        <f>'Parameter Input'!W8</f>
        <v>2.6334993997599043E-2</v>
      </c>
      <c r="P254" s="66">
        <f>'Parameter Input'!X8</f>
        <v>2.5728361344537817E-2</v>
      </c>
      <c r="Q254" s="66">
        <f>'Parameter Input'!Y8</f>
        <v>2.5121728691476591E-2</v>
      </c>
      <c r="R254" s="66">
        <f>'Parameter Input'!Z8</f>
        <v>2.4515096038415365E-2</v>
      </c>
      <c r="S254" s="66">
        <f>'Parameter Input'!AA8</f>
        <v>2.3908463385354146E-2</v>
      </c>
      <c r="T254" s="66">
        <f>'Parameter Input'!AB8</f>
        <v>2.330183073229292E-2</v>
      </c>
      <c r="U254" s="66">
        <f>'Parameter Input'!AC8</f>
        <v>2.2695198079231694E-2</v>
      </c>
      <c r="V254" s="66">
        <f>'Parameter Input'!AD8</f>
        <v>2.2088565426170468E-2</v>
      </c>
      <c r="W254" s="66">
        <f>'Parameter Input'!AE8</f>
        <v>2.1481932773109242E-2</v>
      </c>
      <c r="X254" s="66">
        <f>'Parameter Input'!AF8</f>
        <v>2.0875300120048023E-2</v>
      </c>
      <c r="Y254" s="66">
        <f>'Parameter Input'!AG8</f>
        <v>2.0268667466986797E-2</v>
      </c>
      <c r="Z254" s="66">
        <f>'Parameter Input'!AH8</f>
        <v>1.9662034813925571E-2</v>
      </c>
      <c r="AA254" s="66">
        <f>'Parameter Input'!AI8</f>
        <v>1.9055402160864345E-2</v>
      </c>
      <c r="AB254" s="66">
        <f>'Parameter Input'!AJ8</f>
        <v>1.8448769507803119E-2</v>
      </c>
      <c r="AC254" s="66">
        <f>'Parameter Input'!AK8</f>
        <v>1.78421368547419E-2</v>
      </c>
    </row>
    <row r="255" spans="1:44" x14ac:dyDescent="0.25">
      <c r="A255" s="30" t="str">
        <f t="shared" si="187"/>
        <v>Emission Cost</v>
      </c>
      <c r="B255" s="66">
        <f>$B235+($C235-$B235)*(1-Q235)</f>
        <v>0</v>
      </c>
      <c r="C255" s="66">
        <f t="shared" ref="C255:AC255" si="216">$B235+($C235-$B235)*(1-R235)</f>
        <v>0</v>
      </c>
      <c r="D255" s="66">
        <f t="shared" si="216"/>
        <v>0</v>
      </c>
      <c r="E255" s="66">
        <f t="shared" si="216"/>
        <v>0</v>
      </c>
      <c r="F255" s="66">
        <f t="shared" si="216"/>
        <v>0</v>
      </c>
      <c r="G255" s="66">
        <f t="shared" si="216"/>
        <v>0</v>
      </c>
      <c r="H255" s="66">
        <f t="shared" si="216"/>
        <v>0</v>
      </c>
      <c r="I255" s="66">
        <f t="shared" si="216"/>
        <v>0</v>
      </c>
      <c r="J255" s="66">
        <f t="shared" si="216"/>
        <v>0</v>
      </c>
      <c r="K255" s="66">
        <f t="shared" si="216"/>
        <v>0</v>
      </c>
      <c r="L255" s="66">
        <f t="shared" si="216"/>
        <v>0</v>
      </c>
      <c r="M255" s="66">
        <f t="shared" si="216"/>
        <v>0</v>
      </c>
      <c r="N255" s="66">
        <f t="shared" si="216"/>
        <v>0</v>
      </c>
      <c r="O255" s="66">
        <f t="shared" si="216"/>
        <v>0</v>
      </c>
      <c r="P255" s="66">
        <f t="shared" si="216"/>
        <v>0</v>
      </c>
      <c r="Q255" s="66">
        <f t="shared" si="216"/>
        <v>0</v>
      </c>
      <c r="R255" s="66">
        <f t="shared" si="216"/>
        <v>0</v>
      </c>
      <c r="S255" s="66">
        <f t="shared" si="216"/>
        <v>0</v>
      </c>
      <c r="T255" s="66">
        <f t="shared" si="216"/>
        <v>0</v>
      </c>
      <c r="U255" s="66">
        <f t="shared" si="216"/>
        <v>0</v>
      </c>
      <c r="V255" s="66">
        <f t="shared" si="216"/>
        <v>0</v>
      </c>
      <c r="W255" s="66">
        <f t="shared" si="216"/>
        <v>0</v>
      </c>
      <c r="X255" s="66">
        <f t="shared" si="216"/>
        <v>0</v>
      </c>
      <c r="Y255" s="66">
        <f t="shared" si="216"/>
        <v>0</v>
      </c>
      <c r="Z255" s="66">
        <f t="shared" si="216"/>
        <v>0</v>
      </c>
      <c r="AA255" s="66">
        <f t="shared" si="216"/>
        <v>0</v>
      </c>
      <c r="AB255" s="66">
        <f t="shared" si="216"/>
        <v>0</v>
      </c>
      <c r="AC255" s="66">
        <f t="shared" si="216"/>
        <v>0</v>
      </c>
    </row>
    <row r="256" spans="1:44" x14ac:dyDescent="0.25">
      <c r="A256" s="30" t="str">
        <f t="shared" si="187"/>
        <v>Lifetime vehicle</v>
      </c>
      <c r="B256" s="62">
        <f>$B236+($C236-$B236)*(1-Q236)</f>
        <v>8</v>
      </c>
      <c r="C256" s="62">
        <f t="shared" ref="C256:L258" si="217">$B236+($C236-$B236)*(1-R236)</f>
        <v>8</v>
      </c>
      <c r="D256" s="62">
        <f t="shared" si="217"/>
        <v>8</v>
      </c>
      <c r="E256" s="62">
        <f t="shared" si="217"/>
        <v>8</v>
      </c>
      <c r="F256" s="62">
        <f t="shared" si="217"/>
        <v>8</v>
      </c>
      <c r="G256" s="62">
        <f t="shared" si="217"/>
        <v>8</v>
      </c>
      <c r="H256" s="62">
        <f t="shared" si="217"/>
        <v>8</v>
      </c>
      <c r="I256" s="62">
        <f t="shared" si="217"/>
        <v>8</v>
      </c>
      <c r="J256" s="62">
        <f t="shared" si="217"/>
        <v>8</v>
      </c>
      <c r="K256" s="62">
        <f t="shared" si="217"/>
        <v>8</v>
      </c>
      <c r="L256" s="62">
        <f t="shared" si="217"/>
        <v>8</v>
      </c>
      <c r="M256" s="62">
        <f t="shared" ref="M256:V258" si="218">$B236+($C236-$B236)*(1-AB236)</f>
        <v>8</v>
      </c>
      <c r="N256" s="62">
        <f t="shared" si="218"/>
        <v>8</v>
      </c>
      <c r="O256" s="62">
        <f t="shared" si="218"/>
        <v>8</v>
      </c>
      <c r="P256" s="62">
        <f t="shared" si="218"/>
        <v>8</v>
      </c>
      <c r="Q256" s="62">
        <f t="shared" si="218"/>
        <v>8</v>
      </c>
      <c r="R256" s="62">
        <f t="shared" si="218"/>
        <v>8</v>
      </c>
      <c r="S256" s="62">
        <f t="shared" si="218"/>
        <v>8</v>
      </c>
      <c r="T256" s="62">
        <f t="shared" si="218"/>
        <v>8</v>
      </c>
      <c r="U256" s="62">
        <f t="shared" si="218"/>
        <v>8</v>
      </c>
      <c r="V256" s="62">
        <f t="shared" si="218"/>
        <v>8</v>
      </c>
      <c r="W256" s="62">
        <f t="shared" ref="W256:AC258" si="219">$B236+($C236-$B236)*(1-AL236)</f>
        <v>8</v>
      </c>
      <c r="X256" s="62">
        <f t="shared" si="219"/>
        <v>8</v>
      </c>
      <c r="Y256" s="62">
        <f t="shared" si="219"/>
        <v>8</v>
      </c>
      <c r="Z256" s="62">
        <f t="shared" si="219"/>
        <v>8</v>
      </c>
      <c r="AA256" s="62">
        <f t="shared" si="219"/>
        <v>8</v>
      </c>
      <c r="AB256" s="62">
        <f t="shared" si="219"/>
        <v>8</v>
      </c>
      <c r="AC256" s="62">
        <f t="shared" si="219"/>
        <v>8</v>
      </c>
    </row>
    <row r="257" spans="1:29" x14ac:dyDescent="0.25">
      <c r="A257" s="30" t="str">
        <f t="shared" si="187"/>
        <v>Lifetime costumization</v>
      </c>
      <c r="B257" s="62">
        <f>$B237+($C237-$B237)*(1-Q237)</f>
        <v>10</v>
      </c>
      <c r="C257" s="62">
        <f t="shared" si="217"/>
        <v>10</v>
      </c>
      <c r="D257" s="62">
        <f t="shared" si="217"/>
        <v>10</v>
      </c>
      <c r="E257" s="62">
        <f t="shared" si="217"/>
        <v>10</v>
      </c>
      <c r="F257" s="62">
        <f t="shared" si="217"/>
        <v>10</v>
      </c>
      <c r="G257" s="62">
        <f t="shared" si="217"/>
        <v>10</v>
      </c>
      <c r="H257" s="62">
        <f t="shared" si="217"/>
        <v>10</v>
      </c>
      <c r="I257" s="62">
        <f t="shared" si="217"/>
        <v>10</v>
      </c>
      <c r="J257" s="62">
        <f t="shared" si="217"/>
        <v>10</v>
      </c>
      <c r="K257" s="62">
        <f t="shared" si="217"/>
        <v>10</v>
      </c>
      <c r="L257" s="62">
        <f t="shared" si="217"/>
        <v>10</v>
      </c>
      <c r="M257" s="62">
        <f t="shared" si="218"/>
        <v>10</v>
      </c>
      <c r="N257" s="62">
        <f t="shared" si="218"/>
        <v>10</v>
      </c>
      <c r="O257" s="62">
        <f t="shared" si="218"/>
        <v>10</v>
      </c>
      <c r="P257" s="62">
        <f t="shared" si="218"/>
        <v>10</v>
      </c>
      <c r="Q257" s="62">
        <f t="shared" si="218"/>
        <v>10</v>
      </c>
      <c r="R257" s="62">
        <f t="shared" si="218"/>
        <v>10</v>
      </c>
      <c r="S257" s="62">
        <f t="shared" si="218"/>
        <v>10</v>
      </c>
      <c r="T257" s="62">
        <f t="shared" si="218"/>
        <v>10</v>
      </c>
      <c r="U257" s="62">
        <f t="shared" si="218"/>
        <v>10</v>
      </c>
      <c r="V257" s="62">
        <f t="shared" si="218"/>
        <v>10</v>
      </c>
      <c r="W257" s="62">
        <f t="shared" si="219"/>
        <v>10</v>
      </c>
      <c r="X257" s="62">
        <f t="shared" si="219"/>
        <v>10</v>
      </c>
      <c r="Y257" s="62">
        <f t="shared" si="219"/>
        <v>10</v>
      </c>
      <c r="Z257" s="62">
        <f t="shared" si="219"/>
        <v>10</v>
      </c>
      <c r="AA257" s="62">
        <f t="shared" si="219"/>
        <v>10</v>
      </c>
      <c r="AB257" s="62">
        <f t="shared" si="219"/>
        <v>10</v>
      </c>
      <c r="AC257" s="62">
        <f t="shared" si="219"/>
        <v>10</v>
      </c>
    </row>
    <row r="258" spans="1:29" x14ac:dyDescent="0.25">
      <c r="A258" s="30" t="str">
        <f t="shared" si="187"/>
        <v>Tonnage .</v>
      </c>
      <c r="B258" s="62">
        <f>$B238+($C238-$B238)*(1-Q238)</f>
        <v>25</v>
      </c>
      <c r="C258" s="62">
        <f t="shared" si="217"/>
        <v>25</v>
      </c>
      <c r="D258" s="62">
        <f t="shared" si="217"/>
        <v>25</v>
      </c>
      <c r="E258" s="62">
        <f t="shared" si="217"/>
        <v>25</v>
      </c>
      <c r="F258" s="62">
        <f t="shared" si="217"/>
        <v>25</v>
      </c>
      <c r="G258" s="62">
        <f t="shared" si="217"/>
        <v>25</v>
      </c>
      <c r="H258" s="62">
        <f t="shared" si="217"/>
        <v>25</v>
      </c>
      <c r="I258" s="62">
        <f t="shared" si="217"/>
        <v>25</v>
      </c>
      <c r="J258" s="62">
        <f t="shared" si="217"/>
        <v>25</v>
      </c>
      <c r="K258" s="62">
        <f t="shared" si="217"/>
        <v>25</v>
      </c>
      <c r="L258" s="62">
        <f t="shared" si="217"/>
        <v>25</v>
      </c>
      <c r="M258" s="62">
        <f t="shared" si="218"/>
        <v>25</v>
      </c>
      <c r="N258" s="62">
        <f t="shared" si="218"/>
        <v>25</v>
      </c>
      <c r="O258" s="62">
        <f t="shared" si="218"/>
        <v>25</v>
      </c>
      <c r="P258" s="62">
        <f t="shared" si="218"/>
        <v>25</v>
      </c>
      <c r="Q258" s="62">
        <f t="shared" si="218"/>
        <v>25</v>
      </c>
      <c r="R258" s="62">
        <f t="shared" si="218"/>
        <v>25</v>
      </c>
      <c r="S258" s="62">
        <f t="shared" si="218"/>
        <v>25</v>
      </c>
      <c r="T258" s="62">
        <f t="shared" si="218"/>
        <v>25</v>
      </c>
      <c r="U258" s="62">
        <f t="shared" si="218"/>
        <v>25</v>
      </c>
      <c r="V258" s="62">
        <f t="shared" si="218"/>
        <v>25</v>
      </c>
      <c r="W258" s="62">
        <f t="shared" si="219"/>
        <v>25</v>
      </c>
      <c r="X258" s="62">
        <f t="shared" si="219"/>
        <v>25</v>
      </c>
      <c r="Y258" s="62">
        <f t="shared" si="219"/>
        <v>25</v>
      </c>
      <c r="Z258" s="62">
        <f t="shared" si="219"/>
        <v>25</v>
      </c>
      <c r="AA258" s="62">
        <f t="shared" si="219"/>
        <v>25</v>
      </c>
      <c r="AB258" s="62">
        <f t="shared" si="219"/>
        <v>25</v>
      </c>
      <c r="AC258" s="62">
        <f t="shared" si="219"/>
        <v>25</v>
      </c>
    </row>
    <row r="259" spans="1:29" x14ac:dyDescent="0.25">
      <c r="A259" s="30" t="str">
        <f t="shared" si="187"/>
        <v>Market failure (av. utilization)</v>
      </c>
      <c r="B259" s="62">
        <f t="shared" ref="B259:K260" si="220">($B239+($C239-$B239)*(1-Q239))*B$44</f>
        <v>15.333333333333336</v>
      </c>
      <c r="C259" s="62">
        <f t="shared" si="220"/>
        <v>15.333333333333336</v>
      </c>
      <c r="D259" s="62">
        <f t="shared" si="220"/>
        <v>15.333333333333336</v>
      </c>
      <c r="E259" s="62">
        <f t="shared" si="220"/>
        <v>15.333333333333336</v>
      </c>
      <c r="F259" s="62">
        <f t="shared" si="220"/>
        <v>15.333333333333336</v>
      </c>
      <c r="G259" s="62">
        <f t="shared" si="220"/>
        <v>15.333333333333336</v>
      </c>
      <c r="H259" s="62">
        <f t="shared" si="220"/>
        <v>15.333333333333336</v>
      </c>
      <c r="I259" s="62">
        <f t="shared" si="220"/>
        <v>15.333333333333336</v>
      </c>
      <c r="J259" s="62">
        <f t="shared" si="220"/>
        <v>15.333333333333336</v>
      </c>
      <c r="K259" s="62">
        <f t="shared" si="220"/>
        <v>15.333333333333336</v>
      </c>
      <c r="L259" s="62">
        <f t="shared" ref="L259:U260" si="221">($B239+($C239-$B239)*(1-AA239))*L$44</f>
        <v>15.333333333333336</v>
      </c>
      <c r="M259" s="62">
        <f t="shared" si="221"/>
        <v>15.333333333333336</v>
      </c>
      <c r="N259" s="62">
        <f t="shared" si="221"/>
        <v>15.333333333333336</v>
      </c>
      <c r="O259" s="62">
        <f t="shared" si="221"/>
        <v>15.333333333333336</v>
      </c>
      <c r="P259" s="62">
        <f t="shared" si="221"/>
        <v>15.333333333333336</v>
      </c>
      <c r="Q259" s="62">
        <f t="shared" si="221"/>
        <v>15.333333333333336</v>
      </c>
      <c r="R259" s="62">
        <f t="shared" si="221"/>
        <v>15.333333333333336</v>
      </c>
      <c r="S259" s="62">
        <f t="shared" si="221"/>
        <v>15.333333333333336</v>
      </c>
      <c r="T259" s="62">
        <f t="shared" si="221"/>
        <v>15.333333333333336</v>
      </c>
      <c r="U259" s="62">
        <f t="shared" si="221"/>
        <v>15.333333333333336</v>
      </c>
      <c r="V259" s="62">
        <f t="shared" ref="V259:AC260" si="222">($B239+($C239-$B239)*(1-AK239))*V$44</f>
        <v>15.333333333333336</v>
      </c>
      <c r="W259" s="62">
        <f t="shared" si="222"/>
        <v>15.333333333333336</v>
      </c>
      <c r="X259" s="62">
        <f t="shared" si="222"/>
        <v>15.333333333333336</v>
      </c>
      <c r="Y259" s="62">
        <f t="shared" si="222"/>
        <v>15.333333333333336</v>
      </c>
      <c r="Z259" s="62">
        <f t="shared" si="222"/>
        <v>15.333333333333336</v>
      </c>
      <c r="AA259" s="62">
        <f t="shared" si="222"/>
        <v>15.333333333333336</v>
      </c>
      <c r="AB259" s="62">
        <f t="shared" si="222"/>
        <v>15.333333333333336</v>
      </c>
      <c r="AC259" s="62">
        <f t="shared" si="222"/>
        <v>15.333333333333336</v>
      </c>
    </row>
    <row r="260" spans="1:29" x14ac:dyDescent="0.25">
      <c r="A260" s="30" t="s">
        <v>73</v>
      </c>
      <c r="B260" s="62">
        <f t="shared" si="220"/>
        <v>0</v>
      </c>
      <c r="C260" s="62">
        <f t="shared" si="220"/>
        <v>0</v>
      </c>
      <c r="D260" s="62">
        <f t="shared" si="220"/>
        <v>0</v>
      </c>
      <c r="E260" s="62">
        <f t="shared" si="220"/>
        <v>0</v>
      </c>
      <c r="F260" s="62">
        <f t="shared" si="220"/>
        <v>0</v>
      </c>
      <c r="G260" s="62">
        <f t="shared" si="220"/>
        <v>0</v>
      </c>
      <c r="H260" s="62">
        <f t="shared" si="220"/>
        <v>0</v>
      </c>
      <c r="I260" s="62">
        <f t="shared" si="220"/>
        <v>0</v>
      </c>
      <c r="J260" s="62">
        <f t="shared" si="220"/>
        <v>0</v>
      </c>
      <c r="K260" s="62">
        <f t="shared" si="220"/>
        <v>0</v>
      </c>
      <c r="L260" s="62">
        <f t="shared" si="221"/>
        <v>0</v>
      </c>
      <c r="M260" s="62">
        <f t="shared" si="221"/>
        <v>0</v>
      </c>
      <c r="N260" s="62">
        <f t="shared" si="221"/>
        <v>0</v>
      </c>
      <c r="O260" s="62">
        <f t="shared" si="221"/>
        <v>0</v>
      </c>
      <c r="P260" s="62">
        <f t="shared" si="221"/>
        <v>0</v>
      </c>
      <c r="Q260" s="62">
        <f t="shared" si="221"/>
        <v>0</v>
      </c>
      <c r="R260" s="62">
        <f t="shared" si="221"/>
        <v>0</v>
      </c>
      <c r="S260" s="62">
        <f t="shared" si="221"/>
        <v>0</v>
      </c>
      <c r="T260" s="62">
        <f t="shared" si="221"/>
        <v>0</v>
      </c>
      <c r="U260" s="62">
        <f t="shared" si="221"/>
        <v>0</v>
      </c>
      <c r="V260" s="62">
        <f t="shared" si="222"/>
        <v>0</v>
      </c>
      <c r="W260" s="62">
        <f t="shared" si="222"/>
        <v>0</v>
      </c>
      <c r="X260" s="62">
        <f t="shared" si="222"/>
        <v>0</v>
      </c>
      <c r="Y260" s="62">
        <f t="shared" si="222"/>
        <v>0</v>
      </c>
      <c r="Z260" s="62">
        <f t="shared" si="222"/>
        <v>0</v>
      </c>
      <c r="AA260" s="62">
        <f t="shared" si="222"/>
        <v>0</v>
      </c>
      <c r="AB260" s="62">
        <f t="shared" si="222"/>
        <v>0</v>
      </c>
      <c r="AC260" s="62">
        <f t="shared" si="222"/>
        <v>0</v>
      </c>
    </row>
    <row r="261" spans="1:29" x14ac:dyDescent="0.25">
      <c r="A261" s="30" t="str">
        <f>A241</f>
        <v>Annual Mileage</v>
      </c>
      <c r="B261" s="62">
        <f t="shared" ref="B261" si="223">$B241+($C241-$B241)*(1-Q241)</f>
        <v>105000</v>
      </c>
      <c r="C261" s="62">
        <f t="shared" ref="C261" si="224">$B241+($C241-$B241)*(1-R241)</f>
        <v>105000</v>
      </c>
      <c r="D261" s="62">
        <f t="shared" ref="D261" si="225">$B241+($C241-$B241)*(1-S241)</f>
        <v>105000</v>
      </c>
      <c r="E261" s="62">
        <f t="shared" ref="E261" si="226">$B241+($C241-$B241)*(1-T241)</f>
        <v>105000</v>
      </c>
      <c r="F261" s="62">
        <f t="shared" ref="F261" si="227">$B241+($C241-$B241)*(1-U241)</f>
        <v>105000</v>
      </c>
      <c r="G261" s="62">
        <f t="shared" ref="G261" si="228">$B241+($C241-$B241)*(1-V241)</f>
        <v>105000</v>
      </c>
      <c r="H261" s="62">
        <f t="shared" ref="H261" si="229">$B241+($C241-$B241)*(1-W241)</f>
        <v>105000</v>
      </c>
      <c r="I261" s="62">
        <f t="shared" ref="I261" si="230">$B241+($C241-$B241)*(1-X241)</f>
        <v>105000</v>
      </c>
      <c r="J261" s="62">
        <f t="shared" ref="J261" si="231">$B241+($C241-$B241)*(1-Y241)</f>
        <v>105000</v>
      </c>
      <c r="K261" s="62">
        <f t="shared" ref="K261" si="232">$B241+($C241-$B241)*(1-Z241)</f>
        <v>105000</v>
      </c>
      <c r="L261" s="62">
        <f t="shared" ref="L261" si="233">$B241+($C241-$B241)*(1-AA241)</f>
        <v>105000</v>
      </c>
      <c r="M261" s="62">
        <f t="shared" ref="M261" si="234">$B241+($C241-$B241)*(1-AB241)</f>
        <v>105000</v>
      </c>
      <c r="N261" s="62">
        <f t="shared" ref="N261" si="235">$B241+($C241-$B241)*(1-AC241)</f>
        <v>105000</v>
      </c>
      <c r="O261" s="62">
        <f t="shared" ref="O261" si="236">$B241+($C241-$B241)*(1-AD241)</f>
        <v>105000</v>
      </c>
      <c r="P261" s="62">
        <f t="shared" ref="P261" si="237">$B241+($C241-$B241)*(1-AE241)</f>
        <v>105000</v>
      </c>
      <c r="Q261" s="62">
        <f t="shared" ref="Q261" si="238">$B241+($C241-$B241)*(1-AF241)</f>
        <v>105000</v>
      </c>
      <c r="R261" s="62">
        <f t="shared" ref="R261" si="239">$B241+($C241-$B241)*(1-AG241)</f>
        <v>105000</v>
      </c>
      <c r="S261" s="62">
        <f t="shared" ref="S261" si="240">$B241+($C241-$B241)*(1-AH241)</f>
        <v>105000</v>
      </c>
      <c r="T261" s="62">
        <f t="shared" ref="T261" si="241">$B241+($C241-$B241)*(1-AI241)</f>
        <v>105000</v>
      </c>
      <c r="U261" s="62">
        <f t="shared" ref="U261" si="242">$B241+($C241-$B241)*(1-AJ241)</f>
        <v>105000</v>
      </c>
      <c r="V261" s="62">
        <f t="shared" ref="V261" si="243">$B241+($C241-$B241)*(1-AK241)</f>
        <v>105000</v>
      </c>
      <c r="W261" s="62">
        <f t="shared" ref="W261" si="244">$B241+($C241-$B241)*(1-AL241)</f>
        <v>105000</v>
      </c>
      <c r="X261" s="62">
        <f t="shared" ref="X261" si="245">$B241+($C241-$B241)*(1-AM241)</f>
        <v>105000</v>
      </c>
      <c r="Y261" s="62">
        <f t="shared" ref="Y261" si="246">$B241+($C241-$B241)*(1-AN241)</f>
        <v>105000</v>
      </c>
      <c r="Z261" s="62">
        <f t="shared" ref="Z261" si="247">$B241+($C241-$B241)*(1-AO241)</f>
        <v>105000</v>
      </c>
      <c r="AA261" s="62">
        <f t="shared" ref="AA261" si="248">$B241+($C241-$B241)*(1-AP241)</f>
        <v>105000</v>
      </c>
      <c r="AB261" s="62">
        <f t="shared" ref="AB261" si="249">$B241+($C241-$B241)*(1-AQ241)</f>
        <v>105000</v>
      </c>
      <c r="AC261" s="62">
        <f t="shared" ref="AC261" si="250">$B241+($C241-$B241)*(1-AR241)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1">((1+C249)^C256)*C249/(((1+C249)^C256)-1)*(C245)</f>
        <v>16939.137147822737</v>
      </c>
      <c r="D264" s="63">
        <f t="shared" si="251"/>
        <v>16952.062076917297</v>
      </c>
      <c r="E264" s="63">
        <f t="shared" si="251"/>
        <v>16970.330222186072</v>
      </c>
      <c r="F264" s="63">
        <f t="shared" si="251"/>
        <v>16995.97836855879</v>
      </c>
      <c r="G264" s="63">
        <f t="shared" si="251"/>
        <v>17031.638602582309</v>
      </c>
      <c r="H264" s="63">
        <f t="shared" si="251"/>
        <v>17080.52744937655</v>
      </c>
      <c r="I264" s="63">
        <f t="shared" si="251"/>
        <v>17146.228820750977</v>
      </c>
      <c r="J264" s="63">
        <f t="shared" si="251"/>
        <v>17232.113205708847</v>
      </c>
      <c r="K264" s="63">
        <f t="shared" si="251"/>
        <v>17340.270072218107</v>
      </c>
      <c r="L264" s="63">
        <f t="shared" si="251"/>
        <v>17470.055207385878</v>
      </c>
      <c r="M264" s="63">
        <f t="shared" si="251"/>
        <v>17616.812818916205</v>
      </c>
      <c r="N264" s="63">
        <f t="shared" si="251"/>
        <v>17771.744227277446</v>
      </c>
      <c r="O264" s="63">
        <f t="shared" si="251"/>
        <v>17923.62687531321</v>
      </c>
      <c r="P264" s="63">
        <f t="shared" si="251"/>
        <v>18061.888776104923</v>
      </c>
      <c r="Q264" s="63">
        <f t="shared" si="251"/>
        <v>18179.391702904584</v>
      </c>
      <c r="R264" s="63">
        <f t="shared" si="251"/>
        <v>18273.490503689198</v>
      </c>
      <c r="S264" s="63">
        <f t="shared" si="251"/>
        <v>18345.292065090671</v>
      </c>
      <c r="T264" s="63">
        <f t="shared" si="251"/>
        <v>18398.071971214304</v>
      </c>
      <c r="U264" s="63">
        <f t="shared" si="251"/>
        <v>18435.808840543512</v>
      </c>
      <c r="V264" s="63">
        <f t="shared" si="251"/>
        <v>18462.256812975615</v>
      </c>
      <c r="W264" s="63">
        <f t="shared" si="251"/>
        <v>18480.533987545627</v>
      </c>
      <c r="X264" s="63">
        <f t="shared" si="251"/>
        <v>18493.041968890429</v>
      </c>
      <c r="Y264" s="63">
        <f t="shared" si="251"/>
        <v>18501.544671484124</v>
      </c>
      <c r="Z264" s="63">
        <f t="shared" si="251"/>
        <v>18507.298355716259</v>
      </c>
      <c r="AA264" s="63">
        <f t="shared" si="251"/>
        <v>18511.179797106222</v>
      </c>
      <c r="AB264" s="63">
        <f t="shared" si="251"/>
        <v>18513.792764168582</v>
      </c>
      <c r="AC264" s="63">
        <f t="shared" si="251"/>
        <v>18515.549330276619</v>
      </c>
    </row>
    <row r="265" spans="1:29" x14ac:dyDescent="0.25">
      <c r="A265" s="30" t="str">
        <f>A246</f>
        <v>Residual value (vehicle)</v>
      </c>
      <c r="B265" s="62">
        <f>((1+B249)^B256)*B249/(((1+B249)^B256)-1)*(B246)</f>
        <v>-4208.0593252569806</v>
      </c>
      <c r="C265" s="62">
        <f t="shared" ref="C265:AC265" si="252">((1+C249)^C256)*C249/(((1+C249)^C256)-1)*(C246)</f>
        <v>-4199.866641721108</v>
      </c>
      <c r="D265" s="62">
        <f t="shared" si="252"/>
        <v>-4188.2342055360041</v>
      </c>
      <c r="E265" s="62">
        <f t="shared" si="252"/>
        <v>-4171.7928747941069</v>
      </c>
      <c r="F265" s="62">
        <f t="shared" si="252"/>
        <v>-4148.7095430586614</v>
      </c>
      <c r="G265" s="62">
        <f t="shared" si="252"/>
        <v>-4116.6153324374927</v>
      </c>
      <c r="H265" s="62">
        <f t="shared" si="252"/>
        <v>-4072.6153703226773</v>
      </c>
      <c r="I265" s="62">
        <f t="shared" si="252"/>
        <v>-4013.4841360856908</v>
      </c>
      <c r="J265" s="62">
        <f t="shared" si="252"/>
        <v>-3936.1881896236077</v>
      </c>
      <c r="K265" s="62">
        <f t="shared" si="252"/>
        <v>-3838.8470097652757</v>
      </c>
      <c r="L265" s="62">
        <f t="shared" si="252"/>
        <v>-3722.0403881142815</v>
      </c>
      <c r="M265" s="62">
        <f t="shared" si="252"/>
        <v>-3589.9585377369858</v>
      </c>
      <c r="N265" s="62">
        <f t="shared" si="252"/>
        <v>-3450.5202702118704</v>
      </c>
      <c r="O265" s="62">
        <f t="shared" si="252"/>
        <v>-3313.8258869796846</v>
      </c>
      <c r="P265" s="62">
        <f t="shared" si="252"/>
        <v>-3189.3901762671421</v>
      </c>
      <c r="Q265" s="62">
        <f t="shared" si="252"/>
        <v>-3083.6375421474468</v>
      </c>
      <c r="R265" s="62">
        <f t="shared" si="252"/>
        <v>-2998.9486214412941</v>
      </c>
      <c r="S265" s="62">
        <f t="shared" si="252"/>
        <v>-2934.3272161799682</v>
      </c>
      <c r="T265" s="62">
        <f t="shared" si="252"/>
        <v>-2886.8253006686996</v>
      </c>
      <c r="U265" s="62">
        <f t="shared" si="252"/>
        <v>-2852.8621182724105</v>
      </c>
      <c r="V265" s="62">
        <f t="shared" si="252"/>
        <v>-2829.0589430835184</v>
      </c>
      <c r="W265" s="62">
        <f t="shared" si="252"/>
        <v>-2812.6094859705067</v>
      </c>
      <c r="X265" s="62">
        <f t="shared" si="252"/>
        <v>-2801.3523027601836</v>
      </c>
      <c r="Y265" s="62">
        <f t="shared" si="252"/>
        <v>-2793.6998704258613</v>
      </c>
      <c r="Z265" s="62">
        <f t="shared" si="252"/>
        <v>-2788.5215546169388</v>
      </c>
      <c r="AA265" s="62">
        <f t="shared" si="252"/>
        <v>-2785.0282573659729</v>
      </c>
      <c r="AB265" s="62">
        <f t="shared" si="252"/>
        <v>-2782.6765870098498</v>
      </c>
      <c r="AC265" s="62">
        <f t="shared" si="252"/>
        <v>-2781.0956775126119</v>
      </c>
    </row>
    <row r="266" spans="1:29" x14ac:dyDescent="0.25">
      <c r="A266" s="30" t="str">
        <f>A247</f>
        <v>Capex costumization</v>
      </c>
      <c r="B266" s="62">
        <f>((1+B249)^B257)*B249/(((1+B249)^B257)-1)*(B247)</f>
        <v>4076.0387466115117</v>
      </c>
      <c r="C266" s="62">
        <f t="shared" ref="C266:AC266" si="253">((1+C249)^C257)*C249/(((1+C249)^C257)-1)*(C247)</f>
        <v>4076.0387466115117</v>
      </c>
      <c r="D266" s="62">
        <f t="shared" si="253"/>
        <v>4076.0387466115117</v>
      </c>
      <c r="E266" s="62">
        <f t="shared" si="253"/>
        <v>4076.0387466115117</v>
      </c>
      <c r="F266" s="62">
        <f t="shared" si="253"/>
        <v>4076.0387466115117</v>
      </c>
      <c r="G266" s="62">
        <f t="shared" si="253"/>
        <v>4076.0387466115117</v>
      </c>
      <c r="H266" s="62">
        <f t="shared" si="253"/>
        <v>4076.0387466115117</v>
      </c>
      <c r="I266" s="62">
        <f t="shared" si="253"/>
        <v>4076.0387466115117</v>
      </c>
      <c r="J266" s="62">
        <f t="shared" si="253"/>
        <v>4076.0387466115117</v>
      </c>
      <c r="K266" s="62">
        <f t="shared" si="253"/>
        <v>4076.0387466115117</v>
      </c>
      <c r="L266" s="62">
        <f t="shared" si="253"/>
        <v>4076.0387466115117</v>
      </c>
      <c r="M266" s="62">
        <f t="shared" si="253"/>
        <v>4076.0387466115117</v>
      </c>
      <c r="N266" s="62">
        <f t="shared" si="253"/>
        <v>4076.0387466115117</v>
      </c>
      <c r="O266" s="62">
        <f t="shared" si="253"/>
        <v>4076.0387466115117</v>
      </c>
      <c r="P266" s="62">
        <f t="shared" si="253"/>
        <v>4076.0387466115117</v>
      </c>
      <c r="Q266" s="62">
        <f t="shared" si="253"/>
        <v>4076.0387466115117</v>
      </c>
      <c r="R266" s="62">
        <f t="shared" si="253"/>
        <v>4076.0387466115117</v>
      </c>
      <c r="S266" s="62">
        <f t="shared" si="253"/>
        <v>4076.0387466115117</v>
      </c>
      <c r="T266" s="62">
        <f t="shared" si="253"/>
        <v>4076.0387466115117</v>
      </c>
      <c r="U266" s="62">
        <f t="shared" si="253"/>
        <v>4076.0387466115117</v>
      </c>
      <c r="V266" s="62">
        <f t="shared" si="253"/>
        <v>4076.0387466115117</v>
      </c>
      <c r="W266" s="62">
        <f t="shared" si="253"/>
        <v>4076.0387466115117</v>
      </c>
      <c r="X266" s="62">
        <f t="shared" si="253"/>
        <v>4076.0387466115117</v>
      </c>
      <c r="Y266" s="62">
        <f t="shared" si="253"/>
        <v>4076.0387466115117</v>
      </c>
      <c r="Z266" s="62">
        <f t="shared" si="253"/>
        <v>4076.0387466115117</v>
      </c>
      <c r="AA266" s="62">
        <f t="shared" si="253"/>
        <v>4076.0387466115117</v>
      </c>
      <c r="AB266" s="62">
        <f t="shared" si="253"/>
        <v>4076.0387466115117</v>
      </c>
      <c r="AC266" s="62">
        <f t="shared" si="253"/>
        <v>4076.0387466115117</v>
      </c>
    </row>
    <row r="267" spans="1:29" x14ac:dyDescent="0.25">
      <c r="A267" s="30" t="str">
        <f>A248</f>
        <v>Residual value (costumization)</v>
      </c>
      <c r="B267" s="62">
        <f>((1+B249)^B257)*B249/(((1+B249)^B257)-1)*(B248)</f>
        <v>-1019.0096866528779</v>
      </c>
      <c r="C267" s="62">
        <f t="shared" ref="C267:AC267" si="254">((1+C249)^C257)*C249/(((1+C249)^C257)-1)*(C248)</f>
        <v>-1019.0096866528779</v>
      </c>
      <c r="D267" s="62">
        <f t="shared" si="254"/>
        <v>-1019.0096866528779</v>
      </c>
      <c r="E267" s="62">
        <f t="shared" si="254"/>
        <v>-1019.0096866528779</v>
      </c>
      <c r="F267" s="62">
        <f t="shared" si="254"/>
        <v>-1019.0096866528779</v>
      </c>
      <c r="G267" s="62">
        <f t="shared" si="254"/>
        <v>-1019.0096866528779</v>
      </c>
      <c r="H267" s="62">
        <f t="shared" si="254"/>
        <v>-1019.0096866528779</v>
      </c>
      <c r="I267" s="62">
        <f t="shared" si="254"/>
        <v>-1019.0096866528779</v>
      </c>
      <c r="J267" s="62">
        <f t="shared" si="254"/>
        <v>-1019.0096866528779</v>
      </c>
      <c r="K267" s="62">
        <f t="shared" si="254"/>
        <v>-1019.0096866528779</v>
      </c>
      <c r="L267" s="62">
        <f t="shared" si="254"/>
        <v>-1019.0096866528779</v>
      </c>
      <c r="M267" s="62">
        <f t="shared" si="254"/>
        <v>-1019.0096866528779</v>
      </c>
      <c r="N267" s="62">
        <f t="shared" si="254"/>
        <v>-1019.0096866528779</v>
      </c>
      <c r="O267" s="62">
        <f t="shared" si="254"/>
        <v>-1019.0096866528779</v>
      </c>
      <c r="P267" s="62">
        <f t="shared" si="254"/>
        <v>-1019.0096866528779</v>
      </c>
      <c r="Q267" s="62">
        <f t="shared" si="254"/>
        <v>-1019.0096866528779</v>
      </c>
      <c r="R267" s="62">
        <f t="shared" si="254"/>
        <v>-1019.0096866528779</v>
      </c>
      <c r="S267" s="62">
        <f t="shared" si="254"/>
        <v>-1019.0096866528779</v>
      </c>
      <c r="T267" s="62">
        <f t="shared" si="254"/>
        <v>-1019.0096866528779</v>
      </c>
      <c r="U267" s="62">
        <f t="shared" si="254"/>
        <v>-1019.0096866528779</v>
      </c>
      <c r="V267" s="62">
        <f t="shared" si="254"/>
        <v>-1019.0096866528779</v>
      </c>
      <c r="W267" s="62">
        <f t="shared" si="254"/>
        <v>-1019.0096866528779</v>
      </c>
      <c r="X267" s="62">
        <f t="shared" si="254"/>
        <v>-1019.0096866528779</v>
      </c>
      <c r="Y267" s="62">
        <f t="shared" si="254"/>
        <v>-1019.0096866528779</v>
      </c>
      <c r="Z267" s="62">
        <f t="shared" si="254"/>
        <v>-1019.0096866528779</v>
      </c>
      <c r="AA267" s="62">
        <f t="shared" si="254"/>
        <v>-1019.0096866528779</v>
      </c>
      <c r="AB267" s="62">
        <f t="shared" si="254"/>
        <v>-1019.0096866528779</v>
      </c>
      <c r="AC267" s="62">
        <f t="shared" si="254"/>
        <v>-1019.0096866528779</v>
      </c>
    </row>
    <row r="268" spans="1:29" x14ac:dyDescent="0.25">
      <c r="A268" s="30" t="str">
        <f>A250</f>
        <v>Opex fix (admin, crew, insurance)</v>
      </c>
      <c r="B268" s="62">
        <f>B250</f>
        <v>70000</v>
      </c>
      <c r="C268" s="62">
        <f t="shared" ref="C268:AC268" si="255">C250</f>
        <v>70000</v>
      </c>
      <c r="D268" s="62">
        <f t="shared" si="255"/>
        <v>70000</v>
      </c>
      <c r="E268" s="62">
        <f t="shared" si="255"/>
        <v>70000</v>
      </c>
      <c r="F268" s="62">
        <f t="shared" si="255"/>
        <v>70000</v>
      </c>
      <c r="G268" s="62">
        <f t="shared" si="255"/>
        <v>70000</v>
      </c>
      <c r="H268" s="62">
        <f t="shared" si="255"/>
        <v>70000</v>
      </c>
      <c r="I268" s="62">
        <f t="shared" si="255"/>
        <v>70000</v>
      </c>
      <c r="J268" s="62">
        <f t="shared" si="255"/>
        <v>70000</v>
      </c>
      <c r="K268" s="62">
        <f t="shared" si="255"/>
        <v>70000</v>
      </c>
      <c r="L268" s="62">
        <f t="shared" si="255"/>
        <v>70000</v>
      </c>
      <c r="M268" s="62">
        <f t="shared" si="255"/>
        <v>70000</v>
      </c>
      <c r="N268" s="62">
        <f t="shared" si="255"/>
        <v>70000</v>
      </c>
      <c r="O268" s="62">
        <f t="shared" si="255"/>
        <v>70000</v>
      </c>
      <c r="P268" s="62">
        <f t="shared" si="255"/>
        <v>70000</v>
      </c>
      <c r="Q268" s="62">
        <f t="shared" si="255"/>
        <v>70000</v>
      </c>
      <c r="R268" s="62">
        <f t="shared" si="255"/>
        <v>70000</v>
      </c>
      <c r="S268" s="62">
        <f t="shared" si="255"/>
        <v>70000</v>
      </c>
      <c r="T268" s="62">
        <f t="shared" si="255"/>
        <v>70000</v>
      </c>
      <c r="U268" s="62">
        <f t="shared" si="255"/>
        <v>70000</v>
      </c>
      <c r="V268" s="62">
        <f t="shared" si="255"/>
        <v>70000</v>
      </c>
      <c r="W268" s="62">
        <f t="shared" si="255"/>
        <v>70000</v>
      </c>
      <c r="X268" s="62">
        <f t="shared" si="255"/>
        <v>70000</v>
      </c>
      <c r="Y268" s="62">
        <f t="shared" si="255"/>
        <v>70000</v>
      </c>
      <c r="Z268" s="62">
        <f t="shared" si="255"/>
        <v>70000</v>
      </c>
      <c r="AA268" s="62">
        <f t="shared" si="255"/>
        <v>70000</v>
      </c>
      <c r="AB268" s="62">
        <f t="shared" si="255"/>
        <v>70000</v>
      </c>
      <c r="AC268" s="62">
        <f t="shared" si="255"/>
        <v>70000</v>
      </c>
    </row>
    <row r="269" spans="1:29" x14ac:dyDescent="0.25">
      <c r="A269" s="30" t="str">
        <f>A251</f>
        <v>Opex maintenance &amp; repair</v>
      </c>
      <c r="B269" s="62">
        <f>B251</f>
        <v>20000</v>
      </c>
      <c r="C269" s="62">
        <f t="shared" ref="C269:AC269" si="256">C251</f>
        <v>20000</v>
      </c>
      <c r="D269" s="62">
        <f t="shared" si="256"/>
        <v>20000</v>
      </c>
      <c r="E269" s="62">
        <f t="shared" si="256"/>
        <v>20000</v>
      </c>
      <c r="F269" s="62">
        <f t="shared" si="256"/>
        <v>20000</v>
      </c>
      <c r="G269" s="62">
        <f t="shared" si="256"/>
        <v>20000</v>
      </c>
      <c r="H269" s="62">
        <f t="shared" si="256"/>
        <v>20000</v>
      </c>
      <c r="I269" s="62">
        <f t="shared" si="256"/>
        <v>20000</v>
      </c>
      <c r="J269" s="62">
        <f t="shared" si="256"/>
        <v>20000</v>
      </c>
      <c r="K269" s="62">
        <f t="shared" si="256"/>
        <v>20000</v>
      </c>
      <c r="L269" s="62">
        <f t="shared" si="256"/>
        <v>20000</v>
      </c>
      <c r="M269" s="62">
        <f t="shared" si="256"/>
        <v>20000</v>
      </c>
      <c r="N269" s="62">
        <f t="shared" si="256"/>
        <v>20000</v>
      </c>
      <c r="O269" s="62">
        <f t="shared" si="256"/>
        <v>20000</v>
      </c>
      <c r="P269" s="62">
        <f t="shared" si="256"/>
        <v>20000</v>
      </c>
      <c r="Q269" s="62">
        <f t="shared" si="256"/>
        <v>20000</v>
      </c>
      <c r="R269" s="62">
        <f t="shared" si="256"/>
        <v>20000</v>
      </c>
      <c r="S269" s="62">
        <f t="shared" si="256"/>
        <v>20000</v>
      </c>
      <c r="T269" s="62">
        <f t="shared" si="256"/>
        <v>20000</v>
      </c>
      <c r="U269" s="62">
        <f t="shared" si="256"/>
        <v>20000</v>
      </c>
      <c r="V269" s="62">
        <f t="shared" si="256"/>
        <v>20000</v>
      </c>
      <c r="W269" s="62">
        <f t="shared" si="256"/>
        <v>20000</v>
      </c>
      <c r="X269" s="62">
        <f t="shared" si="256"/>
        <v>20000</v>
      </c>
      <c r="Y269" s="62">
        <f t="shared" si="256"/>
        <v>20000</v>
      </c>
      <c r="Z269" s="62">
        <f t="shared" si="256"/>
        <v>20000</v>
      </c>
      <c r="AA269" s="62">
        <f t="shared" si="256"/>
        <v>20000</v>
      </c>
      <c r="AB269" s="62">
        <f t="shared" si="256"/>
        <v>20000</v>
      </c>
      <c r="AC269" s="62">
        <f t="shared" si="256"/>
        <v>20000</v>
      </c>
    </row>
    <row r="270" spans="1:29" x14ac:dyDescent="0.25">
      <c r="A270" s="30" t="str">
        <f>A252</f>
        <v>Opex var (mode-fees)</v>
      </c>
      <c r="B270" s="62">
        <f>B252*B261</f>
        <v>11550</v>
      </c>
      <c r="C270" s="62">
        <f t="shared" ref="C270:AC270" si="257">C252*C261</f>
        <v>11550</v>
      </c>
      <c r="D270" s="62">
        <f t="shared" si="257"/>
        <v>11550</v>
      </c>
      <c r="E270" s="62">
        <f t="shared" si="257"/>
        <v>11550</v>
      </c>
      <c r="F270" s="62">
        <f t="shared" si="257"/>
        <v>11550</v>
      </c>
      <c r="G270" s="62">
        <f t="shared" si="257"/>
        <v>11550</v>
      </c>
      <c r="H270" s="62">
        <f t="shared" si="257"/>
        <v>11550</v>
      </c>
      <c r="I270" s="62">
        <f t="shared" si="257"/>
        <v>11550</v>
      </c>
      <c r="J270" s="62">
        <f t="shared" si="257"/>
        <v>11550</v>
      </c>
      <c r="K270" s="62">
        <f t="shared" si="257"/>
        <v>11550</v>
      </c>
      <c r="L270" s="62">
        <f t="shared" si="257"/>
        <v>11550</v>
      </c>
      <c r="M270" s="62">
        <f t="shared" si="257"/>
        <v>11550</v>
      </c>
      <c r="N270" s="62">
        <f t="shared" si="257"/>
        <v>11550</v>
      </c>
      <c r="O270" s="62">
        <f t="shared" si="257"/>
        <v>11550</v>
      </c>
      <c r="P270" s="62">
        <f t="shared" si="257"/>
        <v>11550</v>
      </c>
      <c r="Q270" s="62">
        <f t="shared" si="257"/>
        <v>11550</v>
      </c>
      <c r="R270" s="62">
        <f t="shared" si="257"/>
        <v>11550</v>
      </c>
      <c r="S270" s="62">
        <f t="shared" si="257"/>
        <v>11550</v>
      </c>
      <c r="T270" s="62">
        <f t="shared" si="257"/>
        <v>11550</v>
      </c>
      <c r="U270" s="62">
        <f t="shared" si="257"/>
        <v>11550</v>
      </c>
      <c r="V270" s="62">
        <f t="shared" si="257"/>
        <v>11550</v>
      </c>
      <c r="W270" s="62">
        <f t="shared" si="257"/>
        <v>11550</v>
      </c>
      <c r="X270" s="62">
        <f t="shared" si="257"/>
        <v>11550</v>
      </c>
      <c r="Y270" s="62">
        <f t="shared" si="257"/>
        <v>11550</v>
      </c>
      <c r="Z270" s="62">
        <f t="shared" si="257"/>
        <v>11550</v>
      </c>
      <c r="AA270" s="62">
        <f t="shared" si="257"/>
        <v>11550</v>
      </c>
      <c r="AB270" s="62">
        <f t="shared" si="257"/>
        <v>11550</v>
      </c>
      <c r="AC270" s="62">
        <f t="shared" si="257"/>
        <v>11550</v>
      </c>
    </row>
    <row r="271" spans="1:29" x14ac:dyDescent="0.25">
      <c r="A271" s="30" t="str">
        <f>A254</f>
        <v>Fuel Cost</v>
      </c>
      <c r="B271" s="62">
        <f>B253*B254*B261</f>
        <v>17605.992093967234</v>
      </c>
      <c r="C271" s="62">
        <f t="shared" ref="C271:AC271" si="258">C253*C254*C261</f>
        <v>16375.773623750329</v>
      </c>
      <c r="D271" s="62">
        <f t="shared" si="258"/>
        <v>15141.702509505261</v>
      </c>
      <c r="E271" s="62">
        <f t="shared" si="258"/>
        <v>13902.993228853305</v>
      </c>
      <c r="F271" s="62">
        <f t="shared" si="258"/>
        <v>12658.947838664088</v>
      </c>
      <c r="G271" s="62">
        <f t="shared" si="258"/>
        <v>11409.193064251631</v>
      </c>
      <c r="H271" s="62">
        <f t="shared" si="258"/>
        <v>10154.080157729191</v>
      </c>
      <c r="I271" s="62">
        <f t="shared" si="258"/>
        <v>8895.2777558811395</v>
      </c>
      <c r="J271" s="62">
        <f t="shared" si="258"/>
        <v>8633.0248265187474</v>
      </c>
      <c r="K271" s="62">
        <f t="shared" si="258"/>
        <v>8353.2848234175181</v>
      </c>
      <c r="L271" s="62">
        <f t="shared" si="258"/>
        <v>8057.9705169972149</v>
      </c>
      <c r="M271" s="62">
        <f t="shared" si="258"/>
        <v>7752.5465638836367</v>
      </c>
      <c r="N271" s="62">
        <f t="shared" si="258"/>
        <v>7445.7481524804225</v>
      </c>
      <c r="O271" s="62">
        <f t="shared" si="258"/>
        <v>7147.6954621319683</v>
      </c>
      <c r="P271" s="62">
        <f t="shared" si="258"/>
        <v>6867.0751883554185</v>
      </c>
      <c r="Q271" s="62">
        <f t="shared" si="258"/>
        <v>6608.9254311612685</v>
      </c>
      <c r="R271" s="62">
        <f t="shared" si="258"/>
        <v>6374.1286112092675</v>
      </c>
      <c r="S271" s="62">
        <f t="shared" si="258"/>
        <v>6160.4333698128457</v>
      </c>
      <c r="T271" s="62">
        <f t="shared" si="258"/>
        <v>5964.0284119548087</v>
      </c>
      <c r="U271" s="62">
        <f t="shared" si="258"/>
        <v>5780.841396568444</v>
      </c>
      <c r="V271" s="62">
        <f t="shared" si="258"/>
        <v>5607.2763756736431</v>
      </c>
      <c r="W271" s="62">
        <f t="shared" si="258"/>
        <v>5440.4798308422514</v>
      </c>
      <c r="X271" s="62">
        <f t="shared" si="258"/>
        <v>5278.3325318393263</v>
      </c>
      <c r="Y271" s="62">
        <f t="shared" si="258"/>
        <v>5119.3266129350604</v>
      </c>
      <c r="Z271" s="62">
        <f t="shared" si="258"/>
        <v>4962.4191601906641</v>
      </c>
      <c r="AA271" s="62">
        <f t="shared" si="258"/>
        <v>4806.9023889088403</v>
      </c>
      <c r="AB271" s="62">
        <f t="shared" si="258"/>
        <v>4652.3020763573159</v>
      </c>
      <c r="AC271" s="62">
        <f t="shared" si="258"/>
        <v>4498.3032679563348</v>
      </c>
    </row>
    <row r="272" spans="1:29" ht="15.75" thickBot="1" x14ac:dyDescent="0.3">
      <c r="A272" s="59" t="str">
        <f>A235</f>
        <v>Emission Cost</v>
      </c>
      <c r="B272" s="62">
        <f>B255*B261</f>
        <v>0</v>
      </c>
      <c r="C272" s="62">
        <f t="shared" ref="C272:AC272" si="259">C255*C261</f>
        <v>0</v>
      </c>
      <c r="D272" s="62">
        <f t="shared" si="259"/>
        <v>0</v>
      </c>
      <c r="E272" s="62">
        <f t="shared" si="259"/>
        <v>0</v>
      </c>
      <c r="F272" s="62">
        <f t="shared" si="259"/>
        <v>0</v>
      </c>
      <c r="G272" s="62">
        <f t="shared" si="259"/>
        <v>0</v>
      </c>
      <c r="H272" s="62">
        <f t="shared" si="259"/>
        <v>0</v>
      </c>
      <c r="I272" s="62">
        <f t="shared" si="259"/>
        <v>0</v>
      </c>
      <c r="J272" s="62">
        <f t="shared" si="259"/>
        <v>0</v>
      </c>
      <c r="K272" s="62">
        <f t="shared" si="259"/>
        <v>0</v>
      </c>
      <c r="L272" s="62">
        <f t="shared" si="259"/>
        <v>0</v>
      </c>
      <c r="M272" s="62">
        <f t="shared" si="259"/>
        <v>0</v>
      </c>
      <c r="N272" s="62">
        <f t="shared" si="259"/>
        <v>0</v>
      </c>
      <c r="O272" s="62">
        <f t="shared" si="259"/>
        <v>0</v>
      </c>
      <c r="P272" s="62">
        <f t="shared" si="259"/>
        <v>0</v>
      </c>
      <c r="Q272" s="62">
        <f t="shared" si="259"/>
        <v>0</v>
      </c>
      <c r="R272" s="62">
        <f t="shared" si="259"/>
        <v>0</v>
      </c>
      <c r="S272" s="62">
        <f t="shared" si="259"/>
        <v>0</v>
      </c>
      <c r="T272" s="62">
        <f t="shared" si="259"/>
        <v>0</v>
      </c>
      <c r="U272" s="62">
        <f t="shared" si="259"/>
        <v>0</v>
      </c>
      <c r="V272" s="62">
        <f t="shared" si="259"/>
        <v>0</v>
      </c>
      <c r="W272" s="62">
        <f t="shared" si="259"/>
        <v>0</v>
      </c>
      <c r="X272" s="62">
        <f t="shared" si="259"/>
        <v>0</v>
      </c>
      <c r="Y272" s="62">
        <f t="shared" si="259"/>
        <v>0</v>
      </c>
      <c r="Z272" s="62">
        <f t="shared" si="259"/>
        <v>0</v>
      </c>
      <c r="AA272" s="62">
        <f t="shared" si="259"/>
        <v>0</v>
      </c>
      <c r="AB272" s="62">
        <f t="shared" si="259"/>
        <v>0</v>
      </c>
      <c r="AC272" s="62">
        <f t="shared" si="259"/>
        <v>0</v>
      </c>
    </row>
    <row r="273" spans="1:29" ht="15.75" thickBot="1" x14ac:dyDescent="0.3">
      <c r="A273" s="31" t="s">
        <v>209</v>
      </c>
      <c r="B273" s="64">
        <f>B264+B265+B266+B267+B268+B269+B270+B271+B272</f>
        <v>134934.9959947851</v>
      </c>
      <c r="C273" s="64">
        <f t="shared" ref="C273:AC273" si="260">C264+C265+C266+C267+C268+C269+C270+C271+C272</f>
        <v>133722.07318981059</v>
      </c>
      <c r="D273" s="64">
        <f t="shared" si="260"/>
        <v>132512.55944084519</v>
      </c>
      <c r="E273" s="64">
        <f t="shared" si="260"/>
        <v>131308.55963620389</v>
      </c>
      <c r="F273" s="64">
        <f t="shared" si="260"/>
        <v>130113.24572412284</v>
      </c>
      <c r="G273" s="64">
        <f t="shared" si="260"/>
        <v>128931.24539435506</v>
      </c>
      <c r="H273" s="64">
        <f t="shared" si="260"/>
        <v>127769.02129674169</v>
      </c>
      <c r="I273" s="64">
        <f t="shared" si="260"/>
        <v>126635.05150050505</v>
      </c>
      <c r="J273" s="64">
        <f t="shared" si="260"/>
        <v>126535.97890256261</v>
      </c>
      <c r="K273" s="64">
        <f t="shared" si="260"/>
        <v>126461.73694582898</v>
      </c>
      <c r="L273" s="64">
        <f t="shared" si="260"/>
        <v>126413.01439622745</v>
      </c>
      <c r="M273" s="64">
        <f t="shared" si="260"/>
        <v>126386.42990502149</v>
      </c>
      <c r="N273" s="64">
        <f t="shared" si="260"/>
        <v>126374.00116950463</v>
      </c>
      <c r="O273" s="64">
        <f t="shared" si="260"/>
        <v>126364.52551042414</v>
      </c>
      <c r="P273" s="64">
        <f t="shared" si="260"/>
        <v>126346.60284815183</v>
      </c>
      <c r="Q273" s="64">
        <f t="shared" si="260"/>
        <v>126311.70865187704</v>
      </c>
      <c r="R273" s="64">
        <f t="shared" si="260"/>
        <v>126255.6995534158</v>
      </c>
      <c r="S273" s="64">
        <f t="shared" si="260"/>
        <v>126178.42727868218</v>
      </c>
      <c r="T273" s="64">
        <f t="shared" si="260"/>
        <v>126082.30414245906</v>
      </c>
      <c r="U273" s="64">
        <f t="shared" si="260"/>
        <v>125970.81717879818</v>
      </c>
      <c r="V273" s="64">
        <f t="shared" si="260"/>
        <v>125847.50330552437</v>
      </c>
      <c r="W273" s="64">
        <f t="shared" si="260"/>
        <v>125715.433392376</v>
      </c>
      <c r="X273" s="64">
        <f t="shared" si="260"/>
        <v>125577.05125792821</v>
      </c>
      <c r="Y273" s="64">
        <f t="shared" si="260"/>
        <v>125434.20047395196</v>
      </c>
      <c r="Z273" s="64">
        <f t="shared" si="260"/>
        <v>125288.22502124861</v>
      </c>
      <c r="AA273" s="64">
        <f t="shared" si="260"/>
        <v>125140.08298860773</v>
      </c>
      <c r="AB273" s="64">
        <f t="shared" si="260"/>
        <v>124990.44731347468</v>
      </c>
      <c r="AC273" s="64">
        <f t="shared" si="260"/>
        <v>124839.78598067898</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1">A264</f>
        <v>Capex vehicle</v>
      </c>
      <c r="B276" s="65">
        <f>((1+B249)^B256)*B249/(((1+B249)^B256)-1)*(B245)/B261</f>
        <v>0.16123842062967822</v>
      </c>
      <c r="C276" s="65">
        <f t="shared" ref="C276:AC276" si="262">((1+C249)^C256)*C249/(((1+C249)^C256)-1)*(C245)/C261</f>
        <v>0.16132511569354988</v>
      </c>
      <c r="D276" s="65">
        <f t="shared" si="262"/>
        <v>0.1614482102563552</v>
      </c>
      <c r="E276" s="65">
        <f t="shared" si="262"/>
        <v>0.1616221925922483</v>
      </c>
      <c r="F276" s="65">
        <f t="shared" si="262"/>
        <v>0.16186646065294086</v>
      </c>
      <c r="G276" s="65">
        <f t="shared" si="262"/>
        <v>0.16220608192935532</v>
      </c>
      <c r="H276" s="65">
        <f t="shared" si="262"/>
        <v>0.16267168999406237</v>
      </c>
      <c r="I276" s="65">
        <f t="shared" si="262"/>
        <v>0.1632974173404855</v>
      </c>
      <c r="J276" s="65">
        <f t="shared" si="262"/>
        <v>0.16411536386389378</v>
      </c>
      <c r="K276" s="65">
        <f t="shared" si="262"/>
        <v>0.16514542925922007</v>
      </c>
      <c r="L276" s="65">
        <f t="shared" si="262"/>
        <v>0.1663814781655798</v>
      </c>
      <c r="M276" s="65">
        <f t="shared" si="262"/>
        <v>0.16777916970396387</v>
      </c>
      <c r="N276" s="65">
        <f t="shared" si="262"/>
        <v>0.16925470692645186</v>
      </c>
      <c r="O276" s="65">
        <f t="shared" si="262"/>
        <v>0.17070120833631627</v>
      </c>
      <c r="P276" s="65">
        <f t="shared" si="262"/>
        <v>0.1720179883438564</v>
      </c>
      <c r="Q276" s="65">
        <f t="shared" si="262"/>
        <v>0.17313706383718652</v>
      </c>
      <c r="R276" s="65">
        <f t="shared" si="262"/>
        <v>0.17403324289227806</v>
      </c>
      <c r="S276" s="65">
        <f t="shared" si="262"/>
        <v>0.17471706728657782</v>
      </c>
      <c r="T276" s="65">
        <f t="shared" si="262"/>
        <v>0.17521973305918384</v>
      </c>
      <c r="U276" s="65">
        <f t="shared" si="262"/>
        <v>0.17557913181470011</v>
      </c>
      <c r="V276" s="65">
        <f t="shared" si="262"/>
        <v>0.17583101726643444</v>
      </c>
      <c r="W276" s="65">
        <f t="shared" si="262"/>
        <v>0.17600508559567263</v>
      </c>
      <c r="X276" s="65">
        <f t="shared" si="262"/>
        <v>0.17612420922752789</v>
      </c>
      <c r="Y276" s="65">
        <f t="shared" si="262"/>
        <v>0.17620518734746785</v>
      </c>
      <c r="Z276" s="65">
        <f t="shared" si="262"/>
        <v>0.17625998434015486</v>
      </c>
      <c r="AA276" s="65">
        <f t="shared" si="262"/>
        <v>0.1762969504486307</v>
      </c>
      <c r="AB276" s="65">
        <f t="shared" si="262"/>
        <v>0.17632183584922459</v>
      </c>
      <c r="AC276" s="65">
        <f t="shared" si="262"/>
        <v>0.17633856505025353</v>
      </c>
    </row>
    <row r="277" spans="1:29" x14ac:dyDescent="0.25">
      <c r="A277" s="30" t="str">
        <f t="shared" si="261"/>
        <v>Residual value (vehicle)</v>
      </c>
      <c r="B277" s="66">
        <f>((1+B249)^B256)*B249/(((1+B249)^B256)-1)*(B246)/B261</f>
        <v>-4.0076755478637913E-2</v>
      </c>
      <c r="C277" s="66">
        <f t="shared" ref="C277:AC277" si="263">((1+C249)^C256)*C249/(((1+C249)^C256)-1)*(C246)/C261</f>
        <v>-3.9998729921153407E-2</v>
      </c>
      <c r="D277" s="66">
        <f t="shared" si="263"/>
        <v>-3.9887944814628609E-2</v>
      </c>
      <c r="E277" s="66">
        <f t="shared" si="263"/>
        <v>-3.9731360712324824E-2</v>
      </c>
      <c r="F277" s="66">
        <f t="shared" si="263"/>
        <v>-3.9511519457701538E-2</v>
      </c>
      <c r="G277" s="66">
        <f t="shared" si="263"/>
        <v>-3.9205860308928503E-2</v>
      </c>
      <c r="H277" s="66">
        <f t="shared" si="263"/>
        <v>-3.8786813050692162E-2</v>
      </c>
      <c r="I277" s="66">
        <f t="shared" si="263"/>
        <v>-3.8223658438911338E-2</v>
      </c>
      <c r="J277" s="66">
        <f t="shared" si="263"/>
        <v>-3.748750656784388E-2</v>
      </c>
      <c r="K277" s="66">
        <f t="shared" si="263"/>
        <v>-3.6560447712050248E-2</v>
      </c>
      <c r="L277" s="66">
        <f t="shared" si="263"/>
        <v>-3.5448003696326488E-2</v>
      </c>
      <c r="M277" s="66">
        <f t="shared" si="263"/>
        <v>-3.4190081311780821E-2</v>
      </c>
      <c r="N277" s="66">
        <f t="shared" si="263"/>
        <v>-3.2862097811541625E-2</v>
      </c>
      <c r="O277" s="66">
        <f t="shared" si="263"/>
        <v>-3.1560246542663664E-2</v>
      </c>
      <c r="P277" s="66">
        <f t="shared" si="263"/>
        <v>-3.0375144535877543E-2</v>
      </c>
      <c r="Q277" s="66">
        <f t="shared" si="263"/>
        <v>-2.9367976591880444E-2</v>
      </c>
      <c r="R277" s="66">
        <f t="shared" si="263"/>
        <v>-2.8561415442298038E-2</v>
      </c>
      <c r="S277" s="66">
        <f t="shared" si="263"/>
        <v>-2.794597348742827E-2</v>
      </c>
      <c r="T277" s="66">
        <f t="shared" si="263"/>
        <v>-2.7493574292082854E-2</v>
      </c>
      <c r="U277" s="66">
        <f t="shared" si="263"/>
        <v>-2.7170115412118195E-2</v>
      </c>
      <c r="V277" s="66">
        <f t="shared" si="263"/>
        <v>-2.6943418505557318E-2</v>
      </c>
      <c r="W277" s="66">
        <f t="shared" si="263"/>
        <v>-2.678675700924292E-2</v>
      </c>
      <c r="X277" s="66">
        <f t="shared" si="263"/>
        <v>-2.6679545740573178E-2</v>
      </c>
      <c r="Y277" s="66">
        <f t="shared" si="263"/>
        <v>-2.6606665432627252E-2</v>
      </c>
      <c r="Z277" s="66">
        <f t="shared" si="263"/>
        <v>-2.6557348139208941E-2</v>
      </c>
      <c r="AA277" s="66">
        <f t="shared" si="263"/>
        <v>-2.6524078641580694E-2</v>
      </c>
      <c r="AB277" s="66">
        <f t="shared" si="263"/>
        <v>-2.6501681781046189E-2</v>
      </c>
      <c r="AC277" s="66">
        <f t="shared" si="263"/>
        <v>-2.6486625500120115E-2</v>
      </c>
    </row>
    <row r="278" spans="1:29" x14ac:dyDescent="0.25">
      <c r="A278" s="30" t="str">
        <f t="shared" si="261"/>
        <v>Capex costumization</v>
      </c>
      <c r="B278" s="66">
        <f>((1+B249)^B257)*B249/(((1+B249)^B257)-1)*(B247)/B261</f>
        <v>3.8819416634395351E-2</v>
      </c>
      <c r="C278" s="66">
        <f t="shared" ref="C278:AC278" si="264">((1+C249)^C257)*C249/(((1+C249)^C257)-1)*(C247)/C261</f>
        <v>3.8819416634395351E-2</v>
      </c>
      <c r="D278" s="66">
        <f t="shared" si="264"/>
        <v>3.8819416634395351E-2</v>
      </c>
      <c r="E278" s="66">
        <f t="shared" si="264"/>
        <v>3.8819416634395351E-2</v>
      </c>
      <c r="F278" s="66">
        <f t="shared" si="264"/>
        <v>3.8819416634395351E-2</v>
      </c>
      <c r="G278" s="66">
        <f t="shared" si="264"/>
        <v>3.8819416634395351E-2</v>
      </c>
      <c r="H278" s="66">
        <f t="shared" si="264"/>
        <v>3.8819416634395351E-2</v>
      </c>
      <c r="I278" s="66">
        <f t="shared" si="264"/>
        <v>3.8819416634395351E-2</v>
      </c>
      <c r="J278" s="66">
        <f t="shared" si="264"/>
        <v>3.8819416634395351E-2</v>
      </c>
      <c r="K278" s="66">
        <f t="shared" si="264"/>
        <v>3.8819416634395351E-2</v>
      </c>
      <c r="L278" s="66">
        <f t="shared" si="264"/>
        <v>3.8819416634395351E-2</v>
      </c>
      <c r="M278" s="66">
        <f t="shared" si="264"/>
        <v>3.8819416634395351E-2</v>
      </c>
      <c r="N278" s="66">
        <f t="shared" si="264"/>
        <v>3.8819416634395351E-2</v>
      </c>
      <c r="O278" s="66">
        <f t="shared" si="264"/>
        <v>3.8819416634395351E-2</v>
      </c>
      <c r="P278" s="66">
        <f t="shared" si="264"/>
        <v>3.8819416634395351E-2</v>
      </c>
      <c r="Q278" s="66">
        <f t="shared" si="264"/>
        <v>3.8819416634395351E-2</v>
      </c>
      <c r="R278" s="66">
        <f t="shared" si="264"/>
        <v>3.8819416634395351E-2</v>
      </c>
      <c r="S278" s="66">
        <f t="shared" si="264"/>
        <v>3.8819416634395351E-2</v>
      </c>
      <c r="T278" s="66">
        <f t="shared" si="264"/>
        <v>3.8819416634395351E-2</v>
      </c>
      <c r="U278" s="66">
        <f t="shared" si="264"/>
        <v>3.8819416634395351E-2</v>
      </c>
      <c r="V278" s="66">
        <f t="shared" si="264"/>
        <v>3.8819416634395351E-2</v>
      </c>
      <c r="W278" s="66">
        <f t="shared" si="264"/>
        <v>3.8819416634395351E-2</v>
      </c>
      <c r="X278" s="66">
        <f t="shared" si="264"/>
        <v>3.8819416634395351E-2</v>
      </c>
      <c r="Y278" s="66">
        <f t="shared" si="264"/>
        <v>3.8819416634395351E-2</v>
      </c>
      <c r="Z278" s="66">
        <f t="shared" si="264"/>
        <v>3.8819416634395351E-2</v>
      </c>
      <c r="AA278" s="66">
        <f t="shared" si="264"/>
        <v>3.8819416634395351E-2</v>
      </c>
      <c r="AB278" s="66">
        <f t="shared" si="264"/>
        <v>3.8819416634395351E-2</v>
      </c>
      <c r="AC278" s="66">
        <f t="shared" si="264"/>
        <v>3.8819416634395351E-2</v>
      </c>
    </row>
    <row r="279" spans="1:29" x14ac:dyDescent="0.25">
      <c r="A279" s="30" t="str">
        <f t="shared" si="261"/>
        <v>Residual value (costumization)</v>
      </c>
      <c r="B279" s="66">
        <f>((1+B249)^B257)*B249/(((1+B249)^B257)-1)*(B248)/B261</f>
        <v>-9.7048541585988378E-3</v>
      </c>
      <c r="C279" s="66">
        <f t="shared" ref="C279:AC279" si="265">((1+C249)^C257)*C249/(((1+C249)^C257)-1)*(C248)/C261</f>
        <v>-9.7048541585988378E-3</v>
      </c>
      <c r="D279" s="66">
        <f t="shared" si="265"/>
        <v>-9.7048541585988378E-3</v>
      </c>
      <c r="E279" s="66">
        <f t="shared" si="265"/>
        <v>-9.7048541585988378E-3</v>
      </c>
      <c r="F279" s="66">
        <f t="shared" si="265"/>
        <v>-9.7048541585988378E-3</v>
      </c>
      <c r="G279" s="66">
        <f t="shared" si="265"/>
        <v>-9.7048541585988378E-3</v>
      </c>
      <c r="H279" s="66">
        <f t="shared" si="265"/>
        <v>-9.7048541585988378E-3</v>
      </c>
      <c r="I279" s="66">
        <f t="shared" si="265"/>
        <v>-9.7048541585988378E-3</v>
      </c>
      <c r="J279" s="66">
        <f t="shared" si="265"/>
        <v>-9.7048541585988378E-3</v>
      </c>
      <c r="K279" s="66">
        <f t="shared" si="265"/>
        <v>-9.7048541585988378E-3</v>
      </c>
      <c r="L279" s="66">
        <f t="shared" si="265"/>
        <v>-9.7048541585988378E-3</v>
      </c>
      <c r="M279" s="66">
        <f t="shared" si="265"/>
        <v>-9.7048541585988378E-3</v>
      </c>
      <c r="N279" s="66">
        <f t="shared" si="265"/>
        <v>-9.7048541585988378E-3</v>
      </c>
      <c r="O279" s="66">
        <f t="shared" si="265"/>
        <v>-9.7048541585988378E-3</v>
      </c>
      <c r="P279" s="66">
        <f t="shared" si="265"/>
        <v>-9.7048541585988378E-3</v>
      </c>
      <c r="Q279" s="66">
        <f t="shared" si="265"/>
        <v>-9.7048541585988378E-3</v>
      </c>
      <c r="R279" s="66">
        <f t="shared" si="265"/>
        <v>-9.7048541585988378E-3</v>
      </c>
      <c r="S279" s="66">
        <f t="shared" si="265"/>
        <v>-9.7048541585988378E-3</v>
      </c>
      <c r="T279" s="66">
        <f t="shared" si="265"/>
        <v>-9.7048541585988378E-3</v>
      </c>
      <c r="U279" s="66">
        <f t="shared" si="265"/>
        <v>-9.7048541585988378E-3</v>
      </c>
      <c r="V279" s="66">
        <f t="shared" si="265"/>
        <v>-9.7048541585988378E-3</v>
      </c>
      <c r="W279" s="66">
        <f t="shared" si="265"/>
        <v>-9.7048541585988378E-3</v>
      </c>
      <c r="X279" s="66">
        <f t="shared" si="265"/>
        <v>-9.7048541585988378E-3</v>
      </c>
      <c r="Y279" s="66">
        <f t="shared" si="265"/>
        <v>-9.7048541585988378E-3</v>
      </c>
      <c r="Z279" s="66">
        <f t="shared" si="265"/>
        <v>-9.7048541585988378E-3</v>
      </c>
      <c r="AA279" s="66">
        <f t="shared" si="265"/>
        <v>-9.7048541585988378E-3</v>
      </c>
      <c r="AB279" s="66">
        <f t="shared" si="265"/>
        <v>-9.7048541585988378E-3</v>
      </c>
      <c r="AC279" s="66">
        <f t="shared" si="265"/>
        <v>-9.7048541585988378E-3</v>
      </c>
    </row>
    <row r="280" spans="1:29" x14ac:dyDescent="0.25">
      <c r="A280" s="30" t="str">
        <f t="shared" si="261"/>
        <v>Opex fix (admin, crew, insurance)</v>
      </c>
      <c r="B280" s="66">
        <f>B250/B261</f>
        <v>0.66666666666666663</v>
      </c>
      <c r="C280" s="66">
        <f t="shared" ref="C280:AC280" si="266">C250/C261</f>
        <v>0.66666666666666663</v>
      </c>
      <c r="D280" s="66">
        <f t="shared" si="266"/>
        <v>0.66666666666666663</v>
      </c>
      <c r="E280" s="66">
        <f t="shared" si="266"/>
        <v>0.66666666666666663</v>
      </c>
      <c r="F280" s="66">
        <f t="shared" si="266"/>
        <v>0.66666666666666663</v>
      </c>
      <c r="G280" s="66">
        <f t="shared" si="266"/>
        <v>0.66666666666666663</v>
      </c>
      <c r="H280" s="66">
        <f t="shared" si="266"/>
        <v>0.66666666666666663</v>
      </c>
      <c r="I280" s="66">
        <f t="shared" si="266"/>
        <v>0.66666666666666663</v>
      </c>
      <c r="J280" s="66">
        <f t="shared" si="266"/>
        <v>0.66666666666666663</v>
      </c>
      <c r="K280" s="66">
        <f t="shared" si="266"/>
        <v>0.66666666666666663</v>
      </c>
      <c r="L280" s="66">
        <f t="shared" si="266"/>
        <v>0.66666666666666663</v>
      </c>
      <c r="M280" s="66">
        <f t="shared" si="266"/>
        <v>0.66666666666666663</v>
      </c>
      <c r="N280" s="66">
        <f t="shared" si="266"/>
        <v>0.66666666666666663</v>
      </c>
      <c r="O280" s="66">
        <f t="shared" si="266"/>
        <v>0.66666666666666663</v>
      </c>
      <c r="P280" s="66">
        <f t="shared" si="266"/>
        <v>0.66666666666666663</v>
      </c>
      <c r="Q280" s="66">
        <f t="shared" si="266"/>
        <v>0.66666666666666663</v>
      </c>
      <c r="R280" s="66">
        <f t="shared" si="266"/>
        <v>0.66666666666666663</v>
      </c>
      <c r="S280" s="66">
        <f t="shared" si="266"/>
        <v>0.66666666666666663</v>
      </c>
      <c r="T280" s="66">
        <f t="shared" si="266"/>
        <v>0.66666666666666663</v>
      </c>
      <c r="U280" s="66">
        <f t="shared" si="266"/>
        <v>0.66666666666666663</v>
      </c>
      <c r="V280" s="66">
        <f t="shared" si="266"/>
        <v>0.66666666666666663</v>
      </c>
      <c r="W280" s="66">
        <f t="shared" si="266"/>
        <v>0.66666666666666663</v>
      </c>
      <c r="X280" s="66">
        <f t="shared" si="266"/>
        <v>0.66666666666666663</v>
      </c>
      <c r="Y280" s="66">
        <f t="shared" si="266"/>
        <v>0.66666666666666663</v>
      </c>
      <c r="Z280" s="66">
        <f t="shared" si="266"/>
        <v>0.66666666666666663</v>
      </c>
      <c r="AA280" s="66">
        <f t="shared" si="266"/>
        <v>0.66666666666666663</v>
      </c>
      <c r="AB280" s="66">
        <f t="shared" si="266"/>
        <v>0.66666666666666663</v>
      </c>
      <c r="AC280" s="66">
        <f t="shared" si="266"/>
        <v>0.66666666666666663</v>
      </c>
    </row>
    <row r="281" spans="1:29" x14ac:dyDescent="0.25">
      <c r="A281" s="30" t="str">
        <f t="shared" si="261"/>
        <v>Opex maintenance &amp; repair</v>
      </c>
      <c r="B281" s="66">
        <f>B251/B261</f>
        <v>0.19047619047619047</v>
      </c>
      <c r="C281" s="66">
        <f t="shared" ref="C281:AC281" si="267">C251/C261</f>
        <v>0.19047619047619047</v>
      </c>
      <c r="D281" s="66">
        <f t="shared" si="267"/>
        <v>0.19047619047619047</v>
      </c>
      <c r="E281" s="66">
        <f t="shared" si="267"/>
        <v>0.19047619047619047</v>
      </c>
      <c r="F281" s="66">
        <f t="shared" si="267"/>
        <v>0.19047619047619047</v>
      </c>
      <c r="G281" s="66">
        <f t="shared" si="267"/>
        <v>0.19047619047619047</v>
      </c>
      <c r="H281" s="66">
        <f t="shared" si="267"/>
        <v>0.19047619047619047</v>
      </c>
      <c r="I281" s="66">
        <f t="shared" si="267"/>
        <v>0.19047619047619047</v>
      </c>
      <c r="J281" s="66">
        <f t="shared" si="267"/>
        <v>0.19047619047619047</v>
      </c>
      <c r="K281" s="66">
        <f t="shared" si="267"/>
        <v>0.19047619047619047</v>
      </c>
      <c r="L281" s="66">
        <f t="shared" si="267"/>
        <v>0.19047619047619047</v>
      </c>
      <c r="M281" s="66">
        <f t="shared" si="267"/>
        <v>0.19047619047619047</v>
      </c>
      <c r="N281" s="66">
        <f t="shared" si="267"/>
        <v>0.19047619047619047</v>
      </c>
      <c r="O281" s="66">
        <f t="shared" si="267"/>
        <v>0.19047619047619047</v>
      </c>
      <c r="P281" s="66">
        <f t="shared" si="267"/>
        <v>0.19047619047619047</v>
      </c>
      <c r="Q281" s="66">
        <f t="shared" si="267"/>
        <v>0.19047619047619047</v>
      </c>
      <c r="R281" s="66">
        <f t="shared" si="267"/>
        <v>0.19047619047619047</v>
      </c>
      <c r="S281" s="66">
        <f t="shared" si="267"/>
        <v>0.19047619047619047</v>
      </c>
      <c r="T281" s="66">
        <f t="shared" si="267"/>
        <v>0.19047619047619047</v>
      </c>
      <c r="U281" s="66">
        <f t="shared" si="267"/>
        <v>0.19047619047619047</v>
      </c>
      <c r="V281" s="66">
        <f t="shared" si="267"/>
        <v>0.19047619047619047</v>
      </c>
      <c r="W281" s="66">
        <f t="shared" si="267"/>
        <v>0.19047619047619047</v>
      </c>
      <c r="X281" s="66">
        <f t="shared" si="267"/>
        <v>0.19047619047619047</v>
      </c>
      <c r="Y281" s="66">
        <f t="shared" si="267"/>
        <v>0.19047619047619047</v>
      </c>
      <c r="Z281" s="66">
        <f t="shared" si="267"/>
        <v>0.19047619047619047</v>
      </c>
      <c r="AA281" s="66">
        <f t="shared" si="267"/>
        <v>0.19047619047619047</v>
      </c>
      <c r="AB281" s="66">
        <f t="shared" si="267"/>
        <v>0.19047619047619047</v>
      </c>
      <c r="AC281" s="66">
        <f t="shared" si="267"/>
        <v>0.19047619047619047</v>
      </c>
    </row>
    <row r="282" spans="1:29" x14ac:dyDescent="0.25">
      <c r="A282" s="30" t="str">
        <f t="shared" si="261"/>
        <v>Opex var (mode-fees)</v>
      </c>
      <c r="B282" s="66">
        <f>B252*B261/B261</f>
        <v>0.11</v>
      </c>
      <c r="C282" s="66">
        <f t="shared" ref="C282:AC282" si="268">C252*C261/C261</f>
        <v>0.11</v>
      </c>
      <c r="D282" s="66">
        <f t="shared" si="268"/>
        <v>0.11</v>
      </c>
      <c r="E282" s="66">
        <f t="shared" si="268"/>
        <v>0.11</v>
      </c>
      <c r="F282" s="66">
        <f t="shared" si="268"/>
        <v>0.11</v>
      </c>
      <c r="G282" s="66">
        <f t="shared" si="268"/>
        <v>0.11</v>
      </c>
      <c r="H282" s="66">
        <f t="shared" si="268"/>
        <v>0.11</v>
      </c>
      <c r="I282" s="66">
        <f t="shared" si="268"/>
        <v>0.11</v>
      </c>
      <c r="J282" s="66">
        <f t="shared" si="268"/>
        <v>0.11</v>
      </c>
      <c r="K282" s="66">
        <f t="shared" si="268"/>
        <v>0.11</v>
      </c>
      <c r="L282" s="66">
        <f t="shared" si="268"/>
        <v>0.11</v>
      </c>
      <c r="M282" s="66">
        <f t="shared" si="268"/>
        <v>0.11</v>
      </c>
      <c r="N282" s="66">
        <f t="shared" si="268"/>
        <v>0.11</v>
      </c>
      <c r="O282" s="66">
        <f t="shared" si="268"/>
        <v>0.11</v>
      </c>
      <c r="P282" s="66">
        <f t="shared" si="268"/>
        <v>0.11</v>
      </c>
      <c r="Q282" s="66">
        <f t="shared" si="268"/>
        <v>0.11</v>
      </c>
      <c r="R282" s="66">
        <f t="shared" si="268"/>
        <v>0.11</v>
      </c>
      <c r="S282" s="66">
        <f t="shared" si="268"/>
        <v>0.11</v>
      </c>
      <c r="T282" s="66">
        <f t="shared" si="268"/>
        <v>0.11</v>
      </c>
      <c r="U282" s="66">
        <f t="shared" si="268"/>
        <v>0.11</v>
      </c>
      <c r="V282" s="66">
        <f t="shared" si="268"/>
        <v>0.11</v>
      </c>
      <c r="W282" s="66">
        <f t="shared" si="268"/>
        <v>0.11</v>
      </c>
      <c r="X282" s="66">
        <f t="shared" si="268"/>
        <v>0.11</v>
      </c>
      <c r="Y282" s="66">
        <f t="shared" si="268"/>
        <v>0.11</v>
      </c>
      <c r="Z282" s="66">
        <f t="shared" si="268"/>
        <v>0.11</v>
      </c>
      <c r="AA282" s="66">
        <f t="shared" si="268"/>
        <v>0.11</v>
      </c>
      <c r="AB282" s="66">
        <f t="shared" si="268"/>
        <v>0.11</v>
      </c>
      <c r="AC282" s="66">
        <f t="shared" si="268"/>
        <v>0.11</v>
      </c>
    </row>
    <row r="283" spans="1:29" x14ac:dyDescent="0.25">
      <c r="A283" s="30" t="str">
        <f t="shared" si="261"/>
        <v>Fuel Cost</v>
      </c>
      <c r="B283" s="66">
        <f>B253*B254*B261/B261</f>
        <v>0.16767611518064032</v>
      </c>
      <c r="C283" s="66">
        <f t="shared" ref="C283:AC283" si="269">C253*C254*C261/C261</f>
        <v>0.15595974879762217</v>
      </c>
      <c r="D283" s="66">
        <f t="shared" si="269"/>
        <v>0.14420669056671678</v>
      </c>
      <c r="E283" s="66">
        <f t="shared" si="269"/>
        <v>0.13240945932241244</v>
      </c>
      <c r="F283" s="66">
        <f t="shared" si="269"/>
        <v>0.12056140798727702</v>
      </c>
      <c r="G283" s="66">
        <f t="shared" si="269"/>
        <v>0.10865898156430125</v>
      </c>
      <c r="H283" s="66">
        <f t="shared" si="269"/>
        <v>9.6705525311706578E-2</v>
      </c>
      <c r="I283" s="66">
        <f t="shared" si="269"/>
        <v>8.471693100839181E-2</v>
      </c>
      <c r="J283" s="66">
        <f t="shared" si="269"/>
        <v>8.2219284062083314E-2</v>
      </c>
      <c r="K283" s="66">
        <f t="shared" si="269"/>
        <v>7.9555093556357315E-2</v>
      </c>
      <c r="L283" s="66">
        <f t="shared" si="269"/>
        <v>7.674257635235443E-2</v>
      </c>
      <c r="M283" s="66">
        <f t="shared" si="269"/>
        <v>7.3833776798891776E-2</v>
      </c>
      <c r="N283" s="66">
        <f t="shared" si="269"/>
        <v>7.0911887166480211E-2</v>
      </c>
      <c r="O283" s="66">
        <f t="shared" si="269"/>
        <v>6.8073290115542556E-2</v>
      </c>
      <c r="P283" s="66">
        <f t="shared" si="269"/>
        <v>6.5400716079575413E-2</v>
      </c>
      <c r="Q283" s="66">
        <f t="shared" si="269"/>
        <v>6.2942146963440651E-2</v>
      </c>
      <c r="R283" s="66">
        <f t="shared" si="269"/>
        <v>6.0705986773421594E-2</v>
      </c>
      <c r="S283" s="66">
        <f t="shared" si="269"/>
        <v>5.8670793998217577E-2</v>
      </c>
      <c r="T283" s="66">
        <f t="shared" si="269"/>
        <v>5.6800270590045797E-2</v>
      </c>
      <c r="U283" s="66">
        <f t="shared" si="269"/>
        <v>5.5055632348270898E-2</v>
      </c>
      <c r="V283" s="66">
        <f t="shared" si="269"/>
        <v>5.3402632149272794E-2</v>
      </c>
      <c r="W283" s="66">
        <f t="shared" si="269"/>
        <v>5.1814093627069062E-2</v>
      </c>
      <c r="X283" s="66">
        <f t="shared" si="269"/>
        <v>5.0269833636565009E-2</v>
      </c>
      <c r="Y283" s="66">
        <f t="shared" si="269"/>
        <v>4.8755491551762481E-2</v>
      </c>
      <c r="Z283" s="66">
        <f t="shared" si="269"/>
        <v>4.7261134858958706E-2</v>
      </c>
      <c r="AA283" s="66">
        <f t="shared" si="269"/>
        <v>4.5780022751512765E-2</v>
      </c>
      <c r="AB283" s="66">
        <f t="shared" si="269"/>
        <v>4.4307638822450625E-2</v>
      </c>
      <c r="AC283" s="66">
        <f t="shared" si="269"/>
        <v>4.2840983504346043E-2</v>
      </c>
    </row>
    <row r="284" spans="1:29" ht="15.75" thickBot="1" x14ac:dyDescent="0.3">
      <c r="A284" s="59" t="str">
        <f>A235</f>
        <v>Emission Cost</v>
      </c>
      <c r="B284" s="66">
        <f>B255</f>
        <v>0</v>
      </c>
      <c r="C284" s="66">
        <f t="shared" ref="C284:AC284" si="270">C255</f>
        <v>0</v>
      </c>
      <c r="D284" s="66">
        <f t="shared" si="270"/>
        <v>0</v>
      </c>
      <c r="E284" s="66">
        <f t="shared" si="270"/>
        <v>0</v>
      </c>
      <c r="F284" s="66">
        <f t="shared" si="270"/>
        <v>0</v>
      </c>
      <c r="G284" s="66">
        <f t="shared" si="270"/>
        <v>0</v>
      </c>
      <c r="H284" s="66">
        <f t="shared" si="270"/>
        <v>0</v>
      </c>
      <c r="I284" s="66">
        <f t="shared" si="270"/>
        <v>0</v>
      </c>
      <c r="J284" s="66">
        <f t="shared" si="270"/>
        <v>0</v>
      </c>
      <c r="K284" s="66">
        <f t="shared" si="270"/>
        <v>0</v>
      </c>
      <c r="L284" s="66">
        <f t="shared" si="270"/>
        <v>0</v>
      </c>
      <c r="M284" s="66">
        <f t="shared" si="270"/>
        <v>0</v>
      </c>
      <c r="N284" s="66">
        <f t="shared" si="270"/>
        <v>0</v>
      </c>
      <c r="O284" s="66">
        <f t="shared" si="270"/>
        <v>0</v>
      </c>
      <c r="P284" s="66">
        <f t="shared" si="270"/>
        <v>0</v>
      </c>
      <c r="Q284" s="66">
        <f t="shared" si="270"/>
        <v>0</v>
      </c>
      <c r="R284" s="66">
        <f t="shared" si="270"/>
        <v>0</v>
      </c>
      <c r="S284" s="66">
        <f t="shared" si="270"/>
        <v>0</v>
      </c>
      <c r="T284" s="66">
        <f t="shared" si="270"/>
        <v>0</v>
      </c>
      <c r="U284" s="66">
        <f t="shared" si="270"/>
        <v>0</v>
      </c>
      <c r="V284" s="66">
        <f t="shared" si="270"/>
        <v>0</v>
      </c>
      <c r="W284" s="66">
        <f t="shared" si="270"/>
        <v>0</v>
      </c>
      <c r="X284" s="66">
        <f t="shared" si="270"/>
        <v>0</v>
      </c>
      <c r="Y284" s="66">
        <f t="shared" si="270"/>
        <v>0</v>
      </c>
      <c r="Z284" s="66">
        <f t="shared" si="270"/>
        <v>0</v>
      </c>
      <c r="AA284" s="66">
        <f t="shared" si="270"/>
        <v>0</v>
      </c>
      <c r="AB284" s="66">
        <f t="shared" si="270"/>
        <v>0</v>
      </c>
      <c r="AC284" s="66">
        <f t="shared" si="270"/>
        <v>0</v>
      </c>
    </row>
    <row r="285" spans="1:29" ht="15.75" thickBot="1" x14ac:dyDescent="0.3">
      <c r="A285" s="31" t="s">
        <v>63</v>
      </c>
      <c r="B285" s="76">
        <f>B276+B277+B278-B279+B280+B281+B282+B283+B284</f>
        <v>1.304504908267532</v>
      </c>
      <c r="C285" s="76">
        <f t="shared" ref="C285:AC285" si="271">C276+C277+C278-C279+C280+C281+C282+C283+C284</f>
        <v>1.2929532625058699</v>
      </c>
      <c r="D285" s="76">
        <f t="shared" si="271"/>
        <v>1.2814340839442948</v>
      </c>
      <c r="E285" s="76">
        <f t="shared" si="271"/>
        <v>1.2699674191381871</v>
      </c>
      <c r="F285" s="76">
        <f t="shared" si="271"/>
        <v>1.2585834771183677</v>
      </c>
      <c r="G285" s="76">
        <f t="shared" si="271"/>
        <v>1.2473263311205796</v>
      </c>
      <c r="H285" s="76">
        <f t="shared" si="271"/>
        <v>1.2362575301909282</v>
      </c>
      <c r="I285" s="76">
        <f t="shared" si="271"/>
        <v>1.2254578178458173</v>
      </c>
      <c r="J285" s="76">
        <f t="shared" si="271"/>
        <v>1.2245142692939845</v>
      </c>
      <c r="K285" s="76">
        <f t="shared" si="271"/>
        <v>1.2238072030393785</v>
      </c>
      <c r="L285" s="76">
        <f t="shared" si="271"/>
        <v>1.2233431787574591</v>
      </c>
      <c r="M285" s="76">
        <f t="shared" si="271"/>
        <v>1.2230899931269261</v>
      </c>
      <c r="N285" s="76">
        <f t="shared" si="271"/>
        <v>1.2229716242172419</v>
      </c>
      <c r="O285" s="76">
        <f t="shared" si="271"/>
        <v>1.2228813798450466</v>
      </c>
      <c r="P285" s="76">
        <f t="shared" si="271"/>
        <v>1.2227106878234055</v>
      </c>
      <c r="Q285" s="76">
        <f t="shared" si="271"/>
        <v>1.2223783621445981</v>
      </c>
      <c r="R285" s="76">
        <f t="shared" si="271"/>
        <v>1.221844942159253</v>
      </c>
      <c r="S285" s="76">
        <f t="shared" si="271"/>
        <v>1.2211090157332185</v>
      </c>
      <c r="T285" s="76">
        <f t="shared" si="271"/>
        <v>1.2201935572929983</v>
      </c>
      <c r="U285" s="76">
        <f t="shared" si="271"/>
        <v>1.2191317766867042</v>
      </c>
      <c r="V285" s="76">
        <f t="shared" si="271"/>
        <v>1.2179573588460013</v>
      </c>
      <c r="W285" s="76">
        <f t="shared" si="271"/>
        <v>1.2166995501493501</v>
      </c>
      <c r="X285" s="76">
        <f t="shared" si="271"/>
        <v>1.2153816250593712</v>
      </c>
      <c r="Y285" s="76">
        <f t="shared" si="271"/>
        <v>1.2140211414024544</v>
      </c>
      <c r="Z285" s="76">
        <f t="shared" si="271"/>
        <v>1.2126308989957559</v>
      </c>
      <c r="AA285" s="76">
        <f t="shared" si="271"/>
        <v>1.2112200224944143</v>
      </c>
      <c r="AB285" s="76">
        <f t="shared" si="271"/>
        <v>1.2097949208264804</v>
      </c>
      <c r="AC285" s="76">
        <f t="shared" si="271"/>
        <v>1.2083600509903307</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2">A264</f>
        <v>Capex vehicle</v>
      </c>
      <c r="B288" s="65">
        <f>((1+B249)^B256)*B249/(((1+B249)^B256)-1)*(B245)/B261/(B258)</f>
        <v>6.4495368251871292E-3</v>
      </c>
      <c r="C288" s="65">
        <f t="shared" ref="C288:AC288" si="273">((1+C249)^C256)*C249/(((1+C249)^C256)-1)*(C245)/C261/(C258)</f>
        <v>6.4530046277419947E-3</v>
      </c>
      <c r="D288" s="65">
        <f t="shared" si="273"/>
        <v>6.4579284102542081E-3</v>
      </c>
      <c r="E288" s="65">
        <f t="shared" si="273"/>
        <v>6.4648877036899317E-3</v>
      </c>
      <c r="F288" s="65">
        <f t="shared" si="273"/>
        <v>6.4746584261176346E-3</v>
      </c>
      <c r="G288" s="65">
        <f t="shared" si="273"/>
        <v>6.4882432771742127E-3</v>
      </c>
      <c r="H288" s="65">
        <f t="shared" si="273"/>
        <v>6.5068675997624944E-3</v>
      </c>
      <c r="I288" s="65">
        <f t="shared" si="273"/>
        <v>6.5318966936194203E-3</v>
      </c>
      <c r="J288" s="65">
        <f t="shared" si="273"/>
        <v>6.564614554555751E-3</v>
      </c>
      <c r="K288" s="65">
        <f t="shared" si="273"/>
        <v>6.6058171703688032E-3</v>
      </c>
      <c r="L288" s="65">
        <f t="shared" si="273"/>
        <v>6.6552591266231921E-3</v>
      </c>
      <c r="M288" s="65">
        <f t="shared" si="273"/>
        <v>6.7111667881585542E-3</v>
      </c>
      <c r="N288" s="65">
        <f t="shared" si="273"/>
        <v>6.7701882770580743E-3</v>
      </c>
      <c r="O288" s="65">
        <f t="shared" si="273"/>
        <v>6.8280483334526507E-3</v>
      </c>
      <c r="P288" s="65">
        <f t="shared" si="273"/>
        <v>6.8807195337542556E-3</v>
      </c>
      <c r="Q288" s="65">
        <f t="shared" si="273"/>
        <v>6.9254825534874609E-3</v>
      </c>
      <c r="R288" s="65">
        <f t="shared" si="273"/>
        <v>6.9613297156911223E-3</v>
      </c>
      <c r="S288" s="65">
        <f t="shared" si="273"/>
        <v>6.9886826914631129E-3</v>
      </c>
      <c r="T288" s="65">
        <f t="shared" si="273"/>
        <v>7.0087893223673538E-3</v>
      </c>
      <c r="U288" s="65">
        <f t="shared" si="273"/>
        <v>7.0231652725880047E-3</v>
      </c>
      <c r="V288" s="65">
        <f t="shared" si="273"/>
        <v>7.0332406906573773E-3</v>
      </c>
      <c r="W288" s="65">
        <f t="shared" si="273"/>
        <v>7.0402034238269051E-3</v>
      </c>
      <c r="X288" s="65">
        <f t="shared" si="273"/>
        <v>7.0449683691011155E-3</v>
      </c>
      <c r="Y288" s="65">
        <f t="shared" si="273"/>
        <v>7.0482074938987135E-3</v>
      </c>
      <c r="Z288" s="65">
        <f t="shared" si="273"/>
        <v>7.0503993736061943E-3</v>
      </c>
      <c r="AA288" s="65">
        <f t="shared" si="273"/>
        <v>7.0518780179452279E-3</v>
      </c>
      <c r="AB288" s="65">
        <f t="shared" si="273"/>
        <v>7.0528734339689834E-3</v>
      </c>
      <c r="AC288" s="65">
        <f t="shared" si="273"/>
        <v>7.0535426020101408E-3</v>
      </c>
    </row>
    <row r="289" spans="1:29" x14ac:dyDescent="0.25">
      <c r="A289" s="30" t="str">
        <f t="shared" si="272"/>
        <v>Residual value (vehicle)</v>
      </c>
      <c r="B289" s="68">
        <f>((1+B249)^B256)*B249/(((1+B249)^B256)-1)*(B246)/B261/(B258)</f>
        <v>-1.6030702191455165E-3</v>
      </c>
      <c r="C289" s="68">
        <f t="shared" ref="C289:AC289" si="274">((1+C249)^C256)*C249/(((1+C249)^C256)-1)*(C246)/C261/(C258)</f>
        <v>-1.5999491968461362E-3</v>
      </c>
      <c r="D289" s="68">
        <f t="shared" si="274"/>
        <v>-1.5955177925851443E-3</v>
      </c>
      <c r="E289" s="68">
        <f t="shared" si="274"/>
        <v>-1.5892544284929931E-3</v>
      </c>
      <c r="F289" s="68">
        <f t="shared" si="274"/>
        <v>-1.5804607783080616E-3</v>
      </c>
      <c r="G289" s="68">
        <f t="shared" si="274"/>
        <v>-1.5682344123571401E-3</v>
      </c>
      <c r="H289" s="68">
        <f t="shared" si="274"/>
        <v>-1.5514725220276864E-3</v>
      </c>
      <c r="I289" s="68">
        <f t="shared" si="274"/>
        <v>-1.5289463375564535E-3</v>
      </c>
      <c r="J289" s="68">
        <f t="shared" si="274"/>
        <v>-1.4995002627137552E-3</v>
      </c>
      <c r="K289" s="68">
        <f t="shared" si="274"/>
        <v>-1.4624179084820098E-3</v>
      </c>
      <c r="L289" s="68">
        <f t="shared" si="274"/>
        <v>-1.4179201478530595E-3</v>
      </c>
      <c r="M289" s="68">
        <f t="shared" si="274"/>
        <v>-1.3676032524712327E-3</v>
      </c>
      <c r="N289" s="68">
        <f t="shared" si="274"/>
        <v>-1.314483912461665E-3</v>
      </c>
      <c r="O289" s="68">
        <f t="shared" si="274"/>
        <v>-1.2624098617065465E-3</v>
      </c>
      <c r="P289" s="68">
        <f t="shared" si="274"/>
        <v>-1.2150057814351016E-3</v>
      </c>
      <c r="Q289" s="68">
        <f t="shared" si="274"/>
        <v>-1.1747190636752177E-3</v>
      </c>
      <c r="R289" s="68">
        <f t="shared" si="274"/>
        <v>-1.1424566176919215E-3</v>
      </c>
      <c r="S289" s="68">
        <f t="shared" si="274"/>
        <v>-1.1178389394971308E-3</v>
      </c>
      <c r="T289" s="68">
        <f t="shared" si="274"/>
        <v>-1.0997429716833142E-3</v>
      </c>
      <c r="U289" s="68">
        <f t="shared" si="274"/>
        <v>-1.0868046164847279E-3</v>
      </c>
      <c r="V289" s="68">
        <f t="shared" si="274"/>
        <v>-1.0777367402222927E-3</v>
      </c>
      <c r="W289" s="68">
        <f t="shared" si="274"/>
        <v>-1.0714702803697167E-3</v>
      </c>
      <c r="X289" s="68">
        <f t="shared" si="274"/>
        <v>-1.0671818296229272E-3</v>
      </c>
      <c r="Y289" s="68">
        <f t="shared" si="274"/>
        <v>-1.06426661730509E-3</v>
      </c>
      <c r="Z289" s="68">
        <f t="shared" si="274"/>
        <v>-1.0622939255683576E-3</v>
      </c>
      <c r="AA289" s="68">
        <f t="shared" si="274"/>
        <v>-1.0609631456632278E-3</v>
      </c>
      <c r="AB289" s="68">
        <f t="shared" si="274"/>
        <v>-1.0600672712418476E-3</v>
      </c>
      <c r="AC289" s="68">
        <f t="shared" si="274"/>
        <v>-1.0594650200048046E-3</v>
      </c>
    </row>
    <row r="290" spans="1:29" x14ac:dyDescent="0.25">
      <c r="A290" s="30" t="str">
        <f t="shared" si="272"/>
        <v>Capex costumization</v>
      </c>
      <c r="B290" s="66">
        <f>((1+B249)^B257)*B249/(((1+B249)^B257)-1)*(B247)/B261/(B258)</f>
        <v>1.552776665375814E-3</v>
      </c>
      <c r="C290" s="66">
        <f t="shared" ref="C290:AC290" si="275">((1+C249)^C257)*C249/(((1+C249)^C257)-1)*(C247)/C261/(C258)</f>
        <v>1.552776665375814E-3</v>
      </c>
      <c r="D290" s="66">
        <f t="shared" si="275"/>
        <v>1.552776665375814E-3</v>
      </c>
      <c r="E290" s="66">
        <f t="shared" si="275"/>
        <v>1.552776665375814E-3</v>
      </c>
      <c r="F290" s="66">
        <f t="shared" si="275"/>
        <v>1.552776665375814E-3</v>
      </c>
      <c r="G290" s="66">
        <f t="shared" si="275"/>
        <v>1.552776665375814E-3</v>
      </c>
      <c r="H290" s="66">
        <f t="shared" si="275"/>
        <v>1.552776665375814E-3</v>
      </c>
      <c r="I290" s="66">
        <f t="shared" si="275"/>
        <v>1.552776665375814E-3</v>
      </c>
      <c r="J290" s="66">
        <f t="shared" si="275"/>
        <v>1.552776665375814E-3</v>
      </c>
      <c r="K290" s="66">
        <f t="shared" si="275"/>
        <v>1.552776665375814E-3</v>
      </c>
      <c r="L290" s="66">
        <f t="shared" si="275"/>
        <v>1.552776665375814E-3</v>
      </c>
      <c r="M290" s="66">
        <f t="shared" si="275"/>
        <v>1.552776665375814E-3</v>
      </c>
      <c r="N290" s="66">
        <f t="shared" si="275"/>
        <v>1.552776665375814E-3</v>
      </c>
      <c r="O290" s="66">
        <f t="shared" si="275"/>
        <v>1.552776665375814E-3</v>
      </c>
      <c r="P290" s="66">
        <f t="shared" si="275"/>
        <v>1.552776665375814E-3</v>
      </c>
      <c r="Q290" s="66">
        <f t="shared" si="275"/>
        <v>1.552776665375814E-3</v>
      </c>
      <c r="R290" s="66">
        <f t="shared" si="275"/>
        <v>1.552776665375814E-3</v>
      </c>
      <c r="S290" s="66">
        <f t="shared" si="275"/>
        <v>1.552776665375814E-3</v>
      </c>
      <c r="T290" s="66">
        <f t="shared" si="275"/>
        <v>1.552776665375814E-3</v>
      </c>
      <c r="U290" s="66">
        <f t="shared" si="275"/>
        <v>1.552776665375814E-3</v>
      </c>
      <c r="V290" s="66">
        <f t="shared" si="275"/>
        <v>1.552776665375814E-3</v>
      </c>
      <c r="W290" s="66">
        <f t="shared" si="275"/>
        <v>1.552776665375814E-3</v>
      </c>
      <c r="X290" s="66">
        <f t="shared" si="275"/>
        <v>1.552776665375814E-3</v>
      </c>
      <c r="Y290" s="66">
        <f t="shared" si="275"/>
        <v>1.552776665375814E-3</v>
      </c>
      <c r="Z290" s="66">
        <f t="shared" si="275"/>
        <v>1.552776665375814E-3</v>
      </c>
      <c r="AA290" s="66">
        <f t="shared" si="275"/>
        <v>1.552776665375814E-3</v>
      </c>
      <c r="AB290" s="66">
        <f t="shared" si="275"/>
        <v>1.552776665375814E-3</v>
      </c>
      <c r="AC290" s="66">
        <f t="shared" si="275"/>
        <v>1.552776665375814E-3</v>
      </c>
    </row>
    <row r="291" spans="1:29" x14ac:dyDescent="0.25">
      <c r="A291" s="30" t="str">
        <f t="shared" si="272"/>
        <v>Residual value (costumization)</v>
      </c>
      <c r="B291" s="69">
        <f>((1+B249)^B257)*B249/(((1+B249)^B257)-1)*(B248)/B261/(B258)</f>
        <v>-3.8819416634395349E-4</v>
      </c>
      <c r="C291" s="69">
        <f t="shared" ref="C291:AC291" si="276">((1+C249)^C257)*C249/(((1+C249)^C257)-1)*(C248)/C261/(C258)</f>
        <v>-3.8819416634395349E-4</v>
      </c>
      <c r="D291" s="69">
        <f t="shared" si="276"/>
        <v>-3.8819416634395349E-4</v>
      </c>
      <c r="E291" s="69">
        <f t="shared" si="276"/>
        <v>-3.8819416634395349E-4</v>
      </c>
      <c r="F291" s="69">
        <f t="shared" si="276"/>
        <v>-3.8819416634395349E-4</v>
      </c>
      <c r="G291" s="69">
        <f t="shared" si="276"/>
        <v>-3.8819416634395349E-4</v>
      </c>
      <c r="H291" s="69">
        <f t="shared" si="276"/>
        <v>-3.8819416634395349E-4</v>
      </c>
      <c r="I291" s="69">
        <f t="shared" si="276"/>
        <v>-3.8819416634395349E-4</v>
      </c>
      <c r="J291" s="69">
        <f t="shared" si="276"/>
        <v>-3.8819416634395349E-4</v>
      </c>
      <c r="K291" s="69">
        <f t="shared" si="276"/>
        <v>-3.8819416634395349E-4</v>
      </c>
      <c r="L291" s="69">
        <f t="shared" si="276"/>
        <v>-3.8819416634395349E-4</v>
      </c>
      <c r="M291" s="69">
        <f t="shared" si="276"/>
        <v>-3.8819416634395349E-4</v>
      </c>
      <c r="N291" s="69">
        <f t="shared" si="276"/>
        <v>-3.8819416634395349E-4</v>
      </c>
      <c r="O291" s="69">
        <f t="shared" si="276"/>
        <v>-3.8819416634395349E-4</v>
      </c>
      <c r="P291" s="69">
        <f t="shared" si="276"/>
        <v>-3.8819416634395349E-4</v>
      </c>
      <c r="Q291" s="69">
        <f t="shared" si="276"/>
        <v>-3.8819416634395349E-4</v>
      </c>
      <c r="R291" s="69">
        <f t="shared" si="276"/>
        <v>-3.8819416634395349E-4</v>
      </c>
      <c r="S291" s="69">
        <f t="shared" si="276"/>
        <v>-3.8819416634395349E-4</v>
      </c>
      <c r="T291" s="69">
        <f t="shared" si="276"/>
        <v>-3.8819416634395349E-4</v>
      </c>
      <c r="U291" s="69">
        <f t="shared" si="276"/>
        <v>-3.8819416634395349E-4</v>
      </c>
      <c r="V291" s="69">
        <f t="shared" si="276"/>
        <v>-3.8819416634395349E-4</v>
      </c>
      <c r="W291" s="69">
        <f t="shared" si="276"/>
        <v>-3.8819416634395349E-4</v>
      </c>
      <c r="X291" s="69">
        <f t="shared" si="276"/>
        <v>-3.8819416634395349E-4</v>
      </c>
      <c r="Y291" s="69">
        <f t="shared" si="276"/>
        <v>-3.8819416634395349E-4</v>
      </c>
      <c r="Z291" s="69">
        <f t="shared" si="276"/>
        <v>-3.8819416634395349E-4</v>
      </c>
      <c r="AA291" s="69">
        <f t="shared" si="276"/>
        <v>-3.8819416634395349E-4</v>
      </c>
      <c r="AB291" s="69">
        <f t="shared" si="276"/>
        <v>-3.8819416634395349E-4</v>
      </c>
      <c r="AC291" s="69">
        <f t="shared" si="276"/>
        <v>-3.8819416634395349E-4</v>
      </c>
    </row>
    <row r="292" spans="1:29" x14ac:dyDescent="0.25">
      <c r="A292" s="30" t="str">
        <f t="shared" si="272"/>
        <v>Opex fix (admin, crew, insurance)</v>
      </c>
      <c r="B292" s="66">
        <f>B250/B261/(B258)</f>
        <v>2.6666666666666665E-2</v>
      </c>
      <c r="C292" s="66">
        <f t="shared" ref="C292:AC292" si="277">C250/C261/(C258)</f>
        <v>2.6666666666666665E-2</v>
      </c>
      <c r="D292" s="66">
        <f t="shared" si="277"/>
        <v>2.6666666666666665E-2</v>
      </c>
      <c r="E292" s="66">
        <f t="shared" si="277"/>
        <v>2.6666666666666665E-2</v>
      </c>
      <c r="F292" s="66">
        <f t="shared" si="277"/>
        <v>2.6666666666666665E-2</v>
      </c>
      <c r="G292" s="66">
        <f t="shared" si="277"/>
        <v>2.6666666666666665E-2</v>
      </c>
      <c r="H292" s="66">
        <f t="shared" si="277"/>
        <v>2.6666666666666665E-2</v>
      </c>
      <c r="I292" s="66">
        <f t="shared" si="277"/>
        <v>2.6666666666666665E-2</v>
      </c>
      <c r="J292" s="66">
        <f t="shared" si="277"/>
        <v>2.6666666666666665E-2</v>
      </c>
      <c r="K292" s="66">
        <f t="shared" si="277"/>
        <v>2.6666666666666665E-2</v>
      </c>
      <c r="L292" s="66">
        <f t="shared" si="277"/>
        <v>2.6666666666666665E-2</v>
      </c>
      <c r="M292" s="66">
        <f t="shared" si="277"/>
        <v>2.6666666666666665E-2</v>
      </c>
      <c r="N292" s="66">
        <f t="shared" si="277"/>
        <v>2.6666666666666665E-2</v>
      </c>
      <c r="O292" s="66">
        <f t="shared" si="277"/>
        <v>2.6666666666666665E-2</v>
      </c>
      <c r="P292" s="66">
        <f t="shared" si="277"/>
        <v>2.6666666666666665E-2</v>
      </c>
      <c r="Q292" s="66">
        <f t="shared" si="277"/>
        <v>2.6666666666666665E-2</v>
      </c>
      <c r="R292" s="66">
        <f t="shared" si="277"/>
        <v>2.6666666666666665E-2</v>
      </c>
      <c r="S292" s="66">
        <f t="shared" si="277"/>
        <v>2.6666666666666665E-2</v>
      </c>
      <c r="T292" s="66">
        <f t="shared" si="277"/>
        <v>2.6666666666666665E-2</v>
      </c>
      <c r="U292" s="66">
        <f t="shared" si="277"/>
        <v>2.6666666666666665E-2</v>
      </c>
      <c r="V292" s="66">
        <f t="shared" si="277"/>
        <v>2.6666666666666665E-2</v>
      </c>
      <c r="W292" s="66">
        <f t="shared" si="277"/>
        <v>2.6666666666666665E-2</v>
      </c>
      <c r="X292" s="66">
        <f t="shared" si="277"/>
        <v>2.6666666666666665E-2</v>
      </c>
      <c r="Y292" s="66">
        <f t="shared" si="277"/>
        <v>2.6666666666666665E-2</v>
      </c>
      <c r="Z292" s="66">
        <f t="shared" si="277"/>
        <v>2.6666666666666665E-2</v>
      </c>
      <c r="AA292" s="66">
        <f t="shared" si="277"/>
        <v>2.6666666666666665E-2</v>
      </c>
      <c r="AB292" s="66">
        <f t="shared" si="277"/>
        <v>2.6666666666666665E-2</v>
      </c>
      <c r="AC292" s="66">
        <f t="shared" si="277"/>
        <v>2.6666666666666665E-2</v>
      </c>
    </row>
    <row r="293" spans="1:29" x14ac:dyDescent="0.25">
      <c r="A293" s="30" t="str">
        <f t="shared" si="272"/>
        <v>Opex maintenance &amp; repair</v>
      </c>
      <c r="B293" s="66">
        <f>B251/B261/(B258)</f>
        <v>7.619047619047619E-3</v>
      </c>
      <c r="C293" s="66">
        <f t="shared" ref="C293:AC293" si="278">C251/C261/(C258)</f>
        <v>7.619047619047619E-3</v>
      </c>
      <c r="D293" s="66">
        <f t="shared" si="278"/>
        <v>7.619047619047619E-3</v>
      </c>
      <c r="E293" s="66">
        <f t="shared" si="278"/>
        <v>7.619047619047619E-3</v>
      </c>
      <c r="F293" s="66">
        <f t="shared" si="278"/>
        <v>7.619047619047619E-3</v>
      </c>
      <c r="G293" s="66">
        <f t="shared" si="278"/>
        <v>7.619047619047619E-3</v>
      </c>
      <c r="H293" s="66">
        <f t="shared" si="278"/>
        <v>7.619047619047619E-3</v>
      </c>
      <c r="I293" s="66">
        <f t="shared" si="278"/>
        <v>7.619047619047619E-3</v>
      </c>
      <c r="J293" s="66">
        <f t="shared" si="278"/>
        <v>7.619047619047619E-3</v>
      </c>
      <c r="K293" s="66">
        <f t="shared" si="278"/>
        <v>7.619047619047619E-3</v>
      </c>
      <c r="L293" s="66">
        <f t="shared" si="278"/>
        <v>7.619047619047619E-3</v>
      </c>
      <c r="M293" s="66">
        <f t="shared" si="278"/>
        <v>7.619047619047619E-3</v>
      </c>
      <c r="N293" s="66">
        <f t="shared" si="278"/>
        <v>7.619047619047619E-3</v>
      </c>
      <c r="O293" s="66">
        <f t="shared" si="278"/>
        <v>7.619047619047619E-3</v>
      </c>
      <c r="P293" s="66">
        <f t="shared" si="278"/>
        <v>7.619047619047619E-3</v>
      </c>
      <c r="Q293" s="66">
        <f t="shared" si="278"/>
        <v>7.619047619047619E-3</v>
      </c>
      <c r="R293" s="66">
        <f t="shared" si="278"/>
        <v>7.619047619047619E-3</v>
      </c>
      <c r="S293" s="66">
        <f t="shared" si="278"/>
        <v>7.619047619047619E-3</v>
      </c>
      <c r="T293" s="66">
        <f t="shared" si="278"/>
        <v>7.619047619047619E-3</v>
      </c>
      <c r="U293" s="66">
        <f t="shared" si="278"/>
        <v>7.619047619047619E-3</v>
      </c>
      <c r="V293" s="66">
        <f t="shared" si="278"/>
        <v>7.619047619047619E-3</v>
      </c>
      <c r="W293" s="66">
        <f t="shared" si="278"/>
        <v>7.619047619047619E-3</v>
      </c>
      <c r="X293" s="66">
        <f t="shared" si="278"/>
        <v>7.619047619047619E-3</v>
      </c>
      <c r="Y293" s="66">
        <f t="shared" si="278"/>
        <v>7.619047619047619E-3</v>
      </c>
      <c r="Z293" s="66">
        <f t="shared" si="278"/>
        <v>7.619047619047619E-3</v>
      </c>
      <c r="AA293" s="66">
        <f t="shared" si="278"/>
        <v>7.619047619047619E-3</v>
      </c>
      <c r="AB293" s="66">
        <f t="shared" si="278"/>
        <v>7.619047619047619E-3</v>
      </c>
      <c r="AC293" s="66">
        <f t="shared" si="278"/>
        <v>7.619047619047619E-3</v>
      </c>
    </row>
    <row r="294" spans="1:29" x14ac:dyDescent="0.25">
      <c r="A294" s="30" t="str">
        <f t="shared" si="272"/>
        <v>Opex var (mode-fees)</v>
      </c>
      <c r="B294" s="66">
        <f>B252*B261/B261/(B258)</f>
        <v>4.4000000000000003E-3</v>
      </c>
      <c r="C294" s="66">
        <f t="shared" ref="C294:AC294" si="279">C252*C261/C261/(C258)</f>
        <v>4.4000000000000003E-3</v>
      </c>
      <c r="D294" s="66">
        <f t="shared" si="279"/>
        <v>4.4000000000000003E-3</v>
      </c>
      <c r="E294" s="66">
        <f t="shared" si="279"/>
        <v>4.4000000000000003E-3</v>
      </c>
      <c r="F294" s="66">
        <f t="shared" si="279"/>
        <v>4.4000000000000003E-3</v>
      </c>
      <c r="G294" s="66">
        <f t="shared" si="279"/>
        <v>4.4000000000000003E-3</v>
      </c>
      <c r="H294" s="66">
        <f t="shared" si="279"/>
        <v>4.4000000000000003E-3</v>
      </c>
      <c r="I294" s="66">
        <f t="shared" si="279"/>
        <v>4.4000000000000003E-3</v>
      </c>
      <c r="J294" s="66">
        <f t="shared" si="279"/>
        <v>4.4000000000000003E-3</v>
      </c>
      <c r="K294" s="66">
        <f t="shared" si="279"/>
        <v>4.4000000000000003E-3</v>
      </c>
      <c r="L294" s="66">
        <f t="shared" si="279"/>
        <v>4.4000000000000003E-3</v>
      </c>
      <c r="M294" s="66">
        <f t="shared" si="279"/>
        <v>4.4000000000000003E-3</v>
      </c>
      <c r="N294" s="66">
        <f t="shared" si="279"/>
        <v>4.4000000000000003E-3</v>
      </c>
      <c r="O294" s="66">
        <f t="shared" si="279"/>
        <v>4.4000000000000003E-3</v>
      </c>
      <c r="P294" s="66">
        <f t="shared" si="279"/>
        <v>4.4000000000000003E-3</v>
      </c>
      <c r="Q294" s="66">
        <f t="shared" si="279"/>
        <v>4.4000000000000003E-3</v>
      </c>
      <c r="R294" s="66">
        <f t="shared" si="279"/>
        <v>4.4000000000000003E-3</v>
      </c>
      <c r="S294" s="66">
        <f t="shared" si="279"/>
        <v>4.4000000000000003E-3</v>
      </c>
      <c r="T294" s="66">
        <f t="shared" si="279"/>
        <v>4.4000000000000003E-3</v>
      </c>
      <c r="U294" s="66">
        <f t="shared" si="279"/>
        <v>4.4000000000000003E-3</v>
      </c>
      <c r="V294" s="66">
        <f t="shared" si="279"/>
        <v>4.4000000000000003E-3</v>
      </c>
      <c r="W294" s="66">
        <f t="shared" si="279"/>
        <v>4.4000000000000003E-3</v>
      </c>
      <c r="X294" s="66">
        <f t="shared" si="279"/>
        <v>4.4000000000000003E-3</v>
      </c>
      <c r="Y294" s="66">
        <f t="shared" si="279"/>
        <v>4.4000000000000003E-3</v>
      </c>
      <c r="Z294" s="66">
        <f t="shared" si="279"/>
        <v>4.4000000000000003E-3</v>
      </c>
      <c r="AA294" s="66">
        <f t="shared" si="279"/>
        <v>4.4000000000000003E-3</v>
      </c>
      <c r="AB294" s="66">
        <f t="shared" si="279"/>
        <v>4.4000000000000003E-3</v>
      </c>
      <c r="AC294" s="66">
        <f t="shared" si="279"/>
        <v>4.4000000000000003E-3</v>
      </c>
    </row>
    <row r="295" spans="1:29" x14ac:dyDescent="0.25">
      <c r="A295" s="30" t="str">
        <f t="shared" si="272"/>
        <v>Fuel Cost</v>
      </c>
      <c r="B295" s="66">
        <f>B253*B254*B261/B261/(B258)</f>
        <v>6.7070446072256132E-3</v>
      </c>
      <c r="C295" s="66">
        <f t="shared" ref="C295:AC295" si="280">C253*C254*C261/C261/(C258)</f>
        <v>6.2383899519048869E-3</v>
      </c>
      <c r="D295" s="66">
        <f t="shared" si="280"/>
        <v>5.7682676226686715E-3</v>
      </c>
      <c r="E295" s="66">
        <f t="shared" si="280"/>
        <v>5.2963783728964976E-3</v>
      </c>
      <c r="F295" s="66">
        <f t="shared" si="280"/>
        <v>4.8224563194910804E-3</v>
      </c>
      <c r="G295" s="66">
        <f t="shared" si="280"/>
        <v>4.3463592625720502E-3</v>
      </c>
      <c r="H295" s="66">
        <f t="shared" si="280"/>
        <v>3.8682210124682632E-3</v>
      </c>
      <c r="I295" s="66">
        <f t="shared" si="280"/>
        <v>3.3886772403356725E-3</v>
      </c>
      <c r="J295" s="66">
        <f t="shared" si="280"/>
        <v>3.2887713624833326E-3</v>
      </c>
      <c r="K295" s="66">
        <f t="shared" si="280"/>
        <v>3.1822037422542925E-3</v>
      </c>
      <c r="L295" s="66">
        <f t="shared" si="280"/>
        <v>3.0697030540941771E-3</v>
      </c>
      <c r="M295" s="66">
        <f t="shared" si="280"/>
        <v>2.9533510719556709E-3</v>
      </c>
      <c r="N295" s="66">
        <f t="shared" si="280"/>
        <v>2.8364754866592084E-3</v>
      </c>
      <c r="O295" s="66">
        <f t="shared" si="280"/>
        <v>2.7229316046217021E-3</v>
      </c>
      <c r="P295" s="66">
        <f t="shared" si="280"/>
        <v>2.6160286431830167E-3</v>
      </c>
      <c r="Q295" s="66">
        <f t="shared" si="280"/>
        <v>2.5176858785376259E-3</v>
      </c>
      <c r="R295" s="66">
        <f t="shared" si="280"/>
        <v>2.4282394709368637E-3</v>
      </c>
      <c r="S295" s="66">
        <f t="shared" si="280"/>
        <v>2.346831759928703E-3</v>
      </c>
      <c r="T295" s="66">
        <f t="shared" si="280"/>
        <v>2.2720108236018318E-3</v>
      </c>
      <c r="U295" s="66">
        <f t="shared" si="280"/>
        <v>2.2022252939308358E-3</v>
      </c>
      <c r="V295" s="66">
        <f t="shared" si="280"/>
        <v>2.1361052859709116E-3</v>
      </c>
      <c r="W295" s="66">
        <f t="shared" si="280"/>
        <v>2.0725637450827623E-3</v>
      </c>
      <c r="X295" s="66">
        <f t="shared" si="280"/>
        <v>2.0107933454626002E-3</v>
      </c>
      <c r="Y295" s="66">
        <f t="shared" si="280"/>
        <v>1.9502196620704993E-3</v>
      </c>
      <c r="Z295" s="66">
        <f t="shared" si="280"/>
        <v>1.8904453943583482E-3</v>
      </c>
      <c r="AA295" s="66">
        <f t="shared" si="280"/>
        <v>1.8312009100605105E-3</v>
      </c>
      <c r="AB295" s="66">
        <f t="shared" si="280"/>
        <v>1.772305552898025E-3</v>
      </c>
      <c r="AC295" s="66">
        <f t="shared" si="280"/>
        <v>1.7136393401738417E-3</v>
      </c>
    </row>
    <row r="296" spans="1:29" x14ac:dyDescent="0.25">
      <c r="A296" s="59" t="str">
        <f>A259</f>
        <v>Market failure (av. utilization)</v>
      </c>
      <c r="B296" s="66">
        <f t="shared" ref="B296:AC296" si="281">B285/B259-B285/B258</f>
        <v>3.2896210730224702E-2</v>
      </c>
      <c r="C296" s="66">
        <f t="shared" si="281"/>
        <v>3.2604908358843665E-2</v>
      </c>
      <c r="D296" s="66">
        <f t="shared" si="281"/>
        <v>3.2314424725551773E-2</v>
      </c>
      <c r="E296" s="66">
        <f t="shared" si="281"/>
        <v>3.2025265352180358E-2</v>
      </c>
      <c r="F296" s="66">
        <f t="shared" si="281"/>
        <v>3.1738192031680573E-2</v>
      </c>
      <c r="G296" s="66">
        <f t="shared" si="281"/>
        <v>3.1454316176084171E-2</v>
      </c>
      <c r="H296" s="66">
        <f t="shared" si="281"/>
        <v>3.1175189891771218E-2</v>
      </c>
      <c r="I296" s="66">
        <f t="shared" si="281"/>
        <v>3.0902849319590156E-2</v>
      </c>
      <c r="J296" s="66">
        <f t="shared" si="281"/>
        <v>3.0879055486543946E-2</v>
      </c>
      <c r="K296" s="66">
        <f t="shared" si="281"/>
        <v>3.0861225120123438E-2</v>
      </c>
      <c r="L296" s="66">
        <f t="shared" si="281"/>
        <v>3.0849523638231569E-2</v>
      </c>
      <c r="M296" s="66">
        <f t="shared" si="281"/>
        <v>3.0843138957113776E-2</v>
      </c>
      <c r="N296" s="66">
        <f t="shared" si="281"/>
        <v>3.0840154002000006E-2</v>
      </c>
      <c r="O296" s="66">
        <f t="shared" si="281"/>
        <v>3.0837878274353331E-2</v>
      </c>
      <c r="P296" s="66">
        <f t="shared" si="281"/>
        <v>3.0833573866851087E-2</v>
      </c>
      <c r="Q296" s="66">
        <f t="shared" si="281"/>
        <v>3.0825193480168114E-2</v>
      </c>
      <c r="R296" s="66">
        <f t="shared" si="281"/>
        <v>3.081174201966811E-2</v>
      </c>
      <c r="S296" s="66">
        <f t="shared" si="281"/>
        <v>3.0793183875011586E-2</v>
      </c>
      <c r="T296" s="66">
        <f t="shared" si="281"/>
        <v>3.0770098401301675E-2</v>
      </c>
      <c r="U296" s="66">
        <f t="shared" si="281"/>
        <v>3.0743323064273395E-2</v>
      </c>
      <c r="V296" s="66">
        <f t="shared" si="281"/>
        <v>3.0713707310029592E-2</v>
      </c>
      <c r="W296" s="66">
        <f t="shared" si="281"/>
        <v>3.0681988655940122E-2</v>
      </c>
      <c r="X296" s="66">
        <f t="shared" si="281"/>
        <v>3.0648754023236309E-2</v>
      </c>
      <c r="Y296" s="66">
        <f t="shared" si="281"/>
        <v>3.0614446174496664E-2</v>
      </c>
      <c r="Z296" s="66">
        <f t="shared" si="281"/>
        <v>3.0579387887719051E-2</v>
      </c>
      <c r="AA296" s="66">
        <f t="shared" si="281"/>
        <v>3.0543809262902608E-2</v>
      </c>
      <c r="AB296" s="66">
        <f t="shared" si="281"/>
        <v>3.0507871916493845E-2</v>
      </c>
      <c r="AC296" s="66">
        <f t="shared" si="281"/>
        <v>3.0471688242364847E-2</v>
      </c>
    </row>
    <row r="297" spans="1:29" x14ac:dyDescent="0.25">
      <c r="A297" s="59" t="str">
        <f>A260</f>
        <v>Payload loss (fuel)</v>
      </c>
      <c r="B297" s="66">
        <f>B285/(B258-B260)-B285/B258</f>
        <v>0</v>
      </c>
      <c r="C297" s="66">
        <f t="shared" ref="C297:AC297" si="282">C285/(C258-C260)-C285/C258</f>
        <v>0</v>
      </c>
      <c r="D297" s="66">
        <f t="shared" si="282"/>
        <v>0</v>
      </c>
      <c r="E297" s="66">
        <f t="shared" si="282"/>
        <v>0</v>
      </c>
      <c r="F297" s="66">
        <f t="shared" si="282"/>
        <v>0</v>
      </c>
      <c r="G297" s="66">
        <f t="shared" si="282"/>
        <v>0</v>
      </c>
      <c r="H297" s="66">
        <f t="shared" si="282"/>
        <v>0</v>
      </c>
      <c r="I297" s="66">
        <f t="shared" si="282"/>
        <v>0</v>
      </c>
      <c r="J297" s="66">
        <f t="shared" si="282"/>
        <v>0</v>
      </c>
      <c r="K297" s="66">
        <f t="shared" si="282"/>
        <v>0</v>
      </c>
      <c r="L297" s="66">
        <f t="shared" si="282"/>
        <v>0</v>
      </c>
      <c r="M297" s="66">
        <f t="shared" si="282"/>
        <v>0</v>
      </c>
      <c r="N297" s="66">
        <f t="shared" si="282"/>
        <v>0</v>
      </c>
      <c r="O297" s="66">
        <f t="shared" si="282"/>
        <v>0</v>
      </c>
      <c r="P297" s="66">
        <f t="shared" si="282"/>
        <v>0</v>
      </c>
      <c r="Q297" s="66">
        <f t="shared" si="282"/>
        <v>0</v>
      </c>
      <c r="R297" s="66">
        <f t="shared" si="282"/>
        <v>0</v>
      </c>
      <c r="S297" s="66">
        <f t="shared" si="282"/>
        <v>0</v>
      </c>
      <c r="T297" s="66">
        <f t="shared" si="282"/>
        <v>0</v>
      </c>
      <c r="U297" s="66">
        <f t="shared" si="282"/>
        <v>0</v>
      </c>
      <c r="V297" s="66">
        <f t="shared" si="282"/>
        <v>0</v>
      </c>
      <c r="W297" s="66">
        <f t="shared" si="282"/>
        <v>0</v>
      </c>
      <c r="X297" s="66">
        <f t="shared" si="282"/>
        <v>0</v>
      </c>
      <c r="Y297" s="66">
        <f t="shared" si="282"/>
        <v>0</v>
      </c>
      <c r="Z297" s="66">
        <f t="shared" si="282"/>
        <v>0</v>
      </c>
      <c r="AA297" s="66">
        <f t="shared" si="282"/>
        <v>0</v>
      </c>
      <c r="AB297" s="66">
        <f t="shared" si="282"/>
        <v>0</v>
      </c>
      <c r="AC297" s="66">
        <f t="shared" si="282"/>
        <v>0</v>
      </c>
    </row>
    <row r="298" spans="1:29" ht="15.75" thickBot="1" x14ac:dyDescent="0.3">
      <c r="A298" s="59" t="str">
        <f>A235</f>
        <v>Emission Cost</v>
      </c>
      <c r="B298" s="68">
        <f>B255*B261/B261/(B258)</f>
        <v>0</v>
      </c>
      <c r="C298" s="68">
        <f t="shared" ref="C298:AC298" si="283">C255*C261/C261/(C258)</f>
        <v>0</v>
      </c>
      <c r="D298" s="68">
        <f t="shared" si="283"/>
        <v>0</v>
      </c>
      <c r="E298" s="68">
        <f t="shared" si="283"/>
        <v>0</v>
      </c>
      <c r="F298" s="68">
        <f t="shared" si="283"/>
        <v>0</v>
      </c>
      <c r="G298" s="68">
        <f t="shared" si="283"/>
        <v>0</v>
      </c>
      <c r="H298" s="68">
        <f t="shared" si="283"/>
        <v>0</v>
      </c>
      <c r="I298" s="68">
        <f t="shared" si="283"/>
        <v>0</v>
      </c>
      <c r="J298" s="68">
        <f t="shared" si="283"/>
        <v>0</v>
      </c>
      <c r="K298" s="68">
        <f t="shared" si="283"/>
        <v>0</v>
      </c>
      <c r="L298" s="68">
        <f t="shared" si="283"/>
        <v>0</v>
      </c>
      <c r="M298" s="68">
        <f t="shared" si="283"/>
        <v>0</v>
      </c>
      <c r="N298" s="68">
        <f t="shared" si="283"/>
        <v>0</v>
      </c>
      <c r="O298" s="68">
        <f t="shared" si="283"/>
        <v>0</v>
      </c>
      <c r="P298" s="68">
        <f t="shared" si="283"/>
        <v>0</v>
      </c>
      <c r="Q298" s="68">
        <f t="shared" si="283"/>
        <v>0</v>
      </c>
      <c r="R298" s="68">
        <f t="shared" si="283"/>
        <v>0</v>
      </c>
      <c r="S298" s="68">
        <f t="shared" si="283"/>
        <v>0</v>
      </c>
      <c r="T298" s="68">
        <f t="shared" si="283"/>
        <v>0</v>
      </c>
      <c r="U298" s="68">
        <f t="shared" si="283"/>
        <v>0</v>
      </c>
      <c r="V298" s="68">
        <f t="shared" si="283"/>
        <v>0</v>
      </c>
      <c r="W298" s="68">
        <f t="shared" si="283"/>
        <v>0</v>
      </c>
      <c r="X298" s="68">
        <f t="shared" si="283"/>
        <v>0</v>
      </c>
      <c r="Y298" s="68">
        <f t="shared" si="283"/>
        <v>0</v>
      </c>
      <c r="Z298" s="68">
        <f t="shared" si="283"/>
        <v>0</v>
      </c>
      <c r="AA298" s="68">
        <f t="shared" si="283"/>
        <v>0</v>
      </c>
      <c r="AB298" s="68">
        <f t="shared" si="283"/>
        <v>0</v>
      </c>
      <c r="AC298" s="68">
        <f t="shared" si="283"/>
        <v>0</v>
      </c>
    </row>
    <row r="299" spans="1:29" ht="15.75" thickBot="1" x14ac:dyDescent="0.3">
      <c r="A299" s="31" t="s">
        <v>210</v>
      </c>
      <c r="B299" s="67">
        <f>B288+B289+B290+B291+B292+B293+B294+B295+B296+B297+B298</f>
        <v>8.4300018728238085E-2</v>
      </c>
      <c r="C299" s="67">
        <f t="shared" ref="C299:AC299" si="284">C288+C289+C290+C291+C292+C293+C294+C295+C296+C297+C298</f>
        <v>8.3546650526390556E-2</v>
      </c>
      <c r="D299" s="67">
        <f t="shared" si="284"/>
        <v>8.2795399750635656E-2</v>
      </c>
      <c r="E299" s="67">
        <f t="shared" si="284"/>
        <v>8.204757378501995E-2</v>
      </c>
      <c r="F299" s="67">
        <f t="shared" si="284"/>
        <v>8.1305142783727385E-2</v>
      </c>
      <c r="G299" s="67">
        <f t="shared" si="284"/>
        <v>8.0570981088219445E-2</v>
      </c>
      <c r="H299" s="67">
        <f t="shared" si="284"/>
        <v>7.9849102766720442E-2</v>
      </c>
      <c r="I299" s="67">
        <f t="shared" si="284"/>
        <v>7.9144773700734944E-2</v>
      </c>
      <c r="J299" s="67">
        <f t="shared" si="284"/>
        <v>7.9083237925615418E-2</v>
      </c>
      <c r="K299" s="67">
        <f t="shared" si="284"/>
        <v>7.9037124909010659E-2</v>
      </c>
      <c r="L299" s="67">
        <f t="shared" si="284"/>
        <v>7.9006862455842028E-2</v>
      </c>
      <c r="M299" s="67">
        <f t="shared" si="284"/>
        <v>7.8990350349502914E-2</v>
      </c>
      <c r="N299" s="67">
        <f t="shared" si="284"/>
        <v>7.8982630638001761E-2</v>
      </c>
      <c r="O299" s="67">
        <f t="shared" si="284"/>
        <v>7.8976745135467291E-2</v>
      </c>
      <c r="P299" s="67">
        <f t="shared" si="284"/>
        <v>7.8965613047099398E-2</v>
      </c>
      <c r="Q299" s="67">
        <f t="shared" si="284"/>
        <v>7.8943939633264126E-2</v>
      </c>
      <c r="R299" s="67">
        <f t="shared" si="284"/>
        <v>7.890915137335032E-2</v>
      </c>
      <c r="S299" s="67">
        <f t="shared" si="284"/>
        <v>7.8861156171652416E-2</v>
      </c>
      <c r="T299" s="67">
        <f t="shared" si="284"/>
        <v>7.8801452360333701E-2</v>
      </c>
      <c r="U299" s="67">
        <f t="shared" si="284"/>
        <v>7.8732205799053656E-2</v>
      </c>
      <c r="V299" s="67">
        <f t="shared" si="284"/>
        <v>7.8655613331181734E-2</v>
      </c>
      <c r="W299" s="67">
        <f t="shared" si="284"/>
        <v>7.8573582329226205E-2</v>
      </c>
      <c r="X299" s="67">
        <f t="shared" si="284"/>
        <v>7.8487630692923249E-2</v>
      </c>
      <c r="Y299" s="67">
        <f t="shared" si="284"/>
        <v>7.839890349790693E-2</v>
      </c>
      <c r="Z299" s="67">
        <f t="shared" si="284"/>
        <v>7.830823551486138E-2</v>
      </c>
      <c r="AA299" s="67">
        <f t="shared" si="284"/>
        <v>7.8216221829991273E-2</v>
      </c>
      <c r="AB299" s="67">
        <f t="shared" si="284"/>
        <v>7.8123280416865143E-2</v>
      </c>
      <c r="AC299" s="67">
        <f t="shared" si="284"/>
        <v>7.8029701949290181E-2</v>
      </c>
    </row>
    <row r="301" spans="1:29" x14ac:dyDescent="0.25">
      <c r="B301" s="40"/>
    </row>
    <row r="324" spans="1:44" s="3" customFormat="1" ht="21" x14ac:dyDescent="0.35">
      <c r="A324" s="2" t="str">
        <f>'Parameter Input'!A114</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Input'!L77</f>
        <v>105000</v>
      </c>
      <c r="C334" s="42">
        <f>'Parameter Input'!M77</f>
        <v>115000</v>
      </c>
      <c r="D334" s="1" t="s">
        <v>15</v>
      </c>
      <c r="L334" s="51">
        <f>'Parameter Input'!O77</f>
        <v>12</v>
      </c>
      <c r="M334" s="52">
        <v>0</v>
      </c>
      <c r="N334" s="52">
        <v>1</v>
      </c>
      <c r="O334" s="52">
        <f>'Parameter Input'!P77</f>
        <v>0.9</v>
      </c>
      <c r="P334" s="53">
        <f>'Parameter Input'!Q77</f>
        <v>0.4</v>
      </c>
      <c r="Q334" s="4">
        <f t="shared" ref="Q334:AR343" si="285">$N334+($M334-$N334)*((1/(1+EXP(-$P334*(Q$9-$L334)))^$O334))</f>
        <v>0.9867978615748374</v>
      </c>
      <c r="R334" s="4">
        <f t="shared" si="285"/>
        <v>0.98114509762858249</v>
      </c>
      <c r="S334" s="4">
        <f t="shared" si="285"/>
        <v>0.97311898315872036</v>
      </c>
      <c r="T334" s="4">
        <f t="shared" si="285"/>
        <v>0.96177484161592774</v>
      </c>
      <c r="U334" s="4">
        <f t="shared" si="285"/>
        <v>0.94584787155511363</v>
      </c>
      <c r="V334" s="4">
        <f t="shared" si="285"/>
        <v>0.92370360150141495</v>
      </c>
      <c r="W334" s="4">
        <f t="shared" si="285"/>
        <v>0.89334463567658451</v>
      </c>
      <c r="X334" s="4">
        <f t="shared" si="285"/>
        <v>0.85254543874327005</v>
      </c>
      <c r="Y334" s="4">
        <f t="shared" si="285"/>
        <v>0.79921300652623883</v>
      </c>
      <c r="Z334" s="4">
        <f t="shared" si="285"/>
        <v>0.73204982249993378</v>
      </c>
      <c r="AA334" s="4">
        <f t="shared" si="285"/>
        <v>0.65145592958786691</v>
      </c>
      <c r="AB334" s="4">
        <f t="shared" si="285"/>
        <v>0.56032247880849573</v>
      </c>
      <c r="AC334" s="4">
        <f t="shared" si="285"/>
        <v>0.46411326873185343</v>
      </c>
      <c r="AD334" s="4">
        <f t="shared" si="285"/>
        <v>0.36979727595523937</v>
      </c>
      <c r="AE334" s="4">
        <f t="shared" si="285"/>
        <v>0.28393948637231203</v>
      </c>
      <c r="AF334" s="4">
        <f t="shared" si="285"/>
        <v>0.21097259161117732</v>
      </c>
      <c r="AG334" s="4">
        <f t="shared" si="285"/>
        <v>0.15253917653798199</v>
      </c>
      <c r="AH334" s="4">
        <f t="shared" si="285"/>
        <v>0.10795188737709993</v>
      </c>
      <c r="AI334" s="4">
        <f t="shared" si="285"/>
        <v>7.5176653938091809E-2</v>
      </c>
      <c r="AJ334" s="4">
        <f t="shared" si="285"/>
        <v>5.1742836177502194E-2</v>
      </c>
      <c r="AK334" s="4">
        <f t="shared" si="285"/>
        <v>3.5319190625345942E-2</v>
      </c>
      <c r="AL334" s="4">
        <f t="shared" si="285"/>
        <v>2.3969442072658165E-2</v>
      </c>
      <c r="AM334" s="4">
        <f t="shared" si="285"/>
        <v>1.6202243558389728E-2</v>
      </c>
      <c r="AN334" s="4">
        <f t="shared" si="285"/>
        <v>1.0922240564108399E-2</v>
      </c>
      <c r="AO334" s="4">
        <f t="shared" si="285"/>
        <v>7.3493212906090566E-3</v>
      </c>
      <c r="AP334" s="4">
        <f t="shared" si="285"/>
        <v>4.9390262185057265E-3</v>
      </c>
      <c r="AQ334" s="4">
        <f t="shared" si="285"/>
        <v>3.3164275492956197E-3</v>
      </c>
      <c r="AR334" s="4">
        <f t="shared" si="285"/>
        <v>2.2256362146679809E-3</v>
      </c>
    </row>
    <row r="335" spans="1:44" x14ac:dyDescent="0.25">
      <c r="A335" s="24" t="s">
        <v>28</v>
      </c>
      <c r="B335" s="60">
        <f>'Parameter Input'!L78</f>
        <v>-26250</v>
      </c>
      <c r="C335" s="61">
        <f>'Parameter Input'!M78</f>
        <v>-17250</v>
      </c>
      <c r="D335" s="1" t="s">
        <v>15</v>
      </c>
      <c r="L335" s="54">
        <f>'Parameter Input'!O78</f>
        <v>12</v>
      </c>
      <c r="M335" s="37">
        <v>0</v>
      </c>
      <c r="N335" s="37">
        <v>1</v>
      </c>
      <c r="O335" s="37">
        <f>'Parameter Input'!P78</f>
        <v>0.9</v>
      </c>
      <c r="P335" s="55">
        <f>'Parameter Input'!Q78</f>
        <v>0.4</v>
      </c>
      <c r="Q335" s="4">
        <f t="shared" si="285"/>
        <v>0.9867978615748374</v>
      </c>
      <c r="R335" s="4">
        <f t="shared" si="285"/>
        <v>0.98114509762858249</v>
      </c>
      <c r="S335" s="4">
        <f t="shared" si="285"/>
        <v>0.97311898315872036</v>
      </c>
      <c r="T335" s="4">
        <f t="shared" si="285"/>
        <v>0.96177484161592774</v>
      </c>
      <c r="U335" s="4">
        <f t="shared" si="285"/>
        <v>0.94584787155511363</v>
      </c>
      <c r="V335" s="4">
        <f t="shared" si="285"/>
        <v>0.92370360150141495</v>
      </c>
      <c r="W335" s="4">
        <f t="shared" si="285"/>
        <v>0.89334463567658451</v>
      </c>
      <c r="X335" s="4">
        <f t="shared" si="285"/>
        <v>0.85254543874327005</v>
      </c>
      <c r="Y335" s="4">
        <f t="shared" si="285"/>
        <v>0.79921300652623883</v>
      </c>
      <c r="Z335" s="4">
        <f t="shared" si="285"/>
        <v>0.73204982249993378</v>
      </c>
      <c r="AA335" s="4">
        <f t="shared" si="285"/>
        <v>0.65145592958786691</v>
      </c>
      <c r="AB335" s="4">
        <f t="shared" si="285"/>
        <v>0.56032247880849573</v>
      </c>
      <c r="AC335" s="4">
        <f t="shared" si="285"/>
        <v>0.46411326873185343</v>
      </c>
      <c r="AD335" s="4">
        <f t="shared" si="285"/>
        <v>0.36979727595523937</v>
      </c>
      <c r="AE335" s="4">
        <f t="shared" si="285"/>
        <v>0.28393948637231203</v>
      </c>
      <c r="AF335" s="4">
        <f t="shared" si="285"/>
        <v>0.21097259161117732</v>
      </c>
      <c r="AG335" s="4">
        <f t="shared" si="285"/>
        <v>0.15253917653798199</v>
      </c>
      <c r="AH335" s="4">
        <f t="shared" si="285"/>
        <v>0.10795188737709993</v>
      </c>
      <c r="AI335" s="4">
        <f t="shared" si="285"/>
        <v>7.5176653938091809E-2</v>
      </c>
      <c r="AJ335" s="4">
        <f t="shared" si="285"/>
        <v>5.1742836177502194E-2</v>
      </c>
      <c r="AK335" s="4">
        <f t="shared" si="285"/>
        <v>3.5319190625345942E-2</v>
      </c>
      <c r="AL335" s="4">
        <f t="shared" si="285"/>
        <v>2.3969442072658165E-2</v>
      </c>
      <c r="AM335" s="4">
        <f t="shared" si="285"/>
        <v>1.6202243558389728E-2</v>
      </c>
      <c r="AN335" s="4">
        <f t="shared" si="285"/>
        <v>1.0922240564108399E-2</v>
      </c>
      <c r="AO335" s="4">
        <f t="shared" si="285"/>
        <v>7.3493212906090566E-3</v>
      </c>
      <c r="AP335" s="4">
        <f t="shared" si="285"/>
        <v>4.9390262185057265E-3</v>
      </c>
      <c r="AQ335" s="4">
        <f t="shared" si="285"/>
        <v>3.3164275492956197E-3</v>
      </c>
      <c r="AR335" s="4">
        <f t="shared" si="285"/>
        <v>2.2256362146679809E-3</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85"/>
        <v>0.9867978615748374</v>
      </c>
      <c r="R336" s="4">
        <f t="shared" si="285"/>
        <v>0.98114509762858249</v>
      </c>
      <c r="S336" s="4">
        <f t="shared" si="285"/>
        <v>0.97311898315872036</v>
      </c>
      <c r="T336" s="4">
        <f t="shared" si="285"/>
        <v>0.96177484161592774</v>
      </c>
      <c r="U336" s="4">
        <f t="shared" si="285"/>
        <v>0.94584787155511363</v>
      </c>
      <c r="V336" s="4">
        <f t="shared" si="285"/>
        <v>0.92370360150141495</v>
      </c>
      <c r="W336" s="4">
        <f t="shared" si="285"/>
        <v>0.89334463567658451</v>
      </c>
      <c r="X336" s="4">
        <f t="shared" si="285"/>
        <v>0.85254543874327005</v>
      </c>
      <c r="Y336" s="4">
        <f t="shared" si="285"/>
        <v>0.79921300652623883</v>
      </c>
      <c r="Z336" s="4">
        <f t="shared" si="285"/>
        <v>0.73204982249993378</v>
      </c>
      <c r="AA336" s="4">
        <f t="shared" si="285"/>
        <v>0.65145592958786691</v>
      </c>
      <c r="AB336" s="4">
        <f t="shared" si="285"/>
        <v>0.56032247880849573</v>
      </c>
      <c r="AC336" s="4">
        <f t="shared" si="285"/>
        <v>0.46411326873185343</v>
      </c>
      <c r="AD336" s="4">
        <f t="shared" si="285"/>
        <v>0.36979727595523937</v>
      </c>
      <c r="AE336" s="4">
        <f t="shared" si="285"/>
        <v>0.28393948637231203</v>
      </c>
      <c r="AF336" s="4">
        <f t="shared" si="285"/>
        <v>0.21097259161117732</v>
      </c>
      <c r="AG336" s="4">
        <f t="shared" si="285"/>
        <v>0.15253917653798199</v>
      </c>
      <c r="AH336" s="4">
        <f t="shared" si="285"/>
        <v>0.10795188737709993</v>
      </c>
      <c r="AI336" s="4">
        <f t="shared" si="285"/>
        <v>7.5176653938091809E-2</v>
      </c>
      <c r="AJ336" s="4">
        <f t="shared" si="285"/>
        <v>5.1742836177502194E-2</v>
      </c>
      <c r="AK336" s="4">
        <f t="shared" si="285"/>
        <v>3.5319190625345942E-2</v>
      </c>
      <c r="AL336" s="4">
        <f t="shared" si="285"/>
        <v>2.3969442072658165E-2</v>
      </c>
      <c r="AM336" s="4">
        <f t="shared" si="285"/>
        <v>1.6202243558389728E-2</v>
      </c>
      <c r="AN336" s="4">
        <f t="shared" si="285"/>
        <v>1.0922240564108399E-2</v>
      </c>
      <c r="AO336" s="4">
        <f t="shared" si="285"/>
        <v>7.3493212906090566E-3</v>
      </c>
      <c r="AP336" s="4">
        <f t="shared" si="285"/>
        <v>4.9390262185057265E-3</v>
      </c>
      <c r="AQ336" s="4">
        <f t="shared" si="285"/>
        <v>3.3164275492956197E-3</v>
      </c>
      <c r="AR336" s="4">
        <f t="shared" si="285"/>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85"/>
        <v>0.9867978615748374</v>
      </c>
      <c r="R337" s="4">
        <f t="shared" si="285"/>
        <v>0.98114509762858249</v>
      </c>
      <c r="S337" s="4">
        <f t="shared" si="285"/>
        <v>0.97311898315872036</v>
      </c>
      <c r="T337" s="4">
        <f t="shared" si="285"/>
        <v>0.96177484161592774</v>
      </c>
      <c r="U337" s="4">
        <f t="shared" si="285"/>
        <v>0.94584787155511363</v>
      </c>
      <c r="V337" s="4">
        <f t="shared" si="285"/>
        <v>0.92370360150141495</v>
      </c>
      <c r="W337" s="4">
        <f t="shared" si="285"/>
        <v>0.89334463567658451</v>
      </c>
      <c r="X337" s="4">
        <f t="shared" si="285"/>
        <v>0.85254543874327005</v>
      </c>
      <c r="Y337" s="4">
        <f t="shared" si="285"/>
        <v>0.79921300652623883</v>
      </c>
      <c r="Z337" s="4">
        <f t="shared" si="285"/>
        <v>0.73204982249993378</v>
      </c>
      <c r="AA337" s="4">
        <f t="shared" si="285"/>
        <v>0.65145592958786691</v>
      </c>
      <c r="AB337" s="4">
        <f t="shared" si="285"/>
        <v>0.56032247880849573</v>
      </c>
      <c r="AC337" s="4">
        <f t="shared" si="285"/>
        <v>0.46411326873185343</v>
      </c>
      <c r="AD337" s="4">
        <f t="shared" si="285"/>
        <v>0.36979727595523937</v>
      </c>
      <c r="AE337" s="4">
        <f t="shared" si="285"/>
        <v>0.28393948637231203</v>
      </c>
      <c r="AF337" s="4">
        <f t="shared" si="285"/>
        <v>0.21097259161117732</v>
      </c>
      <c r="AG337" s="4">
        <f t="shared" si="285"/>
        <v>0.15253917653798199</v>
      </c>
      <c r="AH337" s="4">
        <f t="shared" si="285"/>
        <v>0.10795188737709993</v>
      </c>
      <c r="AI337" s="4">
        <f t="shared" si="285"/>
        <v>7.5176653938091809E-2</v>
      </c>
      <c r="AJ337" s="4">
        <f t="shared" si="285"/>
        <v>5.1742836177502194E-2</v>
      </c>
      <c r="AK337" s="4">
        <f t="shared" si="285"/>
        <v>3.5319190625345942E-2</v>
      </c>
      <c r="AL337" s="4">
        <f t="shared" si="285"/>
        <v>2.3969442072658165E-2</v>
      </c>
      <c r="AM337" s="4">
        <f t="shared" si="285"/>
        <v>1.6202243558389728E-2</v>
      </c>
      <c r="AN337" s="4">
        <f t="shared" si="285"/>
        <v>1.0922240564108399E-2</v>
      </c>
      <c r="AO337" s="4">
        <f t="shared" si="285"/>
        <v>7.3493212906090566E-3</v>
      </c>
      <c r="AP337" s="4">
        <f t="shared" si="285"/>
        <v>4.9390262185057265E-3</v>
      </c>
      <c r="AQ337" s="4">
        <f t="shared" si="285"/>
        <v>3.3164275492956197E-3</v>
      </c>
      <c r="AR337" s="4">
        <f t="shared" si="285"/>
        <v>2.2256362146679809E-3</v>
      </c>
    </row>
    <row r="338" spans="1:44" x14ac:dyDescent="0.25">
      <c r="A338" s="24" t="s">
        <v>79</v>
      </c>
      <c r="B338" s="60">
        <f>'Parameter Input'!L84</f>
        <v>0.06</v>
      </c>
      <c r="C338" s="61">
        <f>'Parameter Input'!M84</f>
        <v>0.06</v>
      </c>
      <c r="D338" s="1" t="s">
        <v>57</v>
      </c>
      <c r="L338" s="54">
        <f>'Parameter Input'!O84</f>
        <v>12</v>
      </c>
      <c r="M338" s="37">
        <v>0</v>
      </c>
      <c r="N338" s="37">
        <v>1</v>
      </c>
      <c r="O338" s="37">
        <f>'Parameter Input'!P84</f>
        <v>0.9</v>
      </c>
      <c r="P338" s="55">
        <f>'Parameter Input'!Q84</f>
        <v>0.4</v>
      </c>
      <c r="Q338" s="4">
        <f t="shared" si="285"/>
        <v>0.9867978615748374</v>
      </c>
      <c r="R338" s="4">
        <f t="shared" si="285"/>
        <v>0.98114509762858249</v>
      </c>
      <c r="S338" s="4">
        <f t="shared" si="285"/>
        <v>0.97311898315872036</v>
      </c>
      <c r="T338" s="4">
        <f t="shared" si="285"/>
        <v>0.96177484161592774</v>
      </c>
      <c r="U338" s="4">
        <f t="shared" si="285"/>
        <v>0.94584787155511363</v>
      </c>
      <c r="V338" s="4">
        <f t="shared" si="285"/>
        <v>0.92370360150141495</v>
      </c>
      <c r="W338" s="4">
        <f t="shared" si="285"/>
        <v>0.89334463567658451</v>
      </c>
      <c r="X338" s="4">
        <f t="shared" si="285"/>
        <v>0.85254543874327005</v>
      </c>
      <c r="Y338" s="4">
        <f t="shared" si="285"/>
        <v>0.79921300652623883</v>
      </c>
      <c r="Z338" s="4">
        <f t="shared" si="285"/>
        <v>0.73204982249993378</v>
      </c>
      <c r="AA338" s="4">
        <f t="shared" si="285"/>
        <v>0.65145592958786691</v>
      </c>
      <c r="AB338" s="4">
        <f t="shared" si="285"/>
        <v>0.56032247880849573</v>
      </c>
      <c r="AC338" s="4">
        <f t="shared" si="285"/>
        <v>0.46411326873185343</v>
      </c>
      <c r="AD338" s="4">
        <f t="shared" si="285"/>
        <v>0.36979727595523937</v>
      </c>
      <c r="AE338" s="4">
        <f t="shared" si="285"/>
        <v>0.28393948637231203</v>
      </c>
      <c r="AF338" s="4">
        <f t="shared" si="285"/>
        <v>0.21097259161117732</v>
      </c>
      <c r="AG338" s="4">
        <f t="shared" si="285"/>
        <v>0.15253917653798199</v>
      </c>
      <c r="AH338" s="4">
        <f t="shared" si="285"/>
        <v>0.10795188737709993</v>
      </c>
      <c r="AI338" s="4">
        <f t="shared" si="285"/>
        <v>7.5176653938091809E-2</v>
      </c>
      <c r="AJ338" s="4">
        <f t="shared" si="285"/>
        <v>5.1742836177502194E-2</v>
      </c>
      <c r="AK338" s="4">
        <f t="shared" si="285"/>
        <v>3.5319190625345942E-2</v>
      </c>
      <c r="AL338" s="4">
        <f t="shared" si="285"/>
        <v>2.3969442072658165E-2</v>
      </c>
      <c r="AM338" s="4">
        <f t="shared" si="285"/>
        <v>1.6202243558389728E-2</v>
      </c>
      <c r="AN338" s="4">
        <f t="shared" si="285"/>
        <v>1.0922240564108399E-2</v>
      </c>
      <c r="AO338" s="4">
        <f t="shared" si="285"/>
        <v>7.3493212906090566E-3</v>
      </c>
      <c r="AP338" s="4">
        <f t="shared" si="285"/>
        <v>4.9390262185057265E-3</v>
      </c>
      <c r="AQ338" s="4">
        <f t="shared" si="285"/>
        <v>3.3164275492956197E-3</v>
      </c>
      <c r="AR338" s="4">
        <f t="shared" si="285"/>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85"/>
        <v>0.9867978615748374</v>
      </c>
      <c r="R339" s="4">
        <f t="shared" si="285"/>
        <v>0.98114509762858249</v>
      </c>
      <c r="S339" s="4">
        <f t="shared" si="285"/>
        <v>0.97311898315872036</v>
      </c>
      <c r="T339" s="4">
        <f t="shared" si="285"/>
        <v>0.96177484161592774</v>
      </c>
      <c r="U339" s="4">
        <f t="shared" si="285"/>
        <v>0.94584787155511363</v>
      </c>
      <c r="V339" s="4">
        <f t="shared" si="285"/>
        <v>0.92370360150141495</v>
      </c>
      <c r="W339" s="4">
        <f t="shared" si="285"/>
        <v>0.89334463567658451</v>
      </c>
      <c r="X339" s="4">
        <f t="shared" si="285"/>
        <v>0.85254543874327005</v>
      </c>
      <c r="Y339" s="4">
        <f t="shared" si="285"/>
        <v>0.79921300652623883</v>
      </c>
      <c r="Z339" s="4">
        <f t="shared" si="285"/>
        <v>0.73204982249993378</v>
      </c>
      <c r="AA339" s="4">
        <f t="shared" si="285"/>
        <v>0.65145592958786691</v>
      </c>
      <c r="AB339" s="4">
        <f t="shared" si="285"/>
        <v>0.56032247880849573</v>
      </c>
      <c r="AC339" s="4">
        <f t="shared" si="285"/>
        <v>0.46411326873185343</v>
      </c>
      <c r="AD339" s="4">
        <f t="shared" si="285"/>
        <v>0.36979727595523937</v>
      </c>
      <c r="AE339" s="4">
        <f t="shared" si="285"/>
        <v>0.28393948637231203</v>
      </c>
      <c r="AF339" s="4">
        <f t="shared" si="285"/>
        <v>0.21097259161117732</v>
      </c>
      <c r="AG339" s="4">
        <f t="shared" si="285"/>
        <v>0.15253917653798199</v>
      </c>
      <c r="AH339" s="4">
        <f t="shared" si="285"/>
        <v>0.10795188737709993</v>
      </c>
      <c r="AI339" s="4">
        <f t="shared" si="285"/>
        <v>7.5176653938091809E-2</v>
      </c>
      <c r="AJ339" s="4">
        <f t="shared" si="285"/>
        <v>5.1742836177502194E-2</v>
      </c>
      <c r="AK339" s="4">
        <f t="shared" si="285"/>
        <v>3.5319190625345942E-2</v>
      </c>
      <c r="AL339" s="4">
        <f t="shared" si="285"/>
        <v>2.3969442072658165E-2</v>
      </c>
      <c r="AM339" s="4">
        <f t="shared" si="285"/>
        <v>1.6202243558389728E-2</v>
      </c>
      <c r="AN339" s="4">
        <f t="shared" si="285"/>
        <v>1.0922240564108399E-2</v>
      </c>
      <c r="AO339" s="4">
        <f t="shared" si="285"/>
        <v>7.3493212906090566E-3</v>
      </c>
      <c r="AP339" s="4">
        <f t="shared" si="285"/>
        <v>4.9390262185057265E-3</v>
      </c>
      <c r="AQ339" s="4">
        <f t="shared" si="285"/>
        <v>3.3164275492956197E-3</v>
      </c>
      <c r="AR339" s="4">
        <f t="shared" si="285"/>
        <v>2.2256362146679809E-3</v>
      </c>
    </row>
    <row r="340" spans="1:44" x14ac:dyDescent="0.25">
      <c r="A340" s="24" t="s">
        <v>52</v>
      </c>
      <c r="B340" s="60">
        <f>'Parameter Input'!L80</f>
        <v>20000</v>
      </c>
      <c r="C340" s="61">
        <f>'Parameter Input'!M80</f>
        <v>20000</v>
      </c>
      <c r="D340" s="1" t="s">
        <v>38</v>
      </c>
      <c r="L340" s="54">
        <f>'Parameter Input'!O80</f>
        <v>12</v>
      </c>
      <c r="M340" s="37">
        <v>0</v>
      </c>
      <c r="N340" s="37">
        <v>1</v>
      </c>
      <c r="O340" s="37">
        <f>'Parameter Input'!P80</f>
        <v>0.9</v>
      </c>
      <c r="P340" s="55">
        <f>'Parameter Input'!Q80</f>
        <v>0.4</v>
      </c>
      <c r="Q340" s="4">
        <f t="shared" si="285"/>
        <v>0.9867978615748374</v>
      </c>
      <c r="R340" s="4">
        <f t="shared" si="285"/>
        <v>0.98114509762858249</v>
      </c>
      <c r="S340" s="4">
        <f t="shared" si="285"/>
        <v>0.97311898315872036</v>
      </c>
      <c r="T340" s="4">
        <f t="shared" si="285"/>
        <v>0.96177484161592774</v>
      </c>
      <c r="U340" s="4">
        <f t="shared" si="285"/>
        <v>0.94584787155511363</v>
      </c>
      <c r="V340" s="4">
        <f t="shared" si="285"/>
        <v>0.92370360150141495</v>
      </c>
      <c r="W340" s="4">
        <f t="shared" si="285"/>
        <v>0.89334463567658451</v>
      </c>
      <c r="X340" s="4">
        <f t="shared" si="285"/>
        <v>0.85254543874327005</v>
      </c>
      <c r="Y340" s="4">
        <f t="shared" si="285"/>
        <v>0.79921300652623883</v>
      </c>
      <c r="Z340" s="4">
        <f t="shared" si="285"/>
        <v>0.73204982249993378</v>
      </c>
      <c r="AA340" s="4">
        <f t="shared" si="285"/>
        <v>0.65145592958786691</v>
      </c>
      <c r="AB340" s="4">
        <f t="shared" si="285"/>
        <v>0.56032247880849573</v>
      </c>
      <c r="AC340" s="4">
        <f t="shared" si="285"/>
        <v>0.46411326873185343</v>
      </c>
      <c r="AD340" s="4">
        <f t="shared" si="285"/>
        <v>0.36979727595523937</v>
      </c>
      <c r="AE340" s="4">
        <f t="shared" si="285"/>
        <v>0.28393948637231203</v>
      </c>
      <c r="AF340" s="4">
        <f t="shared" si="285"/>
        <v>0.21097259161117732</v>
      </c>
      <c r="AG340" s="4">
        <f t="shared" si="285"/>
        <v>0.15253917653798199</v>
      </c>
      <c r="AH340" s="4">
        <f t="shared" si="285"/>
        <v>0.10795188737709993</v>
      </c>
      <c r="AI340" s="4">
        <f t="shared" si="285"/>
        <v>7.5176653938091809E-2</v>
      </c>
      <c r="AJ340" s="4">
        <f t="shared" si="285"/>
        <v>5.1742836177502194E-2</v>
      </c>
      <c r="AK340" s="4">
        <f t="shared" si="285"/>
        <v>3.5319190625345942E-2</v>
      </c>
      <c r="AL340" s="4">
        <f t="shared" si="285"/>
        <v>2.3969442072658165E-2</v>
      </c>
      <c r="AM340" s="4">
        <f t="shared" si="285"/>
        <v>1.6202243558389728E-2</v>
      </c>
      <c r="AN340" s="4">
        <f t="shared" si="285"/>
        <v>1.0922240564108399E-2</v>
      </c>
      <c r="AO340" s="4">
        <f t="shared" si="285"/>
        <v>7.3493212906090566E-3</v>
      </c>
      <c r="AP340" s="4">
        <f t="shared" si="285"/>
        <v>4.9390262185057265E-3</v>
      </c>
      <c r="AQ340" s="4">
        <f t="shared" si="285"/>
        <v>3.3164275492956197E-3</v>
      </c>
      <c r="AR340" s="4">
        <f t="shared" si="285"/>
        <v>2.2256362146679809E-3</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85"/>
        <v>0.9867978615748374</v>
      </c>
      <c r="R341" s="4">
        <f t="shared" si="285"/>
        <v>0.98114509762858249</v>
      </c>
      <c r="S341" s="4">
        <f t="shared" si="285"/>
        <v>0.97311898315872036</v>
      </c>
      <c r="T341" s="4">
        <f t="shared" si="285"/>
        <v>0.96177484161592774</v>
      </c>
      <c r="U341" s="4">
        <f t="shared" si="285"/>
        <v>0.94584787155511363</v>
      </c>
      <c r="V341" s="4">
        <f t="shared" si="285"/>
        <v>0.92370360150141495</v>
      </c>
      <c r="W341" s="4">
        <f t="shared" si="285"/>
        <v>0.89334463567658451</v>
      </c>
      <c r="X341" s="4">
        <f t="shared" si="285"/>
        <v>0.85254543874327005</v>
      </c>
      <c r="Y341" s="4">
        <f t="shared" si="285"/>
        <v>0.79921300652623883</v>
      </c>
      <c r="Z341" s="4">
        <f t="shared" si="285"/>
        <v>0.73204982249993378</v>
      </c>
      <c r="AA341" s="4">
        <f t="shared" si="285"/>
        <v>0.65145592958786691</v>
      </c>
      <c r="AB341" s="4">
        <f t="shared" si="285"/>
        <v>0.56032247880849573</v>
      </c>
      <c r="AC341" s="4">
        <f t="shared" si="285"/>
        <v>0.46411326873185343</v>
      </c>
      <c r="AD341" s="4">
        <f t="shared" si="285"/>
        <v>0.36979727595523937</v>
      </c>
      <c r="AE341" s="4">
        <f t="shared" si="285"/>
        <v>0.28393948637231203</v>
      </c>
      <c r="AF341" s="4">
        <f t="shared" si="285"/>
        <v>0.21097259161117732</v>
      </c>
      <c r="AG341" s="4">
        <f t="shared" si="285"/>
        <v>0.15253917653798199</v>
      </c>
      <c r="AH341" s="4">
        <f t="shared" si="285"/>
        <v>0.10795188737709993</v>
      </c>
      <c r="AI341" s="4">
        <f t="shared" si="285"/>
        <v>7.5176653938091809E-2</v>
      </c>
      <c r="AJ341" s="4">
        <f t="shared" si="285"/>
        <v>5.1742836177502194E-2</v>
      </c>
      <c r="AK341" s="4">
        <f t="shared" si="285"/>
        <v>3.5319190625345942E-2</v>
      </c>
      <c r="AL341" s="4">
        <f t="shared" si="285"/>
        <v>2.3969442072658165E-2</v>
      </c>
      <c r="AM341" s="4">
        <f t="shared" si="285"/>
        <v>1.6202243558389728E-2</v>
      </c>
      <c r="AN341" s="4">
        <f t="shared" si="285"/>
        <v>1.0922240564108399E-2</v>
      </c>
      <c r="AO341" s="4">
        <f t="shared" si="285"/>
        <v>7.3493212906090566E-3</v>
      </c>
      <c r="AP341" s="4">
        <f t="shared" si="285"/>
        <v>4.9390262185057265E-3</v>
      </c>
      <c r="AQ341" s="4">
        <f t="shared" si="285"/>
        <v>3.3164275492956197E-3</v>
      </c>
      <c r="AR341" s="4">
        <f t="shared" si="285"/>
        <v>2.2256362146679809E-3</v>
      </c>
    </row>
    <row r="342" spans="1:44" x14ac:dyDescent="0.25">
      <c r="A342" s="24" t="s">
        <v>59</v>
      </c>
      <c r="B342" s="60">
        <f>'Parameter Input'!L81</f>
        <v>2.9</v>
      </c>
      <c r="C342" s="61">
        <f>'Parameter Input'!M81</f>
        <v>2.4</v>
      </c>
      <c r="D342" s="1" t="s">
        <v>60</v>
      </c>
      <c r="L342" s="54">
        <f>'Parameter Input'!O81</f>
        <v>12</v>
      </c>
      <c r="M342" s="37">
        <v>0</v>
      </c>
      <c r="N342" s="37">
        <v>1</v>
      </c>
      <c r="O342" s="37">
        <f>'Parameter Input'!P81</f>
        <v>0.9</v>
      </c>
      <c r="P342" s="55">
        <f>'Parameter Input'!Q81</f>
        <v>0.4</v>
      </c>
      <c r="Q342" s="4">
        <f t="shared" si="285"/>
        <v>0.9867978615748374</v>
      </c>
      <c r="R342" s="4">
        <f t="shared" si="285"/>
        <v>0.98114509762858249</v>
      </c>
      <c r="S342" s="4">
        <f t="shared" si="285"/>
        <v>0.97311898315872036</v>
      </c>
      <c r="T342" s="4">
        <f t="shared" si="285"/>
        <v>0.96177484161592774</v>
      </c>
      <c r="U342" s="4">
        <f t="shared" si="285"/>
        <v>0.94584787155511363</v>
      </c>
      <c r="V342" s="4">
        <f t="shared" si="285"/>
        <v>0.92370360150141495</v>
      </c>
      <c r="W342" s="4">
        <f t="shared" si="285"/>
        <v>0.89334463567658451</v>
      </c>
      <c r="X342" s="4">
        <f t="shared" si="285"/>
        <v>0.85254543874327005</v>
      </c>
      <c r="Y342" s="4">
        <f t="shared" si="285"/>
        <v>0.79921300652623883</v>
      </c>
      <c r="Z342" s="4">
        <f t="shared" si="285"/>
        <v>0.73204982249993378</v>
      </c>
      <c r="AA342" s="4">
        <f t="shared" si="285"/>
        <v>0.65145592958786691</v>
      </c>
      <c r="AB342" s="4">
        <f t="shared" si="285"/>
        <v>0.56032247880849573</v>
      </c>
      <c r="AC342" s="4">
        <f t="shared" si="285"/>
        <v>0.46411326873185343</v>
      </c>
      <c r="AD342" s="4">
        <f t="shared" si="285"/>
        <v>0.36979727595523937</v>
      </c>
      <c r="AE342" s="4">
        <f t="shared" si="285"/>
        <v>0.28393948637231203</v>
      </c>
      <c r="AF342" s="4">
        <f t="shared" si="285"/>
        <v>0.21097259161117732</v>
      </c>
      <c r="AG342" s="4">
        <f t="shared" si="285"/>
        <v>0.15253917653798199</v>
      </c>
      <c r="AH342" s="4">
        <f t="shared" si="285"/>
        <v>0.10795188737709993</v>
      </c>
      <c r="AI342" s="4">
        <f t="shared" si="285"/>
        <v>7.5176653938091809E-2</v>
      </c>
      <c r="AJ342" s="4">
        <f t="shared" si="285"/>
        <v>5.1742836177502194E-2</v>
      </c>
      <c r="AK342" s="4">
        <f t="shared" si="285"/>
        <v>3.5319190625345942E-2</v>
      </c>
      <c r="AL342" s="4">
        <f t="shared" si="285"/>
        <v>2.3969442072658165E-2</v>
      </c>
      <c r="AM342" s="4">
        <f t="shared" si="285"/>
        <v>1.6202243558389728E-2</v>
      </c>
      <c r="AN342" s="4">
        <f t="shared" si="285"/>
        <v>1.0922240564108399E-2</v>
      </c>
      <c r="AO342" s="4">
        <f t="shared" si="285"/>
        <v>7.3493212906090566E-3</v>
      </c>
      <c r="AP342" s="4">
        <f t="shared" si="285"/>
        <v>4.9390262185057265E-3</v>
      </c>
      <c r="AQ342" s="4">
        <f t="shared" si="285"/>
        <v>3.3164275492956197E-3</v>
      </c>
      <c r="AR342" s="4">
        <f t="shared" si="285"/>
        <v>2.2256362146679809E-3</v>
      </c>
    </row>
    <row r="343" spans="1:44" x14ac:dyDescent="0.25">
      <c r="A343" s="24" t="s">
        <v>67</v>
      </c>
      <c r="B343" s="60">
        <f>'Parameter Input'!L82</f>
        <v>0.1</v>
      </c>
      <c r="C343" s="61">
        <f>'Parameter Input'!M82</f>
        <v>0.1</v>
      </c>
      <c r="D343" s="1" t="s">
        <v>68</v>
      </c>
      <c r="L343" s="54">
        <f>'Parameter Input'!O82</f>
        <v>12</v>
      </c>
      <c r="M343" s="37">
        <v>0</v>
      </c>
      <c r="N343" s="37">
        <v>1</v>
      </c>
      <c r="O343" s="37">
        <f>'Parameter Input'!P82</f>
        <v>0.9</v>
      </c>
      <c r="P343" s="55">
        <f>'Parameter Input'!Q82</f>
        <v>0.4</v>
      </c>
      <c r="Q343" s="4">
        <f t="shared" si="285"/>
        <v>0.9867978615748374</v>
      </c>
      <c r="R343" s="4">
        <f t="shared" si="285"/>
        <v>0.98114509762858249</v>
      </c>
      <c r="S343" s="4">
        <f t="shared" si="285"/>
        <v>0.97311898315872036</v>
      </c>
      <c r="T343" s="4">
        <f t="shared" ref="T343:AI350" si="286">$N343+($M343-$N343)*((1/(1+EXP(-$P343*(T$9-$L343)))^$O343))</f>
        <v>0.96177484161592774</v>
      </c>
      <c r="U343" s="4">
        <f t="shared" si="286"/>
        <v>0.94584787155511363</v>
      </c>
      <c r="V343" s="4">
        <f t="shared" si="286"/>
        <v>0.92370360150141495</v>
      </c>
      <c r="W343" s="4">
        <f t="shared" si="286"/>
        <v>0.89334463567658451</v>
      </c>
      <c r="X343" s="4">
        <f t="shared" si="286"/>
        <v>0.85254543874327005</v>
      </c>
      <c r="Y343" s="4">
        <f t="shared" si="286"/>
        <v>0.79921300652623883</v>
      </c>
      <c r="Z343" s="4">
        <f t="shared" si="286"/>
        <v>0.73204982249993378</v>
      </c>
      <c r="AA343" s="4">
        <f t="shared" si="286"/>
        <v>0.65145592958786691</v>
      </c>
      <c r="AB343" s="4">
        <f t="shared" si="286"/>
        <v>0.56032247880849573</v>
      </c>
      <c r="AC343" s="4">
        <f t="shared" si="286"/>
        <v>0.46411326873185343</v>
      </c>
      <c r="AD343" s="4">
        <f t="shared" si="286"/>
        <v>0.36979727595523937</v>
      </c>
      <c r="AE343" s="4">
        <f t="shared" si="286"/>
        <v>0.28393948637231203</v>
      </c>
      <c r="AF343" s="4">
        <f t="shared" si="286"/>
        <v>0.21097259161117732</v>
      </c>
      <c r="AG343" s="4">
        <f t="shared" si="286"/>
        <v>0.15253917653798199</v>
      </c>
      <c r="AH343" s="4">
        <f t="shared" si="286"/>
        <v>0.10795188737709993</v>
      </c>
      <c r="AI343" s="4">
        <f t="shared" si="286"/>
        <v>7.5176653938091809E-2</v>
      </c>
      <c r="AJ343" s="4">
        <f t="shared" ref="AJ343:AR350" si="287">$N343+($M343-$N343)*((1/(1+EXP(-$P343*(AJ$9-$L343)))^$O343))</f>
        <v>5.1742836177502194E-2</v>
      </c>
      <c r="AK343" s="4">
        <f t="shared" si="287"/>
        <v>3.5319190625345942E-2</v>
      </c>
      <c r="AL343" s="4">
        <f t="shared" si="287"/>
        <v>2.3969442072658165E-2</v>
      </c>
      <c r="AM343" s="4">
        <f t="shared" si="287"/>
        <v>1.6202243558389728E-2</v>
      </c>
      <c r="AN343" s="4">
        <f t="shared" si="287"/>
        <v>1.0922240564108399E-2</v>
      </c>
      <c r="AO343" s="4">
        <f t="shared" si="287"/>
        <v>7.3493212906090566E-3</v>
      </c>
      <c r="AP343" s="4">
        <f t="shared" si="287"/>
        <v>4.9390262185057265E-3</v>
      </c>
      <c r="AQ343" s="4">
        <f t="shared" si="287"/>
        <v>3.3164275492956197E-3</v>
      </c>
      <c r="AR343" s="4">
        <f t="shared" si="287"/>
        <v>2.2256362146679809E-3</v>
      </c>
    </row>
    <row r="344" spans="1:44" x14ac:dyDescent="0.25">
      <c r="A344" s="24" t="s">
        <v>206</v>
      </c>
      <c r="B344" s="45">
        <f>'Parameter Input'!$L$85</f>
        <v>0</v>
      </c>
      <c r="C344" s="46">
        <f>'Parameter Input'!$M$85</f>
        <v>0</v>
      </c>
      <c r="D344" s="1" t="s">
        <v>76</v>
      </c>
      <c r="L344" s="54">
        <f>'Parameter Input'!$O$85</f>
        <v>17</v>
      </c>
      <c r="M344" s="37">
        <v>0</v>
      </c>
      <c r="N344" s="37">
        <v>1</v>
      </c>
      <c r="O344" s="37">
        <f>'Parameter Input'!$P$85</f>
        <v>0.9</v>
      </c>
      <c r="P344" s="55">
        <f>'Parameter Input'!$Q$85</f>
        <v>0.4</v>
      </c>
      <c r="Q344" s="4">
        <f t="shared" ref="Q344:AR344" si="288">$N344+($M344-$N344)*((1/(1+EXP(-$P344*(Q$9-$L344)))^$O344))</f>
        <v>0.99780374543478534</v>
      </c>
      <c r="R344" s="4">
        <f t="shared" si="288"/>
        <v>0.99685359315256394</v>
      </c>
      <c r="S344" s="4">
        <f t="shared" si="288"/>
        <v>0.99549347132349975</v>
      </c>
      <c r="T344" s="4">
        <f t="shared" si="288"/>
        <v>0.99354772139898062</v>
      </c>
      <c r="U344" s="4">
        <f t="shared" si="288"/>
        <v>0.99076681540580536</v>
      </c>
      <c r="V344" s="4">
        <f t="shared" si="288"/>
        <v>0.9867978615748374</v>
      </c>
      <c r="W344" s="4">
        <f t="shared" si="288"/>
        <v>0.98114509762858249</v>
      </c>
      <c r="X344" s="4">
        <f t="shared" si="288"/>
        <v>0.97311898315872036</v>
      </c>
      <c r="Y344" s="4">
        <f t="shared" si="288"/>
        <v>0.96177484161592774</v>
      </c>
      <c r="Z344" s="4">
        <f t="shared" si="288"/>
        <v>0.94584787155511363</v>
      </c>
      <c r="AA344" s="4">
        <f t="shared" si="288"/>
        <v>0.92370360150141495</v>
      </c>
      <c r="AB344" s="4">
        <f t="shared" si="288"/>
        <v>0.89334463567658451</v>
      </c>
      <c r="AC344" s="4">
        <f t="shared" si="288"/>
        <v>0.85254543874327005</v>
      </c>
      <c r="AD344" s="4">
        <f t="shared" si="288"/>
        <v>0.79921300652623883</v>
      </c>
      <c r="AE344" s="4">
        <f t="shared" si="288"/>
        <v>0.73204982249993378</v>
      </c>
      <c r="AF344" s="4">
        <f t="shared" si="288"/>
        <v>0.65145592958786691</v>
      </c>
      <c r="AG344" s="4">
        <f t="shared" si="288"/>
        <v>0.56032247880849573</v>
      </c>
      <c r="AH344" s="4">
        <f t="shared" si="288"/>
        <v>0.46411326873185343</v>
      </c>
      <c r="AI344" s="4">
        <f t="shared" si="288"/>
        <v>0.36979727595523937</v>
      </c>
      <c r="AJ344" s="4">
        <f t="shared" si="288"/>
        <v>0.28393948637231203</v>
      </c>
      <c r="AK344" s="4">
        <f t="shared" si="288"/>
        <v>0.21097259161117732</v>
      </c>
      <c r="AL344" s="4">
        <f t="shared" si="288"/>
        <v>0.15253917653798199</v>
      </c>
      <c r="AM344" s="4">
        <f t="shared" si="288"/>
        <v>0.10795188737709993</v>
      </c>
      <c r="AN344" s="4">
        <f t="shared" si="288"/>
        <v>7.5176653938091809E-2</v>
      </c>
      <c r="AO344" s="4">
        <f t="shared" si="288"/>
        <v>5.1742836177502194E-2</v>
      </c>
      <c r="AP344" s="4">
        <f t="shared" si="288"/>
        <v>3.5319190625345942E-2</v>
      </c>
      <c r="AQ344" s="4">
        <f t="shared" si="288"/>
        <v>2.3969442072658165E-2</v>
      </c>
      <c r="AR344" s="4">
        <f t="shared" si="288"/>
        <v>1.6202243558389728E-2</v>
      </c>
    </row>
    <row r="345" spans="1:44" x14ac:dyDescent="0.25">
      <c r="A345" s="24" t="s">
        <v>41</v>
      </c>
      <c r="B345" s="60">
        <f>'Parameter Input'!L79</f>
        <v>8</v>
      </c>
      <c r="C345" s="61">
        <f>'Parameter Input'!M79</f>
        <v>8</v>
      </c>
      <c r="D345" s="1" t="s">
        <v>42</v>
      </c>
      <c r="L345" s="54">
        <f>'Parameter Input'!O79</f>
        <v>12</v>
      </c>
      <c r="M345" s="37">
        <v>0</v>
      </c>
      <c r="N345" s="37">
        <v>1</v>
      </c>
      <c r="O345" s="37">
        <f>'Parameter Input'!P79</f>
        <v>0.9</v>
      </c>
      <c r="P345" s="55">
        <f>'Parameter Input'!Q79</f>
        <v>0.4</v>
      </c>
      <c r="Q345" s="4">
        <f t="shared" ref="Q345:AF350" si="289">$N345+($M345-$N345)*((1/(1+EXP(-$P345*(Q$9-$L345)))^$O345))</f>
        <v>0.9867978615748374</v>
      </c>
      <c r="R345" s="4">
        <f t="shared" si="289"/>
        <v>0.98114509762858249</v>
      </c>
      <c r="S345" s="4">
        <f t="shared" si="289"/>
        <v>0.97311898315872036</v>
      </c>
      <c r="T345" s="4">
        <f t="shared" si="289"/>
        <v>0.96177484161592774</v>
      </c>
      <c r="U345" s="4">
        <f t="shared" si="289"/>
        <v>0.94584787155511363</v>
      </c>
      <c r="V345" s="4">
        <f t="shared" si="289"/>
        <v>0.92370360150141495</v>
      </c>
      <c r="W345" s="4">
        <f t="shared" si="289"/>
        <v>0.89334463567658451</v>
      </c>
      <c r="X345" s="4">
        <f t="shared" si="289"/>
        <v>0.85254543874327005</v>
      </c>
      <c r="Y345" s="4">
        <f t="shared" si="289"/>
        <v>0.79921300652623883</v>
      </c>
      <c r="Z345" s="4">
        <f t="shared" si="289"/>
        <v>0.73204982249993378</v>
      </c>
      <c r="AA345" s="4">
        <f t="shared" si="289"/>
        <v>0.65145592958786691</v>
      </c>
      <c r="AB345" s="4">
        <f t="shared" si="289"/>
        <v>0.56032247880849573</v>
      </c>
      <c r="AC345" s="4">
        <f t="shared" si="289"/>
        <v>0.46411326873185343</v>
      </c>
      <c r="AD345" s="4">
        <f t="shared" si="289"/>
        <v>0.36979727595523937</v>
      </c>
      <c r="AE345" s="4">
        <f t="shared" si="289"/>
        <v>0.28393948637231203</v>
      </c>
      <c r="AF345" s="4">
        <f t="shared" si="289"/>
        <v>0.21097259161117732</v>
      </c>
      <c r="AG345" s="4">
        <f t="shared" si="286"/>
        <v>0.15253917653798199</v>
      </c>
      <c r="AH345" s="4">
        <f t="shared" si="286"/>
        <v>0.10795188737709993</v>
      </c>
      <c r="AI345" s="4">
        <f t="shared" si="286"/>
        <v>7.5176653938091809E-2</v>
      </c>
      <c r="AJ345" s="4">
        <f t="shared" si="287"/>
        <v>5.1742836177502194E-2</v>
      </c>
      <c r="AK345" s="4">
        <f t="shared" si="287"/>
        <v>3.5319190625345942E-2</v>
      </c>
      <c r="AL345" s="4">
        <f t="shared" si="287"/>
        <v>2.3969442072658165E-2</v>
      </c>
      <c r="AM345" s="4">
        <f t="shared" si="287"/>
        <v>1.6202243558389728E-2</v>
      </c>
      <c r="AN345" s="4">
        <f t="shared" si="287"/>
        <v>1.0922240564108399E-2</v>
      </c>
      <c r="AO345" s="4">
        <f t="shared" si="287"/>
        <v>7.3493212906090566E-3</v>
      </c>
      <c r="AP345" s="4">
        <f t="shared" si="287"/>
        <v>4.9390262185057265E-3</v>
      </c>
      <c r="AQ345" s="4">
        <f t="shared" si="287"/>
        <v>3.3164275492956197E-3</v>
      </c>
      <c r="AR345" s="4">
        <f t="shared" si="287"/>
        <v>2.2256362146679809E-3</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89"/>
        <v>0.9867978615748374</v>
      </c>
      <c r="R346" s="4">
        <f t="shared" si="289"/>
        <v>0.98114509762858249</v>
      </c>
      <c r="S346" s="4">
        <f t="shared" si="289"/>
        <v>0.97311898315872036</v>
      </c>
      <c r="T346" s="4">
        <f t="shared" si="289"/>
        <v>0.96177484161592774</v>
      </c>
      <c r="U346" s="4">
        <f t="shared" si="289"/>
        <v>0.94584787155511363</v>
      </c>
      <c r="V346" s="4">
        <f t="shared" si="289"/>
        <v>0.92370360150141495</v>
      </c>
      <c r="W346" s="4">
        <f t="shared" si="289"/>
        <v>0.89334463567658451</v>
      </c>
      <c r="X346" s="4">
        <f t="shared" si="289"/>
        <v>0.85254543874327005</v>
      </c>
      <c r="Y346" s="4">
        <f t="shared" si="289"/>
        <v>0.79921300652623883</v>
      </c>
      <c r="Z346" s="4">
        <f t="shared" si="289"/>
        <v>0.73204982249993378</v>
      </c>
      <c r="AA346" s="4">
        <f t="shared" si="289"/>
        <v>0.65145592958786691</v>
      </c>
      <c r="AB346" s="4">
        <f t="shared" si="289"/>
        <v>0.56032247880849573</v>
      </c>
      <c r="AC346" s="4">
        <f t="shared" si="289"/>
        <v>0.46411326873185343</v>
      </c>
      <c r="AD346" s="4">
        <f t="shared" si="289"/>
        <v>0.36979727595523937</v>
      </c>
      <c r="AE346" s="4">
        <f t="shared" si="289"/>
        <v>0.28393948637231203</v>
      </c>
      <c r="AF346" s="4">
        <f t="shared" si="289"/>
        <v>0.21097259161117732</v>
      </c>
      <c r="AG346" s="4">
        <f t="shared" si="286"/>
        <v>0.15253917653798199</v>
      </c>
      <c r="AH346" s="4">
        <f t="shared" si="286"/>
        <v>0.10795188737709993</v>
      </c>
      <c r="AI346" s="4">
        <f t="shared" si="286"/>
        <v>7.5176653938091809E-2</v>
      </c>
      <c r="AJ346" s="4">
        <f t="shared" si="287"/>
        <v>5.1742836177502194E-2</v>
      </c>
      <c r="AK346" s="4">
        <f t="shared" si="287"/>
        <v>3.5319190625345942E-2</v>
      </c>
      <c r="AL346" s="4">
        <f t="shared" si="287"/>
        <v>2.3969442072658165E-2</v>
      </c>
      <c r="AM346" s="4">
        <f t="shared" si="287"/>
        <v>1.6202243558389728E-2</v>
      </c>
      <c r="AN346" s="4">
        <f t="shared" si="287"/>
        <v>1.0922240564108399E-2</v>
      </c>
      <c r="AO346" s="4">
        <f t="shared" si="287"/>
        <v>7.3493212906090566E-3</v>
      </c>
      <c r="AP346" s="4">
        <f t="shared" si="287"/>
        <v>4.9390262185057265E-3</v>
      </c>
      <c r="AQ346" s="4">
        <f t="shared" si="287"/>
        <v>3.3164275492956197E-3</v>
      </c>
      <c r="AR346" s="4">
        <f t="shared" si="287"/>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89"/>
        <v>0.9867978615748374</v>
      </c>
      <c r="R347" s="4">
        <f t="shared" si="289"/>
        <v>0.98114509762858249</v>
      </c>
      <c r="S347" s="4">
        <f t="shared" si="289"/>
        <v>0.97311898315872036</v>
      </c>
      <c r="T347" s="4">
        <f t="shared" si="289"/>
        <v>0.96177484161592774</v>
      </c>
      <c r="U347" s="4">
        <f t="shared" si="289"/>
        <v>0.94584787155511363</v>
      </c>
      <c r="V347" s="4">
        <f t="shared" si="289"/>
        <v>0.92370360150141495</v>
      </c>
      <c r="W347" s="4">
        <f t="shared" si="289"/>
        <v>0.89334463567658451</v>
      </c>
      <c r="X347" s="4">
        <f t="shared" si="289"/>
        <v>0.85254543874327005</v>
      </c>
      <c r="Y347" s="4">
        <f t="shared" si="289"/>
        <v>0.79921300652623883</v>
      </c>
      <c r="Z347" s="4">
        <f t="shared" si="289"/>
        <v>0.73204982249993378</v>
      </c>
      <c r="AA347" s="4">
        <f t="shared" si="289"/>
        <v>0.65145592958786691</v>
      </c>
      <c r="AB347" s="4">
        <f t="shared" si="289"/>
        <v>0.56032247880849573</v>
      </c>
      <c r="AC347" s="4">
        <f t="shared" si="289"/>
        <v>0.46411326873185343</v>
      </c>
      <c r="AD347" s="4">
        <f t="shared" si="289"/>
        <v>0.36979727595523937</v>
      </c>
      <c r="AE347" s="4">
        <f t="shared" si="289"/>
        <v>0.28393948637231203</v>
      </c>
      <c r="AF347" s="4">
        <f t="shared" si="289"/>
        <v>0.21097259161117732</v>
      </c>
      <c r="AG347" s="4">
        <f t="shared" si="286"/>
        <v>0.15253917653798199</v>
      </c>
      <c r="AH347" s="4">
        <f t="shared" si="286"/>
        <v>0.10795188737709993</v>
      </c>
      <c r="AI347" s="4">
        <f t="shared" si="286"/>
        <v>7.5176653938091809E-2</v>
      </c>
      <c r="AJ347" s="4">
        <f t="shared" si="287"/>
        <v>5.1742836177502194E-2</v>
      </c>
      <c r="AK347" s="4">
        <f t="shared" si="287"/>
        <v>3.5319190625345942E-2</v>
      </c>
      <c r="AL347" s="4">
        <f t="shared" si="287"/>
        <v>2.3969442072658165E-2</v>
      </c>
      <c r="AM347" s="4">
        <f t="shared" si="287"/>
        <v>1.6202243558389728E-2</v>
      </c>
      <c r="AN347" s="4">
        <f t="shared" si="287"/>
        <v>1.0922240564108399E-2</v>
      </c>
      <c r="AO347" s="4">
        <f t="shared" si="287"/>
        <v>7.3493212906090566E-3</v>
      </c>
      <c r="AP347" s="4">
        <f t="shared" si="287"/>
        <v>4.9390262185057265E-3</v>
      </c>
      <c r="AQ347" s="4">
        <f t="shared" si="287"/>
        <v>3.3164275492956197E-3</v>
      </c>
      <c r="AR347" s="4">
        <f t="shared" si="287"/>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89"/>
        <v>0.9867978615748374</v>
      </c>
      <c r="R348" s="4">
        <f t="shared" si="289"/>
        <v>0.98114509762858249</v>
      </c>
      <c r="S348" s="4">
        <f t="shared" si="289"/>
        <v>0.97311898315872036</v>
      </c>
      <c r="T348" s="4">
        <f t="shared" si="289"/>
        <v>0.96177484161592774</v>
      </c>
      <c r="U348" s="4">
        <f t="shared" si="289"/>
        <v>0.94584787155511363</v>
      </c>
      <c r="V348" s="4">
        <f t="shared" si="289"/>
        <v>0.92370360150141495</v>
      </c>
      <c r="W348" s="4">
        <f t="shared" si="289"/>
        <v>0.89334463567658451</v>
      </c>
      <c r="X348" s="4">
        <f t="shared" si="289"/>
        <v>0.85254543874327005</v>
      </c>
      <c r="Y348" s="4">
        <f t="shared" si="289"/>
        <v>0.79921300652623883</v>
      </c>
      <c r="Z348" s="4">
        <f t="shared" si="289"/>
        <v>0.73204982249993378</v>
      </c>
      <c r="AA348" s="4">
        <f t="shared" si="289"/>
        <v>0.65145592958786691</v>
      </c>
      <c r="AB348" s="4">
        <f t="shared" si="289"/>
        <v>0.56032247880849573</v>
      </c>
      <c r="AC348" s="4">
        <f t="shared" si="289"/>
        <v>0.46411326873185343</v>
      </c>
      <c r="AD348" s="4">
        <f t="shared" si="289"/>
        <v>0.36979727595523937</v>
      </c>
      <c r="AE348" s="4">
        <f t="shared" si="289"/>
        <v>0.28393948637231203</v>
      </c>
      <c r="AF348" s="4">
        <f t="shared" si="289"/>
        <v>0.21097259161117732</v>
      </c>
      <c r="AG348" s="4">
        <f t="shared" si="286"/>
        <v>0.15253917653798199</v>
      </c>
      <c r="AH348" s="4">
        <f t="shared" si="286"/>
        <v>0.10795188737709993</v>
      </c>
      <c r="AI348" s="4">
        <f t="shared" si="286"/>
        <v>7.5176653938091809E-2</v>
      </c>
      <c r="AJ348" s="4">
        <f t="shared" si="287"/>
        <v>5.1742836177502194E-2</v>
      </c>
      <c r="AK348" s="4">
        <f t="shared" si="287"/>
        <v>3.5319190625345942E-2</v>
      </c>
      <c r="AL348" s="4">
        <f t="shared" si="287"/>
        <v>2.3969442072658165E-2</v>
      </c>
      <c r="AM348" s="4">
        <f t="shared" si="287"/>
        <v>1.6202243558389728E-2</v>
      </c>
      <c r="AN348" s="4">
        <f t="shared" si="287"/>
        <v>1.0922240564108399E-2</v>
      </c>
      <c r="AO348" s="4">
        <f t="shared" si="287"/>
        <v>7.3493212906090566E-3</v>
      </c>
      <c r="AP348" s="4">
        <f t="shared" si="287"/>
        <v>4.9390262185057265E-3</v>
      </c>
      <c r="AQ348" s="4">
        <f t="shared" si="287"/>
        <v>3.3164275492956197E-3</v>
      </c>
      <c r="AR348" s="4">
        <f t="shared" si="287"/>
        <v>2.2256362146679809E-3</v>
      </c>
    </row>
    <row r="349" spans="1:44" x14ac:dyDescent="0.25">
      <c r="A349" s="24" t="s">
        <v>73</v>
      </c>
      <c r="B349" s="45">
        <f>'Parameter Input'!L83</f>
        <v>0</v>
      </c>
      <c r="C349" s="46">
        <f>'Parameter Input'!M83</f>
        <v>0</v>
      </c>
      <c r="D349" s="1" t="s">
        <v>57</v>
      </c>
      <c r="L349" s="54">
        <f>'Parameter Input'!O83</f>
        <v>12</v>
      </c>
      <c r="M349" s="37">
        <v>0</v>
      </c>
      <c r="N349" s="37">
        <v>1</v>
      </c>
      <c r="O349" s="37">
        <f>'Parameter Input'!P83</f>
        <v>0.9</v>
      </c>
      <c r="P349" s="55">
        <f>'Parameter Input'!Q83</f>
        <v>0.4</v>
      </c>
      <c r="Q349" s="4">
        <f t="shared" si="289"/>
        <v>0.9867978615748374</v>
      </c>
      <c r="R349" s="4">
        <f t="shared" si="289"/>
        <v>0.98114509762858249</v>
      </c>
      <c r="S349" s="4">
        <f t="shared" si="289"/>
        <v>0.97311898315872036</v>
      </c>
      <c r="T349" s="4">
        <f t="shared" si="289"/>
        <v>0.96177484161592774</v>
      </c>
      <c r="U349" s="4">
        <f t="shared" si="289"/>
        <v>0.94584787155511363</v>
      </c>
      <c r="V349" s="4">
        <f t="shared" si="289"/>
        <v>0.92370360150141495</v>
      </c>
      <c r="W349" s="4">
        <f t="shared" si="289"/>
        <v>0.89334463567658451</v>
      </c>
      <c r="X349" s="4">
        <f t="shared" si="289"/>
        <v>0.85254543874327005</v>
      </c>
      <c r="Y349" s="4">
        <f t="shared" si="289"/>
        <v>0.79921300652623883</v>
      </c>
      <c r="Z349" s="4">
        <f t="shared" si="289"/>
        <v>0.73204982249993378</v>
      </c>
      <c r="AA349" s="4">
        <f t="shared" si="289"/>
        <v>0.65145592958786691</v>
      </c>
      <c r="AB349" s="4">
        <f t="shared" si="289"/>
        <v>0.56032247880849573</v>
      </c>
      <c r="AC349" s="4">
        <f t="shared" si="289"/>
        <v>0.46411326873185343</v>
      </c>
      <c r="AD349" s="4">
        <f t="shared" si="289"/>
        <v>0.36979727595523937</v>
      </c>
      <c r="AE349" s="4">
        <f t="shared" si="289"/>
        <v>0.28393948637231203</v>
      </c>
      <c r="AF349" s="4">
        <f t="shared" si="289"/>
        <v>0.21097259161117732</v>
      </c>
      <c r="AG349" s="4">
        <f t="shared" si="286"/>
        <v>0.15253917653798199</v>
      </c>
      <c r="AH349" s="4">
        <f t="shared" si="286"/>
        <v>0.10795188737709993</v>
      </c>
      <c r="AI349" s="4">
        <f t="shared" si="286"/>
        <v>7.5176653938091809E-2</v>
      </c>
      <c r="AJ349" s="4">
        <f t="shared" si="287"/>
        <v>5.1742836177502194E-2</v>
      </c>
      <c r="AK349" s="4">
        <f t="shared" si="287"/>
        <v>3.5319190625345942E-2</v>
      </c>
      <c r="AL349" s="4">
        <f t="shared" si="287"/>
        <v>2.3969442072658165E-2</v>
      </c>
      <c r="AM349" s="4">
        <f t="shared" si="287"/>
        <v>1.6202243558389728E-2</v>
      </c>
      <c r="AN349" s="4">
        <f t="shared" si="287"/>
        <v>1.0922240564108399E-2</v>
      </c>
      <c r="AO349" s="4">
        <f t="shared" si="287"/>
        <v>7.3493212906090566E-3</v>
      </c>
      <c r="AP349" s="4">
        <f t="shared" si="287"/>
        <v>4.9390262185057265E-3</v>
      </c>
      <c r="AQ349" s="4">
        <f t="shared" si="287"/>
        <v>3.3164275492956197E-3</v>
      </c>
      <c r="AR349" s="4">
        <f t="shared" si="287"/>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89"/>
        <v>0.9867978615748374</v>
      </c>
      <c r="R350" s="4">
        <f t="shared" si="289"/>
        <v>0.98114509762858249</v>
      </c>
      <c r="S350" s="4">
        <f t="shared" si="289"/>
        <v>0.97311898315872036</v>
      </c>
      <c r="T350" s="4">
        <f t="shared" si="289"/>
        <v>0.96177484161592774</v>
      </c>
      <c r="U350" s="4">
        <f t="shared" si="289"/>
        <v>0.94584787155511363</v>
      </c>
      <c r="V350" s="4">
        <f t="shared" si="289"/>
        <v>0.92370360150141495</v>
      </c>
      <c r="W350" s="4">
        <f t="shared" si="289"/>
        <v>0.89334463567658451</v>
      </c>
      <c r="X350" s="4">
        <f t="shared" si="289"/>
        <v>0.85254543874327005</v>
      </c>
      <c r="Y350" s="4">
        <f t="shared" si="289"/>
        <v>0.79921300652623883</v>
      </c>
      <c r="Z350" s="4">
        <f t="shared" si="289"/>
        <v>0.73204982249993378</v>
      </c>
      <c r="AA350" s="4">
        <f t="shared" si="289"/>
        <v>0.65145592958786691</v>
      </c>
      <c r="AB350" s="4">
        <f t="shared" si="289"/>
        <v>0.56032247880849573</v>
      </c>
      <c r="AC350" s="4">
        <f t="shared" si="289"/>
        <v>0.46411326873185343</v>
      </c>
      <c r="AD350" s="4">
        <f t="shared" si="289"/>
        <v>0.36979727595523937</v>
      </c>
      <c r="AE350" s="4">
        <f t="shared" si="289"/>
        <v>0.28393948637231203</v>
      </c>
      <c r="AF350" s="4">
        <f t="shared" si="289"/>
        <v>0.21097259161117732</v>
      </c>
      <c r="AG350" s="4">
        <f t="shared" si="286"/>
        <v>0.15253917653798199</v>
      </c>
      <c r="AH350" s="4">
        <f t="shared" si="286"/>
        <v>0.10795188737709993</v>
      </c>
      <c r="AI350" s="4">
        <f t="shared" si="286"/>
        <v>7.5176653938091809E-2</v>
      </c>
      <c r="AJ350" s="4">
        <f t="shared" si="287"/>
        <v>5.1742836177502194E-2</v>
      </c>
      <c r="AK350" s="4">
        <f t="shared" si="287"/>
        <v>3.5319190625345942E-2</v>
      </c>
      <c r="AL350" s="4">
        <f t="shared" si="287"/>
        <v>2.3969442072658165E-2</v>
      </c>
      <c r="AM350" s="4">
        <f t="shared" si="287"/>
        <v>1.6202243558389728E-2</v>
      </c>
      <c r="AN350" s="4">
        <f t="shared" si="287"/>
        <v>1.0922240564108399E-2</v>
      </c>
      <c r="AO350" s="4">
        <f t="shared" si="287"/>
        <v>7.3493212906090566E-3</v>
      </c>
      <c r="AP350" s="4">
        <f t="shared" si="287"/>
        <v>4.9390262185057265E-3</v>
      </c>
      <c r="AQ350" s="4">
        <f t="shared" si="287"/>
        <v>3.3164275492956197E-3</v>
      </c>
      <c r="AR350" s="4">
        <f t="shared" si="287"/>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0">A334</f>
        <v>Capex vehicle</v>
      </c>
      <c r="B354" s="62">
        <f t="shared" ref="B354:B362" si="291">$B334+($C334-$B334)*(1-Q334)</f>
        <v>105132.02138425162</v>
      </c>
      <c r="C354" s="62">
        <f t="shared" ref="C354:C362" si="292">$B334+($C334-$B334)*(1-R334)</f>
        <v>105188.54902371418</v>
      </c>
      <c r="D354" s="62">
        <f t="shared" ref="D354:D362" si="293">$B334+($C334-$B334)*(1-S334)</f>
        <v>105268.81016841279</v>
      </c>
      <c r="E354" s="62">
        <f t="shared" ref="E354:E362" si="294">$B334+($C334-$B334)*(1-T334)</f>
        <v>105382.25158384073</v>
      </c>
      <c r="F354" s="62">
        <f t="shared" ref="F354:F362" si="295">$B334+($C334-$B334)*(1-U334)</f>
        <v>105541.52128444887</v>
      </c>
      <c r="G354" s="62">
        <f t="shared" ref="G354:G362" si="296">$B334+($C334-$B334)*(1-V334)</f>
        <v>105762.96398498585</v>
      </c>
      <c r="H354" s="62">
        <f t="shared" ref="H354:H362" si="297">$B334+($C334-$B334)*(1-W334)</f>
        <v>106066.55364323416</v>
      </c>
      <c r="I354" s="62">
        <f t="shared" ref="I354:I362" si="298">$B334+($C334-$B334)*(1-X334)</f>
        <v>106474.54561256729</v>
      </c>
      <c r="J354" s="62">
        <f t="shared" ref="J354:J362" si="299">$B334+($C334-$B334)*(1-Y334)</f>
        <v>107007.86993473761</v>
      </c>
      <c r="K354" s="62">
        <f t="shared" ref="K354:K362" si="300">$B334+($C334-$B334)*(1-Z334)</f>
        <v>107679.50177500067</v>
      </c>
      <c r="L354" s="62">
        <f t="shared" ref="L354:L362" si="301">$B334+($C334-$B334)*(1-AA334)</f>
        <v>108485.44070412133</v>
      </c>
      <c r="M354" s="62">
        <f t="shared" ref="M354:M362" si="302">$B334+($C334-$B334)*(1-AB334)</f>
        <v>109396.77521191504</v>
      </c>
      <c r="N354" s="62">
        <f t="shared" ref="N354:N362" si="303">$B334+($C334-$B334)*(1-AC334)</f>
        <v>110358.86731268147</v>
      </c>
      <c r="O354" s="62">
        <f t="shared" ref="O354:O362" si="304">$B334+($C334-$B334)*(1-AD334)</f>
        <v>111302.02724044761</v>
      </c>
      <c r="P354" s="62">
        <f t="shared" ref="P354:P362" si="305">$B334+($C334-$B334)*(1-AE334)</f>
        <v>112160.60513627688</v>
      </c>
      <c r="Q354" s="62">
        <f t="shared" ref="Q354:Q362" si="306">$B334+($C334-$B334)*(1-AF334)</f>
        <v>112890.27408388823</v>
      </c>
      <c r="R354" s="62">
        <f t="shared" ref="R354:R362" si="307">$B334+($C334-$B334)*(1-AG334)</f>
        <v>113474.60823462019</v>
      </c>
      <c r="S354" s="62">
        <f t="shared" ref="S354:S362" si="308">$B334+($C334-$B334)*(1-AH334)</f>
        <v>113920.481126229</v>
      </c>
      <c r="T354" s="62">
        <f t="shared" ref="T354:T362" si="309">$B334+($C334-$B334)*(1-AI334)</f>
        <v>114248.23346061909</v>
      </c>
      <c r="U354" s="62">
        <f t="shared" ref="U354:U362" si="310">$B334+($C334-$B334)*(1-AJ334)</f>
        <v>114482.57163822498</v>
      </c>
      <c r="V354" s="62">
        <f t="shared" ref="V354:V362" si="311">$B334+($C334-$B334)*(1-AK334)</f>
        <v>114646.80809374654</v>
      </c>
      <c r="W354" s="62">
        <f t="shared" ref="W354:W362" si="312">$B334+($C334-$B334)*(1-AL334)</f>
        <v>114760.30557927342</v>
      </c>
      <c r="X354" s="62">
        <f t="shared" ref="X354:X362" si="313">$B334+($C334-$B334)*(1-AM334)</f>
        <v>114837.9775644161</v>
      </c>
      <c r="Y354" s="62">
        <f t="shared" ref="Y354:Y362" si="314">$B334+($C334-$B334)*(1-AN334)</f>
        <v>114890.77759435892</v>
      </c>
      <c r="Z354" s="62">
        <f t="shared" ref="Z354:Z362" si="315">$B334+($C334-$B334)*(1-AO334)</f>
        <v>114926.50678709391</v>
      </c>
      <c r="AA354" s="62">
        <f t="shared" ref="AA354:AA362" si="316">$B334+($C334-$B334)*(1-AP334)</f>
        <v>114950.60973781494</v>
      </c>
      <c r="AB354" s="62">
        <f t="shared" ref="AB354:AB362" si="317">$B334+($C334-$B334)*(1-AQ334)</f>
        <v>114966.83572450705</v>
      </c>
      <c r="AC354" s="62">
        <f t="shared" ref="AC354:AC362" si="318">$B334+($C334-$B334)*(1-AR334)</f>
        <v>114977.74363785332</v>
      </c>
    </row>
    <row r="355" spans="1:29" x14ac:dyDescent="0.25">
      <c r="A355" s="30" t="str">
        <f t="shared" si="290"/>
        <v>Residual value (vehicle)</v>
      </c>
      <c r="B355" s="62">
        <f t="shared" si="291"/>
        <v>-26131.180754173536</v>
      </c>
      <c r="C355" s="62">
        <f t="shared" si="292"/>
        <v>-26080.305878657244</v>
      </c>
      <c r="D355" s="62">
        <f t="shared" si="293"/>
        <v>-26008.070848428484</v>
      </c>
      <c r="E355" s="62">
        <f t="shared" si="294"/>
        <v>-25905.97357454335</v>
      </c>
      <c r="F355" s="62">
        <f t="shared" si="295"/>
        <v>-25762.630843996023</v>
      </c>
      <c r="G355" s="62">
        <f t="shared" si="296"/>
        <v>-25563.332413512733</v>
      </c>
      <c r="H355" s="62">
        <f t="shared" si="297"/>
        <v>-25290.101721089261</v>
      </c>
      <c r="I355" s="62">
        <f t="shared" si="298"/>
        <v>-24922.90894868943</v>
      </c>
      <c r="J355" s="62">
        <f t="shared" si="299"/>
        <v>-24442.917058736151</v>
      </c>
      <c r="K355" s="62">
        <f t="shared" si="300"/>
        <v>-23838.448402499405</v>
      </c>
      <c r="L355" s="62">
        <f t="shared" si="301"/>
        <v>-23113.103366290801</v>
      </c>
      <c r="M355" s="62">
        <f t="shared" si="302"/>
        <v>-22292.902309276462</v>
      </c>
      <c r="N355" s="62">
        <f t="shared" si="303"/>
        <v>-21427.019418586682</v>
      </c>
      <c r="O355" s="62">
        <f t="shared" si="304"/>
        <v>-20578.175483597155</v>
      </c>
      <c r="P355" s="62">
        <f t="shared" si="305"/>
        <v>-19805.455377350809</v>
      </c>
      <c r="Q355" s="62">
        <f t="shared" si="306"/>
        <v>-19148.753324500598</v>
      </c>
      <c r="R355" s="62">
        <f t="shared" si="307"/>
        <v>-18622.852588841837</v>
      </c>
      <c r="S355" s="62">
        <f t="shared" si="308"/>
        <v>-18221.5669863939</v>
      </c>
      <c r="T355" s="62">
        <f t="shared" si="309"/>
        <v>-17926.589885442827</v>
      </c>
      <c r="U355" s="62">
        <f t="shared" si="310"/>
        <v>-17715.685525597521</v>
      </c>
      <c r="V355" s="62">
        <f t="shared" si="311"/>
        <v>-17567.872715628113</v>
      </c>
      <c r="W355" s="62">
        <f t="shared" si="312"/>
        <v>-17465.724978653925</v>
      </c>
      <c r="X355" s="62">
        <f t="shared" si="313"/>
        <v>-17395.820192025509</v>
      </c>
      <c r="Y355" s="62">
        <f t="shared" si="314"/>
        <v>-17348.300165076973</v>
      </c>
      <c r="Z355" s="62">
        <f t="shared" si="315"/>
        <v>-17316.14389161548</v>
      </c>
      <c r="AA355" s="62">
        <f t="shared" si="316"/>
        <v>-17294.451235966553</v>
      </c>
      <c r="AB355" s="62">
        <f t="shared" si="317"/>
        <v>-17279.84784794366</v>
      </c>
      <c r="AC355" s="62">
        <f t="shared" si="318"/>
        <v>-17270.030725932011</v>
      </c>
    </row>
    <row r="356" spans="1:29" x14ac:dyDescent="0.25">
      <c r="A356" s="30" t="str">
        <f t="shared" si="290"/>
        <v>Capex costumization</v>
      </c>
      <c r="B356" s="62">
        <f t="shared" si="291"/>
        <v>40000</v>
      </c>
      <c r="C356" s="62">
        <f t="shared" si="292"/>
        <v>40000</v>
      </c>
      <c r="D356" s="62">
        <f t="shared" si="293"/>
        <v>40000</v>
      </c>
      <c r="E356" s="62">
        <f t="shared" si="294"/>
        <v>40000</v>
      </c>
      <c r="F356" s="62">
        <f t="shared" si="295"/>
        <v>40000</v>
      </c>
      <c r="G356" s="62">
        <f t="shared" si="296"/>
        <v>40000</v>
      </c>
      <c r="H356" s="62">
        <f t="shared" si="297"/>
        <v>40000</v>
      </c>
      <c r="I356" s="62">
        <f t="shared" si="298"/>
        <v>40000</v>
      </c>
      <c r="J356" s="62">
        <f t="shared" si="299"/>
        <v>40000</v>
      </c>
      <c r="K356" s="62">
        <f t="shared" si="300"/>
        <v>40000</v>
      </c>
      <c r="L356" s="62">
        <f t="shared" si="301"/>
        <v>40000</v>
      </c>
      <c r="M356" s="62">
        <f t="shared" si="302"/>
        <v>40000</v>
      </c>
      <c r="N356" s="62">
        <f t="shared" si="303"/>
        <v>40000</v>
      </c>
      <c r="O356" s="62">
        <f t="shared" si="304"/>
        <v>40000</v>
      </c>
      <c r="P356" s="62">
        <f t="shared" si="305"/>
        <v>40000</v>
      </c>
      <c r="Q356" s="62">
        <f t="shared" si="306"/>
        <v>40000</v>
      </c>
      <c r="R356" s="62">
        <f t="shared" si="307"/>
        <v>40000</v>
      </c>
      <c r="S356" s="62">
        <f t="shared" si="308"/>
        <v>40000</v>
      </c>
      <c r="T356" s="62">
        <f t="shared" si="309"/>
        <v>40000</v>
      </c>
      <c r="U356" s="62">
        <f t="shared" si="310"/>
        <v>40000</v>
      </c>
      <c r="V356" s="62">
        <f t="shared" si="311"/>
        <v>40000</v>
      </c>
      <c r="W356" s="62">
        <f t="shared" si="312"/>
        <v>40000</v>
      </c>
      <c r="X356" s="62">
        <f t="shared" si="313"/>
        <v>40000</v>
      </c>
      <c r="Y356" s="62">
        <f t="shared" si="314"/>
        <v>40000</v>
      </c>
      <c r="Z356" s="62">
        <f t="shared" si="315"/>
        <v>40000</v>
      </c>
      <c r="AA356" s="62">
        <f t="shared" si="316"/>
        <v>40000</v>
      </c>
      <c r="AB356" s="62">
        <f t="shared" si="317"/>
        <v>40000</v>
      </c>
      <c r="AC356" s="62">
        <f t="shared" si="318"/>
        <v>40000</v>
      </c>
    </row>
    <row r="357" spans="1:29" x14ac:dyDescent="0.25">
      <c r="A357" s="30" t="str">
        <f t="shared" si="290"/>
        <v>Residual value (costumization)</v>
      </c>
      <c r="B357" s="62">
        <f t="shared" si="291"/>
        <v>-10000</v>
      </c>
      <c r="C357" s="62">
        <f t="shared" si="292"/>
        <v>-10000</v>
      </c>
      <c r="D357" s="62">
        <f t="shared" si="293"/>
        <v>-10000</v>
      </c>
      <c r="E357" s="62">
        <f t="shared" si="294"/>
        <v>-10000</v>
      </c>
      <c r="F357" s="62">
        <f t="shared" si="295"/>
        <v>-10000</v>
      </c>
      <c r="G357" s="62">
        <f t="shared" si="296"/>
        <v>-10000</v>
      </c>
      <c r="H357" s="62">
        <f t="shared" si="297"/>
        <v>-10000</v>
      </c>
      <c r="I357" s="62">
        <f t="shared" si="298"/>
        <v>-10000</v>
      </c>
      <c r="J357" s="62">
        <f t="shared" si="299"/>
        <v>-10000</v>
      </c>
      <c r="K357" s="62">
        <f t="shared" si="300"/>
        <v>-10000</v>
      </c>
      <c r="L357" s="62">
        <f t="shared" si="301"/>
        <v>-10000</v>
      </c>
      <c r="M357" s="62">
        <f t="shared" si="302"/>
        <v>-10000</v>
      </c>
      <c r="N357" s="62">
        <f t="shared" si="303"/>
        <v>-10000</v>
      </c>
      <c r="O357" s="62">
        <f t="shared" si="304"/>
        <v>-10000</v>
      </c>
      <c r="P357" s="62">
        <f t="shared" si="305"/>
        <v>-10000</v>
      </c>
      <c r="Q357" s="62">
        <f t="shared" si="306"/>
        <v>-10000</v>
      </c>
      <c r="R357" s="62">
        <f t="shared" si="307"/>
        <v>-10000</v>
      </c>
      <c r="S357" s="62">
        <f t="shared" si="308"/>
        <v>-10000</v>
      </c>
      <c r="T357" s="62">
        <f t="shared" si="309"/>
        <v>-10000</v>
      </c>
      <c r="U357" s="62">
        <f t="shared" si="310"/>
        <v>-10000</v>
      </c>
      <c r="V357" s="62">
        <f t="shared" si="311"/>
        <v>-10000</v>
      </c>
      <c r="W357" s="62">
        <f t="shared" si="312"/>
        <v>-10000</v>
      </c>
      <c r="X357" s="62">
        <f t="shared" si="313"/>
        <v>-10000</v>
      </c>
      <c r="Y357" s="62">
        <f t="shared" si="314"/>
        <v>-10000</v>
      </c>
      <c r="Z357" s="62">
        <f t="shared" si="315"/>
        <v>-10000</v>
      </c>
      <c r="AA357" s="62">
        <f t="shared" si="316"/>
        <v>-10000</v>
      </c>
      <c r="AB357" s="62">
        <f t="shared" si="317"/>
        <v>-10000</v>
      </c>
      <c r="AC357" s="62">
        <f t="shared" si="318"/>
        <v>-10000</v>
      </c>
    </row>
    <row r="358" spans="1:29" x14ac:dyDescent="0.25">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25">
      <c r="A359" s="30" t="str">
        <f t="shared" si="290"/>
        <v>Opex fix (admin, crew, insurance)</v>
      </c>
      <c r="B359" s="62">
        <f t="shared" si="291"/>
        <v>70000</v>
      </c>
      <c r="C359" s="62">
        <f t="shared" si="292"/>
        <v>70000</v>
      </c>
      <c r="D359" s="62">
        <f t="shared" si="293"/>
        <v>70000</v>
      </c>
      <c r="E359" s="62">
        <f t="shared" si="294"/>
        <v>70000</v>
      </c>
      <c r="F359" s="62">
        <f t="shared" si="295"/>
        <v>70000</v>
      </c>
      <c r="G359" s="62">
        <f t="shared" si="296"/>
        <v>70000</v>
      </c>
      <c r="H359" s="62">
        <f t="shared" si="297"/>
        <v>70000</v>
      </c>
      <c r="I359" s="62">
        <f t="shared" si="298"/>
        <v>70000</v>
      </c>
      <c r="J359" s="62">
        <f t="shared" si="299"/>
        <v>70000</v>
      </c>
      <c r="K359" s="62">
        <f t="shared" si="300"/>
        <v>70000</v>
      </c>
      <c r="L359" s="62">
        <f t="shared" si="301"/>
        <v>70000</v>
      </c>
      <c r="M359" s="62">
        <f t="shared" si="302"/>
        <v>70000</v>
      </c>
      <c r="N359" s="62">
        <f t="shared" si="303"/>
        <v>70000</v>
      </c>
      <c r="O359" s="62">
        <f t="shared" si="304"/>
        <v>70000</v>
      </c>
      <c r="P359" s="62">
        <f t="shared" si="305"/>
        <v>70000</v>
      </c>
      <c r="Q359" s="62">
        <f t="shared" si="306"/>
        <v>70000</v>
      </c>
      <c r="R359" s="62">
        <f t="shared" si="307"/>
        <v>70000</v>
      </c>
      <c r="S359" s="62">
        <f t="shared" si="308"/>
        <v>70000</v>
      </c>
      <c r="T359" s="62">
        <f t="shared" si="309"/>
        <v>70000</v>
      </c>
      <c r="U359" s="62">
        <f t="shared" si="310"/>
        <v>70000</v>
      </c>
      <c r="V359" s="62">
        <f t="shared" si="311"/>
        <v>70000</v>
      </c>
      <c r="W359" s="62">
        <f t="shared" si="312"/>
        <v>70000</v>
      </c>
      <c r="X359" s="62">
        <f t="shared" si="313"/>
        <v>70000</v>
      </c>
      <c r="Y359" s="62">
        <f t="shared" si="314"/>
        <v>70000</v>
      </c>
      <c r="Z359" s="62">
        <f t="shared" si="315"/>
        <v>70000</v>
      </c>
      <c r="AA359" s="62">
        <f t="shared" si="316"/>
        <v>70000</v>
      </c>
      <c r="AB359" s="62">
        <f t="shared" si="317"/>
        <v>70000</v>
      </c>
      <c r="AC359" s="62">
        <f t="shared" si="318"/>
        <v>70000</v>
      </c>
    </row>
    <row r="360" spans="1:29" x14ac:dyDescent="0.25">
      <c r="A360" s="30" t="str">
        <f t="shared" si="290"/>
        <v>Opex maintenance &amp; repair</v>
      </c>
      <c r="B360" s="62">
        <f t="shared" si="291"/>
        <v>20000</v>
      </c>
      <c r="C360" s="62">
        <f t="shared" si="292"/>
        <v>20000</v>
      </c>
      <c r="D360" s="62">
        <f t="shared" si="293"/>
        <v>20000</v>
      </c>
      <c r="E360" s="62">
        <f t="shared" si="294"/>
        <v>20000</v>
      </c>
      <c r="F360" s="62">
        <f t="shared" si="295"/>
        <v>20000</v>
      </c>
      <c r="G360" s="62">
        <f t="shared" si="296"/>
        <v>20000</v>
      </c>
      <c r="H360" s="62">
        <f t="shared" si="297"/>
        <v>20000</v>
      </c>
      <c r="I360" s="62">
        <f t="shared" si="298"/>
        <v>20000</v>
      </c>
      <c r="J360" s="62">
        <f t="shared" si="299"/>
        <v>20000</v>
      </c>
      <c r="K360" s="62">
        <f t="shared" si="300"/>
        <v>20000</v>
      </c>
      <c r="L360" s="62">
        <f t="shared" si="301"/>
        <v>20000</v>
      </c>
      <c r="M360" s="62">
        <f t="shared" si="302"/>
        <v>20000</v>
      </c>
      <c r="N360" s="62">
        <f t="shared" si="303"/>
        <v>20000</v>
      </c>
      <c r="O360" s="62">
        <f t="shared" si="304"/>
        <v>20000</v>
      </c>
      <c r="P360" s="62">
        <f t="shared" si="305"/>
        <v>20000</v>
      </c>
      <c r="Q360" s="62">
        <f t="shared" si="306"/>
        <v>20000</v>
      </c>
      <c r="R360" s="62">
        <f t="shared" si="307"/>
        <v>20000</v>
      </c>
      <c r="S360" s="62">
        <f t="shared" si="308"/>
        <v>20000</v>
      </c>
      <c r="T360" s="62">
        <f t="shared" si="309"/>
        <v>20000</v>
      </c>
      <c r="U360" s="62">
        <f t="shared" si="310"/>
        <v>20000</v>
      </c>
      <c r="V360" s="62">
        <f t="shared" si="311"/>
        <v>20000</v>
      </c>
      <c r="W360" s="62">
        <f t="shared" si="312"/>
        <v>20000</v>
      </c>
      <c r="X360" s="62">
        <f t="shared" si="313"/>
        <v>20000</v>
      </c>
      <c r="Y360" s="62">
        <f t="shared" si="314"/>
        <v>20000</v>
      </c>
      <c r="Z360" s="62">
        <f t="shared" si="315"/>
        <v>20000</v>
      </c>
      <c r="AA360" s="62">
        <f t="shared" si="316"/>
        <v>20000</v>
      </c>
      <c r="AB360" s="62">
        <f t="shared" si="317"/>
        <v>20000</v>
      </c>
      <c r="AC360" s="62">
        <f t="shared" si="318"/>
        <v>20000</v>
      </c>
    </row>
    <row r="361" spans="1:29" x14ac:dyDescent="0.25">
      <c r="A361" s="30" t="str">
        <f t="shared" si="290"/>
        <v>Opex var (mode-fees)</v>
      </c>
      <c r="B361" s="62">
        <f t="shared" si="291"/>
        <v>0.11</v>
      </c>
      <c r="C361" s="62">
        <f t="shared" si="292"/>
        <v>0.11</v>
      </c>
      <c r="D361" s="62">
        <f t="shared" si="293"/>
        <v>0.11</v>
      </c>
      <c r="E361" s="62">
        <f t="shared" si="294"/>
        <v>0.11</v>
      </c>
      <c r="F361" s="62">
        <f t="shared" si="295"/>
        <v>0.11</v>
      </c>
      <c r="G361" s="62">
        <f t="shared" si="296"/>
        <v>0.11</v>
      </c>
      <c r="H361" s="62">
        <f t="shared" si="297"/>
        <v>0.11</v>
      </c>
      <c r="I361" s="62">
        <f t="shared" si="298"/>
        <v>0.11</v>
      </c>
      <c r="J361" s="62">
        <f t="shared" si="299"/>
        <v>0.11</v>
      </c>
      <c r="K361" s="62">
        <f t="shared" si="300"/>
        <v>0.11</v>
      </c>
      <c r="L361" s="62">
        <f t="shared" si="301"/>
        <v>0.11</v>
      </c>
      <c r="M361" s="62">
        <f t="shared" si="302"/>
        <v>0.11</v>
      </c>
      <c r="N361" s="62">
        <f t="shared" si="303"/>
        <v>0.11</v>
      </c>
      <c r="O361" s="62">
        <f t="shared" si="304"/>
        <v>0.11</v>
      </c>
      <c r="P361" s="62">
        <f t="shared" si="305"/>
        <v>0.11</v>
      </c>
      <c r="Q361" s="62">
        <f t="shared" si="306"/>
        <v>0.11</v>
      </c>
      <c r="R361" s="62">
        <f t="shared" si="307"/>
        <v>0.11</v>
      </c>
      <c r="S361" s="62">
        <f t="shared" si="308"/>
        <v>0.11</v>
      </c>
      <c r="T361" s="62">
        <f t="shared" si="309"/>
        <v>0.11</v>
      </c>
      <c r="U361" s="62">
        <f t="shared" si="310"/>
        <v>0.11</v>
      </c>
      <c r="V361" s="62">
        <f t="shared" si="311"/>
        <v>0.11</v>
      </c>
      <c r="W361" s="62">
        <f t="shared" si="312"/>
        <v>0.11</v>
      </c>
      <c r="X361" s="62">
        <f t="shared" si="313"/>
        <v>0.11</v>
      </c>
      <c r="Y361" s="62">
        <f t="shared" si="314"/>
        <v>0.11</v>
      </c>
      <c r="Z361" s="62">
        <f t="shared" si="315"/>
        <v>0.11</v>
      </c>
      <c r="AA361" s="62">
        <f t="shared" si="316"/>
        <v>0.11</v>
      </c>
      <c r="AB361" s="62">
        <f t="shared" si="317"/>
        <v>0.11</v>
      </c>
      <c r="AC361" s="62">
        <f t="shared" si="318"/>
        <v>0.11</v>
      </c>
    </row>
    <row r="362" spans="1:29" x14ac:dyDescent="0.25">
      <c r="A362" s="30" t="str">
        <f t="shared" si="290"/>
        <v>Fuel Economy</v>
      </c>
      <c r="B362" s="62">
        <f t="shared" si="291"/>
        <v>2.8933989307874186</v>
      </c>
      <c r="C362" s="62">
        <f t="shared" si="292"/>
        <v>2.890572548814291</v>
      </c>
      <c r="D362" s="62">
        <f t="shared" si="293"/>
        <v>2.88655949157936</v>
      </c>
      <c r="E362" s="62">
        <f t="shared" si="294"/>
        <v>2.880887420807964</v>
      </c>
      <c r="F362" s="62">
        <f t="shared" si="295"/>
        <v>2.8729239357775569</v>
      </c>
      <c r="G362" s="62">
        <f t="shared" si="296"/>
        <v>2.8618518007507072</v>
      </c>
      <c r="H362" s="62">
        <f t="shared" si="297"/>
        <v>2.846672317838292</v>
      </c>
      <c r="I362" s="62">
        <f t="shared" si="298"/>
        <v>2.826272719371635</v>
      </c>
      <c r="J362" s="62">
        <f t="shared" si="299"/>
        <v>2.7996065032631194</v>
      </c>
      <c r="K362" s="62">
        <f t="shared" si="300"/>
        <v>2.7660249112499669</v>
      </c>
      <c r="L362" s="62">
        <f t="shared" si="301"/>
        <v>2.7257279647939332</v>
      </c>
      <c r="M362" s="62">
        <f t="shared" si="302"/>
        <v>2.6801612394042476</v>
      </c>
      <c r="N362" s="62">
        <f t="shared" si="303"/>
        <v>2.6320566343659264</v>
      </c>
      <c r="O362" s="62">
        <f t="shared" si="304"/>
        <v>2.5848986379776195</v>
      </c>
      <c r="P362" s="62">
        <f t="shared" si="305"/>
        <v>2.5419697431861561</v>
      </c>
      <c r="Q362" s="62">
        <f t="shared" si="306"/>
        <v>2.5054862958055883</v>
      </c>
      <c r="R362" s="62">
        <f t="shared" si="307"/>
        <v>2.4762695882689911</v>
      </c>
      <c r="S362" s="62">
        <f t="shared" si="308"/>
        <v>2.4539759436885498</v>
      </c>
      <c r="T362" s="62">
        <f t="shared" si="309"/>
        <v>2.4375883269690459</v>
      </c>
      <c r="U362" s="62">
        <f t="shared" si="310"/>
        <v>2.4258714180887511</v>
      </c>
      <c r="V362" s="62">
        <f t="shared" si="311"/>
        <v>2.4176595953126729</v>
      </c>
      <c r="W362" s="62">
        <f t="shared" si="312"/>
        <v>2.4119847210363288</v>
      </c>
      <c r="X362" s="62">
        <f t="shared" si="313"/>
        <v>2.408101121779195</v>
      </c>
      <c r="Y362" s="62">
        <f t="shared" si="314"/>
        <v>2.4054611202820539</v>
      </c>
      <c r="Z362" s="62">
        <f t="shared" si="315"/>
        <v>2.4036746606453043</v>
      </c>
      <c r="AA362" s="62">
        <f t="shared" si="316"/>
        <v>2.4024695131092528</v>
      </c>
      <c r="AB362" s="62">
        <f t="shared" si="317"/>
        <v>2.4016582137746476</v>
      </c>
      <c r="AC362" s="62">
        <f t="shared" si="318"/>
        <v>2.4011128181073338</v>
      </c>
    </row>
    <row r="363" spans="1:29" x14ac:dyDescent="0.25">
      <c r="A363" s="30" t="str">
        <f t="shared" si="290"/>
        <v>Fuel Cost</v>
      </c>
      <c r="B363" s="68">
        <f>'Parameter Input'!J8</f>
        <v>5.7951260504201685E-2</v>
      </c>
      <c r="C363" s="68">
        <f>'Parameter Input'!K8</f>
        <v>5.3954621848739497E-2</v>
      </c>
      <c r="D363" s="68">
        <f>'Parameter Input'!L8</f>
        <v>4.9957983193277315E-2</v>
      </c>
      <c r="E363" s="68">
        <f>'Parameter Input'!M8</f>
        <v>4.5961344537815127E-2</v>
      </c>
      <c r="F363" s="68">
        <f>'Parameter Input'!N8</f>
        <v>4.1964705882352946E-2</v>
      </c>
      <c r="G363" s="68">
        <f>'Parameter Input'!O8</f>
        <v>3.7968067226890764E-2</v>
      </c>
      <c r="H363" s="68">
        <f>'Parameter Input'!P8</f>
        <v>3.3971428571428583E-2</v>
      </c>
      <c r="I363" s="68">
        <f>'Parameter Input'!Q8</f>
        <v>2.9974789915966391E-2</v>
      </c>
      <c r="J363" s="68">
        <f>'Parameter Input'!R8</f>
        <v>2.9368157262905165E-2</v>
      </c>
      <c r="K363" s="68">
        <f>'Parameter Input'!S8</f>
        <v>2.8761524609843939E-2</v>
      </c>
      <c r="L363" s="68">
        <f>'Parameter Input'!T8</f>
        <v>2.8154891956782713E-2</v>
      </c>
      <c r="M363" s="68">
        <f>'Parameter Input'!U8</f>
        <v>2.7548259303721487E-2</v>
      </c>
      <c r="N363" s="68">
        <f>'Parameter Input'!V8</f>
        <v>2.6941626650660268E-2</v>
      </c>
      <c r="O363" s="68">
        <f>'Parameter Input'!W8</f>
        <v>2.6334993997599043E-2</v>
      </c>
      <c r="P363" s="68">
        <f>'Parameter Input'!X8</f>
        <v>2.5728361344537817E-2</v>
      </c>
      <c r="Q363" s="68">
        <f>'Parameter Input'!Y8</f>
        <v>2.5121728691476591E-2</v>
      </c>
      <c r="R363" s="68">
        <f>'Parameter Input'!Z8</f>
        <v>2.4515096038415365E-2</v>
      </c>
      <c r="S363" s="68">
        <f>'Parameter Input'!AA8</f>
        <v>2.3908463385354146E-2</v>
      </c>
      <c r="T363" s="68">
        <f>'Parameter Input'!AB8</f>
        <v>2.330183073229292E-2</v>
      </c>
      <c r="U363" s="68">
        <f>'Parameter Input'!AC8</f>
        <v>2.2695198079231694E-2</v>
      </c>
      <c r="V363" s="68">
        <f>'Parameter Input'!AD8</f>
        <v>2.2088565426170468E-2</v>
      </c>
      <c r="W363" s="68">
        <f>'Parameter Input'!AE8</f>
        <v>2.1481932773109242E-2</v>
      </c>
      <c r="X363" s="68">
        <f>'Parameter Input'!AF8</f>
        <v>2.0875300120048023E-2</v>
      </c>
      <c r="Y363" s="68">
        <f>'Parameter Input'!AG8</f>
        <v>2.0268667466986797E-2</v>
      </c>
      <c r="Z363" s="68">
        <f>'Parameter Input'!AH8</f>
        <v>1.9662034813925571E-2</v>
      </c>
      <c r="AA363" s="68">
        <f>'Parameter Input'!AI8</f>
        <v>1.9055402160864345E-2</v>
      </c>
      <c r="AB363" s="68">
        <f>'Parameter Input'!AJ8</f>
        <v>1.8448769507803119E-2</v>
      </c>
      <c r="AC363" s="68">
        <f>'Parameter Input'!AK8</f>
        <v>1.78421368547419E-2</v>
      </c>
    </row>
    <row r="364" spans="1:29" x14ac:dyDescent="0.25">
      <c r="A364" s="30" t="str">
        <f t="shared" si="290"/>
        <v>Emission Cost</v>
      </c>
      <c r="B364" s="62">
        <f>$B344+($C344-$B344)*(1-Q344)</f>
        <v>0</v>
      </c>
      <c r="C364" s="62">
        <f t="shared" ref="C364:AC364" si="319">$B344+($C344-$B344)*(1-R344)</f>
        <v>0</v>
      </c>
      <c r="D364" s="62">
        <f t="shared" si="319"/>
        <v>0</v>
      </c>
      <c r="E364" s="62">
        <f t="shared" si="319"/>
        <v>0</v>
      </c>
      <c r="F364" s="62">
        <f t="shared" si="319"/>
        <v>0</v>
      </c>
      <c r="G364" s="62">
        <f t="shared" si="319"/>
        <v>0</v>
      </c>
      <c r="H364" s="62">
        <f t="shared" si="319"/>
        <v>0</v>
      </c>
      <c r="I364" s="62">
        <f t="shared" si="319"/>
        <v>0</v>
      </c>
      <c r="J364" s="62">
        <f t="shared" si="319"/>
        <v>0</v>
      </c>
      <c r="K364" s="62">
        <f t="shared" si="319"/>
        <v>0</v>
      </c>
      <c r="L364" s="62">
        <f t="shared" si="319"/>
        <v>0</v>
      </c>
      <c r="M364" s="62">
        <f t="shared" si="319"/>
        <v>0</v>
      </c>
      <c r="N364" s="62">
        <f t="shared" si="319"/>
        <v>0</v>
      </c>
      <c r="O364" s="62">
        <f t="shared" si="319"/>
        <v>0</v>
      </c>
      <c r="P364" s="62">
        <f t="shared" si="319"/>
        <v>0</v>
      </c>
      <c r="Q364" s="62">
        <f t="shared" si="319"/>
        <v>0</v>
      </c>
      <c r="R364" s="62">
        <f t="shared" si="319"/>
        <v>0</v>
      </c>
      <c r="S364" s="62">
        <f t="shared" si="319"/>
        <v>0</v>
      </c>
      <c r="T364" s="62">
        <f t="shared" si="319"/>
        <v>0</v>
      </c>
      <c r="U364" s="62">
        <f t="shared" si="319"/>
        <v>0</v>
      </c>
      <c r="V364" s="62">
        <f t="shared" si="319"/>
        <v>0</v>
      </c>
      <c r="W364" s="62">
        <f t="shared" si="319"/>
        <v>0</v>
      </c>
      <c r="X364" s="62">
        <f t="shared" si="319"/>
        <v>0</v>
      </c>
      <c r="Y364" s="62">
        <f t="shared" si="319"/>
        <v>0</v>
      </c>
      <c r="Z364" s="62">
        <f t="shared" si="319"/>
        <v>0</v>
      </c>
      <c r="AA364" s="62">
        <f t="shared" si="319"/>
        <v>0</v>
      </c>
      <c r="AB364" s="62">
        <f t="shared" si="319"/>
        <v>0</v>
      </c>
      <c r="AC364" s="62">
        <f t="shared" si="319"/>
        <v>0</v>
      </c>
    </row>
    <row r="365" spans="1:29" x14ac:dyDescent="0.25">
      <c r="A365" s="30" t="str">
        <f t="shared" si="290"/>
        <v>Lifetime vehicle</v>
      </c>
      <c r="B365" s="62">
        <f>$B345+($C345-$B345)*(1-Q345)</f>
        <v>8</v>
      </c>
      <c r="C365" s="62">
        <f t="shared" ref="C365:L367" si="320">$B345+($C345-$B345)*(1-R345)</f>
        <v>8</v>
      </c>
      <c r="D365" s="62">
        <f t="shared" si="320"/>
        <v>8</v>
      </c>
      <c r="E365" s="62">
        <f t="shared" si="320"/>
        <v>8</v>
      </c>
      <c r="F365" s="62">
        <f t="shared" si="320"/>
        <v>8</v>
      </c>
      <c r="G365" s="62">
        <f t="shared" si="320"/>
        <v>8</v>
      </c>
      <c r="H365" s="62">
        <f t="shared" si="320"/>
        <v>8</v>
      </c>
      <c r="I365" s="62">
        <f t="shared" si="320"/>
        <v>8</v>
      </c>
      <c r="J365" s="62">
        <f t="shared" si="320"/>
        <v>8</v>
      </c>
      <c r="K365" s="62">
        <f t="shared" si="320"/>
        <v>8</v>
      </c>
      <c r="L365" s="62">
        <f t="shared" si="320"/>
        <v>8</v>
      </c>
      <c r="M365" s="62">
        <f t="shared" ref="M365:V367" si="321">$B345+($C345-$B345)*(1-AB345)</f>
        <v>8</v>
      </c>
      <c r="N365" s="62">
        <f t="shared" si="321"/>
        <v>8</v>
      </c>
      <c r="O365" s="62">
        <f t="shared" si="321"/>
        <v>8</v>
      </c>
      <c r="P365" s="62">
        <f t="shared" si="321"/>
        <v>8</v>
      </c>
      <c r="Q365" s="62">
        <f t="shared" si="321"/>
        <v>8</v>
      </c>
      <c r="R365" s="62">
        <f t="shared" si="321"/>
        <v>8</v>
      </c>
      <c r="S365" s="62">
        <f t="shared" si="321"/>
        <v>8</v>
      </c>
      <c r="T365" s="62">
        <f t="shared" si="321"/>
        <v>8</v>
      </c>
      <c r="U365" s="62">
        <f t="shared" si="321"/>
        <v>8</v>
      </c>
      <c r="V365" s="62">
        <f t="shared" si="321"/>
        <v>8</v>
      </c>
      <c r="W365" s="62">
        <f t="shared" ref="W365:AC367" si="322">$B345+($C345-$B345)*(1-AL345)</f>
        <v>8</v>
      </c>
      <c r="X365" s="62">
        <f t="shared" si="322"/>
        <v>8</v>
      </c>
      <c r="Y365" s="62">
        <f t="shared" si="322"/>
        <v>8</v>
      </c>
      <c r="Z365" s="62">
        <f t="shared" si="322"/>
        <v>8</v>
      </c>
      <c r="AA365" s="62">
        <f t="shared" si="322"/>
        <v>8</v>
      </c>
      <c r="AB365" s="62">
        <f t="shared" si="322"/>
        <v>8</v>
      </c>
      <c r="AC365" s="62">
        <f t="shared" si="322"/>
        <v>8</v>
      </c>
    </row>
    <row r="366" spans="1:29" x14ac:dyDescent="0.25">
      <c r="A366" s="30" t="str">
        <f t="shared" si="290"/>
        <v>Lifetime costumization</v>
      </c>
      <c r="B366" s="62">
        <f>$B346+($C346-$B346)*(1-Q346)</f>
        <v>10</v>
      </c>
      <c r="C366" s="62">
        <f t="shared" si="320"/>
        <v>10</v>
      </c>
      <c r="D366" s="62">
        <f t="shared" si="320"/>
        <v>10</v>
      </c>
      <c r="E366" s="62">
        <f t="shared" si="320"/>
        <v>10</v>
      </c>
      <c r="F366" s="62">
        <f t="shared" si="320"/>
        <v>10</v>
      </c>
      <c r="G366" s="62">
        <f t="shared" si="320"/>
        <v>10</v>
      </c>
      <c r="H366" s="62">
        <f t="shared" si="320"/>
        <v>10</v>
      </c>
      <c r="I366" s="62">
        <f t="shared" si="320"/>
        <v>10</v>
      </c>
      <c r="J366" s="62">
        <f t="shared" si="320"/>
        <v>10</v>
      </c>
      <c r="K366" s="62">
        <f t="shared" si="320"/>
        <v>10</v>
      </c>
      <c r="L366" s="62">
        <f t="shared" si="320"/>
        <v>10</v>
      </c>
      <c r="M366" s="62">
        <f t="shared" si="321"/>
        <v>10</v>
      </c>
      <c r="N366" s="62">
        <f t="shared" si="321"/>
        <v>10</v>
      </c>
      <c r="O366" s="62">
        <f t="shared" si="321"/>
        <v>10</v>
      </c>
      <c r="P366" s="62">
        <f t="shared" si="321"/>
        <v>10</v>
      </c>
      <c r="Q366" s="62">
        <f t="shared" si="321"/>
        <v>10</v>
      </c>
      <c r="R366" s="62">
        <f t="shared" si="321"/>
        <v>10</v>
      </c>
      <c r="S366" s="62">
        <f t="shared" si="321"/>
        <v>10</v>
      </c>
      <c r="T366" s="62">
        <f t="shared" si="321"/>
        <v>10</v>
      </c>
      <c r="U366" s="62">
        <f t="shared" si="321"/>
        <v>10</v>
      </c>
      <c r="V366" s="62">
        <f t="shared" si="321"/>
        <v>10</v>
      </c>
      <c r="W366" s="62">
        <f t="shared" si="322"/>
        <v>10</v>
      </c>
      <c r="X366" s="62">
        <f t="shared" si="322"/>
        <v>10</v>
      </c>
      <c r="Y366" s="62">
        <f t="shared" si="322"/>
        <v>10</v>
      </c>
      <c r="Z366" s="62">
        <f t="shared" si="322"/>
        <v>10</v>
      </c>
      <c r="AA366" s="62">
        <f t="shared" si="322"/>
        <v>10</v>
      </c>
      <c r="AB366" s="62">
        <f t="shared" si="322"/>
        <v>10</v>
      </c>
      <c r="AC366" s="62">
        <f t="shared" si="322"/>
        <v>10</v>
      </c>
    </row>
    <row r="367" spans="1:29" x14ac:dyDescent="0.25">
      <c r="A367" s="30" t="str">
        <f t="shared" si="290"/>
        <v>Tonnage .</v>
      </c>
      <c r="B367" s="62">
        <f>$B347+($C347-$B347)*(1-Q347)</f>
        <v>25</v>
      </c>
      <c r="C367" s="62">
        <f t="shared" si="320"/>
        <v>25</v>
      </c>
      <c r="D367" s="62">
        <f t="shared" si="320"/>
        <v>25</v>
      </c>
      <c r="E367" s="62">
        <f t="shared" si="320"/>
        <v>25</v>
      </c>
      <c r="F367" s="62">
        <f t="shared" si="320"/>
        <v>25</v>
      </c>
      <c r="G367" s="62">
        <f t="shared" si="320"/>
        <v>25</v>
      </c>
      <c r="H367" s="62">
        <f t="shared" si="320"/>
        <v>25</v>
      </c>
      <c r="I367" s="62">
        <f t="shared" si="320"/>
        <v>25</v>
      </c>
      <c r="J367" s="62">
        <f t="shared" si="320"/>
        <v>25</v>
      </c>
      <c r="K367" s="62">
        <f t="shared" si="320"/>
        <v>25</v>
      </c>
      <c r="L367" s="62">
        <f t="shared" si="320"/>
        <v>25</v>
      </c>
      <c r="M367" s="62">
        <f t="shared" si="321"/>
        <v>25</v>
      </c>
      <c r="N367" s="62">
        <f t="shared" si="321"/>
        <v>25</v>
      </c>
      <c r="O367" s="62">
        <f t="shared" si="321"/>
        <v>25</v>
      </c>
      <c r="P367" s="62">
        <f t="shared" si="321"/>
        <v>25</v>
      </c>
      <c r="Q367" s="62">
        <f t="shared" si="321"/>
        <v>25</v>
      </c>
      <c r="R367" s="62">
        <f t="shared" si="321"/>
        <v>25</v>
      </c>
      <c r="S367" s="62">
        <f t="shared" si="321"/>
        <v>25</v>
      </c>
      <c r="T367" s="62">
        <f t="shared" si="321"/>
        <v>25</v>
      </c>
      <c r="U367" s="62">
        <f t="shared" si="321"/>
        <v>25</v>
      </c>
      <c r="V367" s="62">
        <f t="shared" si="321"/>
        <v>25</v>
      </c>
      <c r="W367" s="62">
        <f t="shared" si="322"/>
        <v>25</v>
      </c>
      <c r="X367" s="62">
        <f t="shared" si="322"/>
        <v>25</v>
      </c>
      <c r="Y367" s="62">
        <f t="shared" si="322"/>
        <v>25</v>
      </c>
      <c r="Z367" s="62">
        <f t="shared" si="322"/>
        <v>25</v>
      </c>
      <c r="AA367" s="62">
        <f t="shared" si="322"/>
        <v>25</v>
      </c>
      <c r="AB367" s="62">
        <f t="shared" si="322"/>
        <v>25</v>
      </c>
      <c r="AC367" s="62">
        <f t="shared" si="322"/>
        <v>25</v>
      </c>
    </row>
    <row r="368" spans="1:29" x14ac:dyDescent="0.25">
      <c r="A368" s="30" t="str">
        <f t="shared" si="290"/>
        <v>Market failure (av. utilization)</v>
      </c>
      <c r="B368" s="62">
        <f t="shared" ref="B368:K369" si="323">($B348+($C348-$B348)*(1-Q348))*B$44</f>
        <v>15.333333333333336</v>
      </c>
      <c r="C368" s="62">
        <f t="shared" si="323"/>
        <v>15.333333333333336</v>
      </c>
      <c r="D368" s="62">
        <f t="shared" si="323"/>
        <v>15.333333333333336</v>
      </c>
      <c r="E368" s="62">
        <f t="shared" si="323"/>
        <v>15.333333333333336</v>
      </c>
      <c r="F368" s="62">
        <f t="shared" si="323"/>
        <v>15.333333333333336</v>
      </c>
      <c r="G368" s="62">
        <f t="shared" si="323"/>
        <v>15.333333333333336</v>
      </c>
      <c r="H368" s="62">
        <f t="shared" si="323"/>
        <v>15.333333333333336</v>
      </c>
      <c r="I368" s="62">
        <f t="shared" si="323"/>
        <v>15.333333333333336</v>
      </c>
      <c r="J368" s="62">
        <f t="shared" si="323"/>
        <v>15.333333333333336</v>
      </c>
      <c r="K368" s="62">
        <f t="shared" si="323"/>
        <v>15.333333333333336</v>
      </c>
      <c r="L368" s="62">
        <f t="shared" ref="L368:U369" si="324">($B348+($C348-$B348)*(1-AA348))*L$44</f>
        <v>15.333333333333336</v>
      </c>
      <c r="M368" s="62">
        <f t="shared" si="324"/>
        <v>15.333333333333336</v>
      </c>
      <c r="N368" s="62">
        <f t="shared" si="324"/>
        <v>15.333333333333336</v>
      </c>
      <c r="O368" s="62">
        <f t="shared" si="324"/>
        <v>15.333333333333336</v>
      </c>
      <c r="P368" s="62">
        <f t="shared" si="324"/>
        <v>15.333333333333336</v>
      </c>
      <c r="Q368" s="62">
        <f t="shared" si="324"/>
        <v>15.333333333333336</v>
      </c>
      <c r="R368" s="62">
        <f t="shared" si="324"/>
        <v>15.333333333333336</v>
      </c>
      <c r="S368" s="62">
        <f t="shared" si="324"/>
        <v>15.333333333333336</v>
      </c>
      <c r="T368" s="62">
        <f t="shared" si="324"/>
        <v>15.333333333333336</v>
      </c>
      <c r="U368" s="62">
        <f t="shared" si="324"/>
        <v>15.333333333333336</v>
      </c>
      <c r="V368" s="62">
        <f t="shared" ref="V368:AC369" si="325">($B348+($C348-$B348)*(1-AK348))*V$44</f>
        <v>15.333333333333336</v>
      </c>
      <c r="W368" s="62">
        <f t="shared" si="325"/>
        <v>15.333333333333336</v>
      </c>
      <c r="X368" s="62">
        <f t="shared" si="325"/>
        <v>15.333333333333336</v>
      </c>
      <c r="Y368" s="62">
        <f t="shared" si="325"/>
        <v>15.333333333333336</v>
      </c>
      <c r="Z368" s="62">
        <f t="shared" si="325"/>
        <v>15.333333333333336</v>
      </c>
      <c r="AA368" s="62">
        <f t="shared" si="325"/>
        <v>15.333333333333336</v>
      </c>
      <c r="AB368" s="62">
        <f t="shared" si="325"/>
        <v>15.333333333333336</v>
      </c>
      <c r="AC368" s="62">
        <f t="shared" si="325"/>
        <v>15.333333333333336</v>
      </c>
    </row>
    <row r="369" spans="1:29" x14ac:dyDescent="0.25">
      <c r="A369" s="30" t="s">
        <v>73</v>
      </c>
      <c r="B369" s="62">
        <f t="shared" si="323"/>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25">
      <c r="A370" s="30" t="str">
        <f>A350</f>
        <v>Annual Mileage</v>
      </c>
      <c r="B370" s="62">
        <f t="shared" ref="B370" si="326">$B350+($C350-$B350)*(1-Q350)</f>
        <v>78000</v>
      </c>
      <c r="C370" s="62">
        <f t="shared" ref="C370" si="327">$B350+($C350-$B350)*(1-R350)</f>
        <v>78000</v>
      </c>
      <c r="D370" s="62">
        <f t="shared" ref="D370" si="328">$B350+($C350-$B350)*(1-S350)</f>
        <v>78000</v>
      </c>
      <c r="E370" s="62">
        <f t="shared" ref="E370" si="329">$B350+($C350-$B350)*(1-T350)</f>
        <v>78000</v>
      </c>
      <c r="F370" s="62">
        <f t="shared" ref="F370" si="330">$B350+($C350-$B350)*(1-U350)</f>
        <v>78000</v>
      </c>
      <c r="G370" s="62">
        <f t="shared" ref="G370" si="331">$B350+($C350-$B350)*(1-V350)</f>
        <v>78000</v>
      </c>
      <c r="H370" s="62">
        <f t="shared" ref="H370" si="332">$B350+($C350-$B350)*(1-W350)</f>
        <v>78000</v>
      </c>
      <c r="I370" s="62">
        <f t="shared" ref="I370" si="333">$B350+($C350-$B350)*(1-X350)</f>
        <v>78000</v>
      </c>
      <c r="J370" s="62">
        <f t="shared" ref="J370" si="334">$B350+($C350-$B350)*(1-Y350)</f>
        <v>78000</v>
      </c>
      <c r="K370" s="62">
        <f t="shared" ref="K370" si="335">$B350+($C350-$B350)*(1-Z350)</f>
        <v>78000</v>
      </c>
      <c r="L370" s="62">
        <f t="shared" ref="L370" si="336">$B350+($C350-$B350)*(1-AA350)</f>
        <v>78000</v>
      </c>
      <c r="M370" s="62">
        <f t="shared" ref="M370" si="337">$B350+($C350-$B350)*(1-AB350)</f>
        <v>78000</v>
      </c>
      <c r="N370" s="62">
        <f t="shared" ref="N370" si="338">$B350+($C350-$B350)*(1-AC350)</f>
        <v>78000</v>
      </c>
      <c r="O370" s="62">
        <f t="shared" ref="O370" si="339">$B350+($C350-$B350)*(1-AD350)</f>
        <v>78000</v>
      </c>
      <c r="P370" s="62">
        <f t="shared" ref="P370" si="340">$B350+($C350-$B350)*(1-AE350)</f>
        <v>78000</v>
      </c>
      <c r="Q370" s="62">
        <f t="shared" ref="Q370" si="341">$B350+($C350-$B350)*(1-AF350)</f>
        <v>78000</v>
      </c>
      <c r="R370" s="62">
        <f t="shared" ref="R370" si="342">$B350+($C350-$B350)*(1-AG350)</f>
        <v>78000</v>
      </c>
      <c r="S370" s="62">
        <f t="shared" ref="S370" si="343">$B350+($C350-$B350)*(1-AH350)</f>
        <v>78000</v>
      </c>
      <c r="T370" s="62">
        <f t="shared" ref="T370" si="344">$B350+($C350-$B350)*(1-AI350)</f>
        <v>78000</v>
      </c>
      <c r="U370" s="62">
        <f t="shared" ref="U370" si="345">$B350+($C350-$B350)*(1-AJ350)</f>
        <v>78000</v>
      </c>
      <c r="V370" s="62">
        <f t="shared" ref="V370" si="346">$B350+($C350-$B350)*(1-AK350)</f>
        <v>78000</v>
      </c>
      <c r="W370" s="62">
        <f t="shared" ref="W370" si="347">$B350+($C350-$B350)*(1-AL350)</f>
        <v>78000</v>
      </c>
      <c r="X370" s="62">
        <f t="shared" ref="X370" si="348">$B350+($C350-$B350)*(1-AM350)</f>
        <v>78000</v>
      </c>
      <c r="Y370" s="62">
        <f t="shared" ref="Y370" si="349">$B350+($C350-$B350)*(1-AN350)</f>
        <v>78000</v>
      </c>
      <c r="Z370" s="62">
        <f t="shared" ref="Z370" si="350">$B350+($C350-$B350)*(1-AO350)</f>
        <v>78000</v>
      </c>
      <c r="AA370" s="62">
        <f t="shared" ref="AA370" si="351">$B350+($C350-$B350)*(1-AP350)</f>
        <v>78000</v>
      </c>
      <c r="AB370" s="62">
        <f t="shared" ref="AB370" si="352">$B350+($C350-$B350)*(1-AQ350)</f>
        <v>78000</v>
      </c>
      <c r="AC370" s="62">
        <f t="shared" ref="AC370" si="353">$B350+($C350-$B350)*(1-AR350)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4">((1+C358)^C365)*C358/(((1+C358)^C365)-1)*(C354)</f>
        <v>16939.137147822737</v>
      </c>
      <c r="D373" s="63">
        <f t="shared" si="354"/>
        <v>16952.062076917297</v>
      </c>
      <c r="E373" s="63">
        <f t="shared" si="354"/>
        <v>16970.330222186072</v>
      </c>
      <c r="F373" s="63">
        <f t="shared" si="354"/>
        <v>16995.97836855879</v>
      </c>
      <c r="G373" s="63">
        <f t="shared" si="354"/>
        <v>17031.638602582309</v>
      </c>
      <c r="H373" s="63">
        <f t="shared" si="354"/>
        <v>17080.52744937655</v>
      </c>
      <c r="I373" s="63">
        <f t="shared" si="354"/>
        <v>17146.228820750977</v>
      </c>
      <c r="J373" s="63">
        <f t="shared" si="354"/>
        <v>17232.113205708847</v>
      </c>
      <c r="K373" s="63">
        <f t="shared" si="354"/>
        <v>17340.270072218107</v>
      </c>
      <c r="L373" s="63">
        <f t="shared" si="354"/>
        <v>17470.055207385878</v>
      </c>
      <c r="M373" s="63">
        <f t="shared" si="354"/>
        <v>17616.812818916205</v>
      </c>
      <c r="N373" s="63">
        <f t="shared" si="354"/>
        <v>17771.744227277446</v>
      </c>
      <c r="O373" s="63">
        <f t="shared" si="354"/>
        <v>17923.62687531321</v>
      </c>
      <c r="P373" s="63">
        <f t="shared" si="354"/>
        <v>18061.888776104923</v>
      </c>
      <c r="Q373" s="63">
        <f t="shared" si="354"/>
        <v>18179.391702904584</v>
      </c>
      <c r="R373" s="63">
        <f t="shared" si="354"/>
        <v>18273.490503689198</v>
      </c>
      <c r="S373" s="63">
        <f t="shared" si="354"/>
        <v>18345.292065090671</v>
      </c>
      <c r="T373" s="63">
        <f t="shared" si="354"/>
        <v>18398.071971214304</v>
      </c>
      <c r="U373" s="63">
        <f t="shared" si="354"/>
        <v>18435.808840543512</v>
      </c>
      <c r="V373" s="63">
        <f t="shared" si="354"/>
        <v>18462.256812975615</v>
      </c>
      <c r="W373" s="63">
        <f t="shared" si="354"/>
        <v>18480.533987545627</v>
      </c>
      <c r="X373" s="63">
        <f t="shared" si="354"/>
        <v>18493.041968890429</v>
      </c>
      <c r="Y373" s="63">
        <f t="shared" si="354"/>
        <v>18501.544671484124</v>
      </c>
      <c r="Z373" s="63">
        <f t="shared" si="354"/>
        <v>18507.298355716259</v>
      </c>
      <c r="AA373" s="63">
        <f t="shared" si="354"/>
        <v>18511.179797106222</v>
      </c>
      <c r="AB373" s="63">
        <f t="shared" si="354"/>
        <v>18513.792764168582</v>
      </c>
      <c r="AC373" s="63">
        <f t="shared" si="354"/>
        <v>18515.549330276619</v>
      </c>
    </row>
    <row r="374" spans="1:29" x14ac:dyDescent="0.25">
      <c r="A374" s="30" t="str">
        <f>A355</f>
        <v>Residual value (vehicle)</v>
      </c>
      <c r="B374" s="62">
        <f>((1+B358)^B365)*B358/(((1+B358)^B365)-1)*(B355)</f>
        <v>-4208.0593252569806</v>
      </c>
      <c r="C374" s="62">
        <f t="shared" ref="C374:AC374" si="355">((1+C358)^C365)*C358/(((1+C358)^C365)-1)*(C355)</f>
        <v>-4199.866641721108</v>
      </c>
      <c r="D374" s="62">
        <f t="shared" si="355"/>
        <v>-4188.2342055360041</v>
      </c>
      <c r="E374" s="62">
        <f t="shared" si="355"/>
        <v>-4171.7928747941069</v>
      </c>
      <c r="F374" s="62">
        <f t="shared" si="355"/>
        <v>-4148.7095430586614</v>
      </c>
      <c r="G374" s="62">
        <f t="shared" si="355"/>
        <v>-4116.6153324374927</v>
      </c>
      <c r="H374" s="62">
        <f t="shared" si="355"/>
        <v>-4072.6153703226773</v>
      </c>
      <c r="I374" s="62">
        <f t="shared" si="355"/>
        <v>-4013.4841360856908</v>
      </c>
      <c r="J374" s="62">
        <f t="shared" si="355"/>
        <v>-3936.1881896236077</v>
      </c>
      <c r="K374" s="62">
        <f t="shared" si="355"/>
        <v>-3838.8470097652757</v>
      </c>
      <c r="L374" s="62">
        <f t="shared" si="355"/>
        <v>-3722.0403881142815</v>
      </c>
      <c r="M374" s="62">
        <f t="shared" si="355"/>
        <v>-3589.9585377369858</v>
      </c>
      <c r="N374" s="62">
        <f t="shared" si="355"/>
        <v>-3450.5202702118704</v>
      </c>
      <c r="O374" s="62">
        <f t="shared" si="355"/>
        <v>-3313.8258869796846</v>
      </c>
      <c r="P374" s="62">
        <f t="shared" si="355"/>
        <v>-3189.3901762671421</v>
      </c>
      <c r="Q374" s="62">
        <f t="shared" si="355"/>
        <v>-3083.6375421474468</v>
      </c>
      <c r="R374" s="62">
        <f t="shared" si="355"/>
        <v>-2998.9486214412941</v>
      </c>
      <c r="S374" s="62">
        <f t="shared" si="355"/>
        <v>-2934.3272161799682</v>
      </c>
      <c r="T374" s="62">
        <f t="shared" si="355"/>
        <v>-2886.8253006686996</v>
      </c>
      <c r="U374" s="62">
        <f t="shared" si="355"/>
        <v>-2852.8621182724105</v>
      </c>
      <c r="V374" s="62">
        <f t="shared" si="355"/>
        <v>-2829.0589430835184</v>
      </c>
      <c r="W374" s="62">
        <f t="shared" si="355"/>
        <v>-2812.6094859705067</v>
      </c>
      <c r="X374" s="62">
        <f t="shared" si="355"/>
        <v>-2801.3523027601836</v>
      </c>
      <c r="Y374" s="62">
        <f t="shared" si="355"/>
        <v>-2793.6998704258613</v>
      </c>
      <c r="Z374" s="62">
        <f t="shared" si="355"/>
        <v>-2788.5215546169388</v>
      </c>
      <c r="AA374" s="62">
        <f t="shared" si="355"/>
        <v>-2785.0282573659729</v>
      </c>
      <c r="AB374" s="62">
        <f t="shared" si="355"/>
        <v>-2782.6765870098498</v>
      </c>
      <c r="AC374" s="62">
        <f t="shared" si="355"/>
        <v>-2781.0956775126119</v>
      </c>
    </row>
    <row r="375" spans="1:29" x14ac:dyDescent="0.25">
      <c r="A375" s="30" t="str">
        <f>A356</f>
        <v>Capex costumization</v>
      </c>
      <c r="B375" s="62">
        <f>((1+B358)^B366)*B358/(((1+B358)^B366)-1)*(B356)</f>
        <v>5434.7183288153492</v>
      </c>
      <c r="C375" s="62">
        <f t="shared" ref="C375:AC375" si="356">((1+C358)^C366)*C358/(((1+C358)^C366)-1)*(C356)</f>
        <v>5434.7183288153492</v>
      </c>
      <c r="D375" s="62">
        <f t="shared" si="356"/>
        <v>5434.7183288153492</v>
      </c>
      <c r="E375" s="62">
        <f t="shared" si="356"/>
        <v>5434.7183288153492</v>
      </c>
      <c r="F375" s="62">
        <f t="shared" si="356"/>
        <v>5434.7183288153492</v>
      </c>
      <c r="G375" s="62">
        <f t="shared" si="356"/>
        <v>5434.7183288153492</v>
      </c>
      <c r="H375" s="62">
        <f t="shared" si="356"/>
        <v>5434.7183288153492</v>
      </c>
      <c r="I375" s="62">
        <f t="shared" si="356"/>
        <v>5434.7183288153492</v>
      </c>
      <c r="J375" s="62">
        <f t="shared" si="356"/>
        <v>5434.7183288153492</v>
      </c>
      <c r="K375" s="62">
        <f t="shared" si="356"/>
        <v>5434.7183288153492</v>
      </c>
      <c r="L375" s="62">
        <f t="shared" si="356"/>
        <v>5434.7183288153492</v>
      </c>
      <c r="M375" s="62">
        <f t="shared" si="356"/>
        <v>5434.7183288153492</v>
      </c>
      <c r="N375" s="62">
        <f t="shared" si="356"/>
        <v>5434.7183288153492</v>
      </c>
      <c r="O375" s="62">
        <f t="shared" si="356"/>
        <v>5434.7183288153492</v>
      </c>
      <c r="P375" s="62">
        <f t="shared" si="356"/>
        <v>5434.7183288153492</v>
      </c>
      <c r="Q375" s="62">
        <f t="shared" si="356"/>
        <v>5434.7183288153492</v>
      </c>
      <c r="R375" s="62">
        <f t="shared" si="356"/>
        <v>5434.7183288153492</v>
      </c>
      <c r="S375" s="62">
        <f t="shared" si="356"/>
        <v>5434.7183288153492</v>
      </c>
      <c r="T375" s="62">
        <f t="shared" si="356"/>
        <v>5434.7183288153492</v>
      </c>
      <c r="U375" s="62">
        <f t="shared" si="356"/>
        <v>5434.7183288153492</v>
      </c>
      <c r="V375" s="62">
        <f t="shared" si="356"/>
        <v>5434.7183288153492</v>
      </c>
      <c r="W375" s="62">
        <f t="shared" si="356"/>
        <v>5434.7183288153492</v>
      </c>
      <c r="X375" s="62">
        <f t="shared" si="356"/>
        <v>5434.7183288153492</v>
      </c>
      <c r="Y375" s="62">
        <f t="shared" si="356"/>
        <v>5434.7183288153492</v>
      </c>
      <c r="Z375" s="62">
        <f t="shared" si="356"/>
        <v>5434.7183288153492</v>
      </c>
      <c r="AA375" s="62">
        <f t="shared" si="356"/>
        <v>5434.7183288153492</v>
      </c>
      <c r="AB375" s="62">
        <f t="shared" si="356"/>
        <v>5434.7183288153492</v>
      </c>
      <c r="AC375" s="62">
        <f t="shared" si="356"/>
        <v>5434.7183288153492</v>
      </c>
    </row>
    <row r="376" spans="1:29" x14ac:dyDescent="0.25">
      <c r="A376" s="30" t="str">
        <f>A357</f>
        <v>Residual value (costumization)</v>
      </c>
      <c r="B376" s="62">
        <f>((1+B358)^B366)*B358/(((1+B358)^B366)-1)*(B357)</f>
        <v>-1358.6795822038373</v>
      </c>
      <c r="C376" s="62">
        <f t="shared" ref="C376:AC376" si="357">((1+C358)^C366)*C358/(((1+C358)^C366)-1)*(C357)</f>
        <v>-1358.6795822038373</v>
      </c>
      <c r="D376" s="62">
        <f t="shared" si="357"/>
        <v>-1358.6795822038373</v>
      </c>
      <c r="E376" s="62">
        <f t="shared" si="357"/>
        <v>-1358.6795822038373</v>
      </c>
      <c r="F376" s="62">
        <f t="shared" si="357"/>
        <v>-1358.6795822038373</v>
      </c>
      <c r="G376" s="62">
        <f t="shared" si="357"/>
        <v>-1358.6795822038373</v>
      </c>
      <c r="H376" s="62">
        <f t="shared" si="357"/>
        <v>-1358.6795822038373</v>
      </c>
      <c r="I376" s="62">
        <f t="shared" si="357"/>
        <v>-1358.6795822038373</v>
      </c>
      <c r="J376" s="62">
        <f t="shared" si="357"/>
        <v>-1358.6795822038373</v>
      </c>
      <c r="K376" s="62">
        <f t="shared" si="357"/>
        <v>-1358.6795822038373</v>
      </c>
      <c r="L376" s="62">
        <f t="shared" si="357"/>
        <v>-1358.6795822038373</v>
      </c>
      <c r="M376" s="62">
        <f t="shared" si="357"/>
        <v>-1358.6795822038373</v>
      </c>
      <c r="N376" s="62">
        <f t="shared" si="357"/>
        <v>-1358.6795822038373</v>
      </c>
      <c r="O376" s="62">
        <f t="shared" si="357"/>
        <v>-1358.6795822038373</v>
      </c>
      <c r="P376" s="62">
        <f t="shared" si="357"/>
        <v>-1358.6795822038373</v>
      </c>
      <c r="Q376" s="62">
        <f t="shared" si="357"/>
        <v>-1358.6795822038373</v>
      </c>
      <c r="R376" s="62">
        <f t="shared" si="357"/>
        <v>-1358.6795822038373</v>
      </c>
      <c r="S376" s="62">
        <f t="shared" si="357"/>
        <v>-1358.6795822038373</v>
      </c>
      <c r="T376" s="62">
        <f t="shared" si="357"/>
        <v>-1358.6795822038373</v>
      </c>
      <c r="U376" s="62">
        <f t="shared" si="357"/>
        <v>-1358.6795822038373</v>
      </c>
      <c r="V376" s="62">
        <f t="shared" si="357"/>
        <v>-1358.6795822038373</v>
      </c>
      <c r="W376" s="62">
        <f t="shared" si="357"/>
        <v>-1358.6795822038373</v>
      </c>
      <c r="X376" s="62">
        <f t="shared" si="357"/>
        <v>-1358.6795822038373</v>
      </c>
      <c r="Y376" s="62">
        <f t="shared" si="357"/>
        <v>-1358.6795822038373</v>
      </c>
      <c r="Z376" s="62">
        <f t="shared" si="357"/>
        <v>-1358.6795822038373</v>
      </c>
      <c r="AA376" s="62">
        <f t="shared" si="357"/>
        <v>-1358.6795822038373</v>
      </c>
      <c r="AB376" s="62">
        <f t="shared" si="357"/>
        <v>-1358.6795822038373</v>
      </c>
      <c r="AC376" s="62">
        <f t="shared" si="357"/>
        <v>-1358.6795822038373</v>
      </c>
    </row>
    <row r="377" spans="1:29" x14ac:dyDescent="0.25">
      <c r="A377" s="30" t="str">
        <f>A359</f>
        <v>Opex fix (admin, crew, insurance)</v>
      </c>
      <c r="B377" s="62">
        <f>B359</f>
        <v>70000</v>
      </c>
      <c r="C377" s="62">
        <f t="shared" ref="C377:AC377" si="358">C359</f>
        <v>70000</v>
      </c>
      <c r="D377" s="62">
        <f t="shared" si="358"/>
        <v>70000</v>
      </c>
      <c r="E377" s="62">
        <f t="shared" si="358"/>
        <v>70000</v>
      </c>
      <c r="F377" s="62">
        <f t="shared" si="358"/>
        <v>70000</v>
      </c>
      <c r="G377" s="62">
        <f t="shared" si="358"/>
        <v>70000</v>
      </c>
      <c r="H377" s="62">
        <f t="shared" si="358"/>
        <v>70000</v>
      </c>
      <c r="I377" s="62">
        <f t="shared" si="358"/>
        <v>70000</v>
      </c>
      <c r="J377" s="62">
        <f t="shared" si="358"/>
        <v>70000</v>
      </c>
      <c r="K377" s="62">
        <f t="shared" si="358"/>
        <v>70000</v>
      </c>
      <c r="L377" s="62">
        <f t="shared" si="358"/>
        <v>70000</v>
      </c>
      <c r="M377" s="62">
        <f t="shared" si="358"/>
        <v>70000</v>
      </c>
      <c r="N377" s="62">
        <f t="shared" si="358"/>
        <v>70000</v>
      </c>
      <c r="O377" s="62">
        <f t="shared" si="358"/>
        <v>70000</v>
      </c>
      <c r="P377" s="62">
        <f t="shared" si="358"/>
        <v>70000</v>
      </c>
      <c r="Q377" s="62">
        <f t="shared" si="358"/>
        <v>70000</v>
      </c>
      <c r="R377" s="62">
        <f t="shared" si="358"/>
        <v>70000</v>
      </c>
      <c r="S377" s="62">
        <f t="shared" si="358"/>
        <v>70000</v>
      </c>
      <c r="T377" s="62">
        <f t="shared" si="358"/>
        <v>70000</v>
      </c>
      <c r="U377" s="62">
        <f t="shared" si="358"/>
        <v>70000</v>
      </c>
      <c r="V377" s="62">
        <f t="shared" si="358"/>
        <v>70000</v>
      </c>
      <c r="W377" s="62">
        <f t="shared" si="358"/>
        <v>70000</v>
      </c>
      <c r="X377" s="62">
        <f t="shared" si="358"/>
        <v>70000</v>
      </c>
      <c r="Y377" s="62">
        <f t="shared" si="358"/>
        <v>70000</v>
      </c>
      <c r="Z377" s="62">
        <f t="shared" si="358"/>
        <v>70000</v>
      </c>
      <c r="AA377" s="62">
        <f t="shared" si="358"/>
        <v>70000</v>
      </c>
      <c r="AB377" s="62">
        <f t="shared" si="358"/>
        <v>70000</v>
      </c>
      <c r="AC377" s="62">
        <f t="shared" si="358"/>
        <v>70000</v>
      </c>
    </row>
    <row r="378" spans="1:29" x14ac:dyDescent="0.25">
      <c r="A378" s="30" t="str">
        <f>A360</f>
        <v>Opex maintenance &amp; repair</v>
      </c>
      <c r="B378" s="62">
        <f>B360</f>
        <v>20000</v>
      </c>
      <c r="C378" s="62">
        <f t="shared" ref="C378:AC378" si="359">C360</f>
        <v>20000</v>
      </c>
      <c r="D378" s="62">
        <f t="shared" si="359"/>
        <v>20000</v>
      </c>
      <c r="E378" s="62">
        <f t="shared" si="359"/>
        <v>20000</v>
      </c>
      <c r="F378" s="62">
        <f t="shared" si="359"/>
        <v>20000</v>
      </c>
      <c r="G378" s="62">
        <f t="shared" si="359"/>
        <v>20000</v>
      </c>
      <c r="H378" s="62">
        <f t="shared" si="359"/>
        <v>20000</v>
      </c>
      <c r="I378" s="62">
        <f t="shared" si="359"/>
        <v>20000</v>
      </c>
      <c r="J378" s="62">
        <f t="shared" si="359"/>
        <v>20000</v>
      </c>
      <c r="K378" s="62">
        <f t="shared" si="359"/>
        <v>20000</v>
      </c>
      <c r="L378" s="62">
        <f t="shared" si="359"/>
        <v>20000</v>
      </c>
      <c r="M378" s="62">
        <f t="shared" si="359"/>
        <v>20000</v>
      </c>
      <c r="N378" s="62">
        <f t="shared" si="359"/>
        <v>20000</v>
      </c>
      <c r="O378" s="62">
        <f t="shared" si="359"/>
        <v>20000</v>
      </c>
      <c r="P378" s="62">
        <f t="shared" si="359"/>
        <v>20000</v>
      </c>
      <c r="Q378" s="62">
        <f t="shared" si="359"/>
        <v>20000</v>
      </c>
      <c r="R378" s="62">
        <f t="shared" si="359"/>
        <v>20000</v>
      </c>
      <c r="S378" s="62">
        <f t="shared" si="359"/>
        <v>20000</v>
      </c>
      <c r="T378" s="62">
        <f t="shared" si="359"/>
        <v>20000</v>
      </c>
      <c r="U378" s="62">
        <f t="shared" si="359"/>
        <v>20000</v>
      </c>
      <c r="V378" s="62">
        <f t="shared" si="359"/>
        <v>20000</v>
      </c>
      <c r="W378" s="62">
        <f t="shared" si="359"/>
        <v>20000</v>
      </c>
      <c r="X378" s="62">
        <f t="shared" si="359"/>
        <v>20000</v>
      </c>
      <c r="Y378" s="62">
        <f t="shared" si="359"/>
        <v>20000</v>
      </c>
      <c r="Z378" s="62">
        <f t="shared" si="359"/>
        <v>20000</v>
      </c>
      <c r="AA378" s="62">
        <f t="shared" si="359"/>
        <v>20000</v>
      </c>
      <c r="AB378" s="62">
        <f t="shared" si="359"/>
        <v>20000</v>
      </c>
      <c r="AC378" s="62">
        <f t="shared" si="359"/>
        <v>20000</v>
      </c>
    </row>
    <row r="379" spans="1:29" x14ac:dyDescent="0.25">
      <c r="A379" s="30" t="str">
        <f>A361</f>
        <v>Opex var (mode-fees)</v>
      </c>
      <c r="B379" s="62">
        <f>B361*B370</f>
        <v>8580</v>
      </c>
      <c r="C379" s="62">
        <f t="shared" ref="C379:AC379" si="360">C361*C370</f>
        <v>8580</v>
      </c>
      <c r="D379" s="62">
        <f t="shared" si="360"/>
        <v>8580</v>
      </c>
      <c r="E379" s="62">
        <f t="shared" si="360"/>
        <v>8580</v>
      </c>
      <c r="F379" s="62">
        <f t="shared" si="360"/>
        <v>8580</v>
      </c>
      <c r="G379" s="62">
        <f t="shared" si="360"/>
        <v>8580</v>
      </c>
      <c r="H379" s="62">
        <f t="shared" si="360"/>
        <v>8580</v>
      </c>
      <c r="I379" s="62">
        <f t="shared" si="360"/>
        <v>8580</v>
      </c>
      <c r="J379" s="62">
        <f t="shared" si="360"/>
        <v>8580</v>
      </c>
      <c r="K379" s="62">
        <f t="shared" si="360"/>
        <v>8580</v>
      </c>
      <c r="L379" s="62">
        <f t="shared" si="360"/>
        <v>8580</v>
      </c>
      <c r="M379" s="62">
        <f t="shared" si="360"/>
        <v>8580</v>
      </c>
      <c r="N379" s="62">
        <f t="shared" si="360"/>
        <v>8580</v>
      </c>
      <c r="O379" s="62">
        <f t="shared" si="360"/>
        <v>8580</v>
      </c>
      <c r="P379" s="62">
        <f t="shared" si="360"/>
        <v>8580</v>
      </c>
      <c r="Q379" s="62">
        <f t="shared" si="360"/>
        <v>8580</v>
      </c>
      <c r="R379" s="62">
        <f t="shared" si="360"/>
        <v>8580</v>
      </c>
      <c r="S379" s="62">
        <f t="shared" si="360"/>
        <v>8580</v>
      </c>
      <c r="T379" s="62">
        <f t="shared" si="360"/>
        <v>8580</v>
      </c>
      <c r="U379" s="62">
        <f t="shared" si="360"/>
        <v>8580</v>
      </c>
      <c r="V379" s="62">
        <f t="shared" si="360"/>
        <v>8580</v>
      </c>
      <c r="W379" s="62">
        <f t="shared" si="360"/>
        <v>8580</v>
      </c>
      <c r="X379" s="62">
        <f t="shared" si="360"/>
        <v>8580</v>
      </c>
      <c r="Y379" s="62">
        <f t="shared" si="360"/>
        <v>8580</v>
      </c>
      <c r="Z379" s="62">
        <f t="shared" si="360"/>
        <v>8580</v>
      </c>
      <c r="AA379" s="62">
        <f t="shared" si="360"/>
        <v>8580</v>
      </c>
      <c r="AB379" s="62">
        <f t="shared" si="360"/>
        <v>8580</v>
      </c>
      <c r="AC379" s="62">
        <f t="shared" si="360"/>
        <v>8580</v>
      </c>
    </row>
    <row r="380" spans="1:29" x14ac:dyDescent="0.25">
      <c r="A380" s="30" t="str">
        <f>A363</f>
        <v>Fuel Cost</v>
      </c>
      <c r="B380" s="62">
        <f>B362*B363*B370</f>
        <v>13078.736984089945</v>
      </c>
      <c r="C380" s="62">
        <f t="shared" ref="C380:AC380" si="361">C362*C363*C370</f>
        <v>12164.86040621453</v>
      </c>
      <c r="D380" s="62">
        <f t="shared" si="361"/>
        <v>11248.121864203909</v>
      </c>
      <c r="E380" s="62">
        <f t="shared" si="361"/>
        <v>10327.937827148171</v>
      </c>
      <c r="F380" s="62">
        <f t="shared" si="361"/>
        <v>9403.789823007608</v>
      </c>
      <c r="G380" s="62">
        <f t="shared" si="361"/>
        <v>8475.4005620154967</v>
      </c>
      <c r="H380" s="62">
        <f t="shared" si="361"/>
        <v>7543.0309743131129</v>
      </c>
      <c r="I380" s="62">
        <f t="shared" si="361"/>
        <v>6607.9206186545598</v>
      </c>
      <c r="J380" s="62">
        <f t="shared" si="361"/>
        <v>6413.1041568424989</v>
      </c>
      <c r="K380" s="62">
        <f t="shared" si="361"/>
        <v>6205.2972973958704</v>
      </c>
      <c r="L380" s="62">
        <f t="shared" si="361"/>
        <v>5985.9209554836452</v>
      </c>
      <c r="M380" s="62">
        <f t="shared" si="361"/>
        <v>5759.0345903135585</v>
      </c>
      <c r="N380" s="62">
        <f t="shared" si="361"/>
        <v>5531.1271989854567</v>
      </c>
      <c r="O380" s="62">
        <f t="shared" si="361"/>
        <v>5309.7166290123196</v>
      </c>
      <c r="P380" s="62">
        <f t="shared" si="361"/>
        <v>5101.2558542068818</v>
      </c>
      <c r="Q380" s="62">
        <f t="shared" si="361"/>
        <v>4909.4874631483708</v>
      </c>
      <c r="R380" s="62">
        <f t="shared" si="361"/>
        <v>4735.0669683268843</v>
      </c>
      <c r="S380" s="62">
        <f t="shared" si="361"/>
        <v>4576.3219318609708</v>
      </c>
      <c r="T380" s="62">
        <f t="shared" si="361"/>
        <v>4430.4211060235721</v>
      </c>
      <c r="U380" s="62">
        <f t="shared" si="361"/>
        <v>4294.3393231651298</v>
      </c>
      <c r="V380" s="62">
        <f t="shared" si="361"/>
        <v>4165.4053076432783</v>
      </c>
      <c r="W380" s="62">
        <f t="shared" si="361"/>
        <v>4041.4993029113866</v>
      </c>
      <c r="X380" s="62">
        <f t="shared" si="361"/>
        <v>3921.0470236520705</v>
      </c>
      <c r="Y380" s="62">
        <f t="shared" si="361"/>
        <v>3802.9283410374737</v>
      </c>
      <c r="Z380" s="62">
        <f t="shared" si="361"/>
        <v>3686.3685189987791</v>
      </c>
      <c r="AA380" s="62">
        <f t="shared" si="361"/>
        <v>3570.8417746179957</v>
      </c>
      <c r="AB380" s="62">
        <f t="shared" si="361"/>
        <v>3455.9958281511485</v>
      </c>
      <c r="AC380" s="62">
        <f t="shared" si="361"/>
        <v>3341.5967133389913</v>
      </c>
    </row>
    <row r="381" spans="1:29" ht="15.75" thickBot="1" x14ac:dyDescent="0.3">
      <c r="A381" s="59" t="str">
        <f>A344</f>
        <v>Emission Cost</v>
      </c>
      <c r="B381" s="62">
        <f>B364*B370</f>
        <v>0</v>
      </c>
      <c r="C381" s="62">
        <f t="shared" ref="C381:AC381" si="362">C364*C370</f>
        <v>0</v>
      </c>
      <c r="D381" s="62">
        <f t="shared" si="362"/>
        <v>0</v>
      </c>
      <c r="E381" s="62">
        <f t="shared" si="362"/>
        <v>0</v>
      </c>
      <c r="F381" s="62">
        <f t="shared" si="362"/>
        <v>0</v>
      </c>
      <c r="G381" s="62">
        <f t="shared" si="362"/>
        <v>0</v>
      </c>
      <c r="H381" s="62">
        <f t="shared" si="362"/>
        <v>0</v>
      </c>
      <c r="I381" s="62">
        <f t="shared" si="362"/>
        <v>0</v>
      </c>
      <c r="J381" s="62">
        <f t="shared" si="362"/>
        <v>0</v>
      </c>
      <c r="K381" s="62">
        <f t="shared" si="362"/>
        <v>0</v>
      </c>
      <c r="L381" s="62">
        <f t="shared" si="362"/>
        <v>0</v>
      </c>
      <c r="M381" s="62">
        <f t="shared" si="362"/>
        <v>0</v>
      </c>
      <c r="N381" s="62">
        <f t="shared" si="362"/>
        <v>0</v>
      </c>
      <c r="O381" s="62">
        <f t="shared" si="362"/>
        <v>0</v>
      </c>
      <c r="P381" s="62">
        <f t="shared" si="362"/>
        <v>0</v>
      </c>
      <c r="Q381" s="62">
        <f t="shared" si="362"/>
        <v>0</v>
      </c>
      <c r="R381" s="62">
        <f t="shared" si="362"/>
        <v>0</v>
      </c>
      <c r="S381" s="62">
        <f t="shared" si="362"/>
        <v>0</v>
      </c>
      <c r="T381" s="62">
        <f t="shared" si="362"/>
        <v>0</v>
      </c>
      <c r="U381" s="62">
        <f t="shared" si="362"/>
        <v>0</v>
      </c>
      <c r="V381" s="62">
        <f t="shared" si="362"/>
        <v>0</v>
      </c>
      <c r="W381" s="62">
        <f t="shared" si="362"/>
        <v>0</v>
      </c>
      <c r="X381" s="62">
        <f t="shared" si="362"/>
        <v>0</v>
      </c>
      <c r="Y381" s="62">
        <f t="shared" si="362"/>
        <v>0</v>
      </c>
      <c r="Z381" s="62">
        <f t="shared" si="362"/>
        <v>0</v>
      </c>
      <c r="AA381" s="62">
        <f t="shared" si="362"/>
        <v>0</v>
      </c>
      <c r="AB381" s="62">
        <f t="shared" si="362"/>
        <v>0</v>
      </c>
      <c r="AC381" s="62">
        <f t="shared" si="362"/>
        <v>0</v>
      </c>
    </row>
    <row r="382" spans="1:29" ht="15.75" thickBot="1" x14ac:dyDescent="0.3">
      <c r="A382" s="31" t="s">
        <v>209</v>
      </c>
      <c r="B382" s="64">
        <f>B373+B374+B375+B376+B377+B378+B379+B380+B381</f>
        <v>128456.7505715607</v>
      </c>
      <c r="C382" s="64">
        <f t="shared" ref="C382:AC382" si="363">C373+C374+C375+C376+C377+C378+C379+C380+C381</f>
        <v>127560.16965892767</v>
      </c>
      <c r="D382" s="64">
        <f t="shared" si="363"/>
        <v>126667.98848219673</v>
      </c>
      <c r="E382" s="64">
        <f t="shared" si="363"/>
        <v>125782.51392115165</v>
      </c>
      <c r="F382" s="64">
        <f t="shared" si="363"/>
        <v>124907.09739511924</v>
      </c>
      <c r="G382" s="64">
        <f t="shared" si="363"/>
        <v>124046.46257877183</v>
      </c>
      <c r="H382" s="64">
        <f t="shared" si="363"/>
        <v>123206.98179997849</v>
      </c>
      <c r="I382" s="64">
        <f t="shared" si="363"/>
        <v>122396.70404993136</v>
      </c>
      <c r="J382" s="64">
        <f t="shared" si="363"/>
        <v>122365.06791953924</v>
      </c>
      <c r="K382" s="64">
        <f t="shared" si="363"/>
        <v>122362.75910646022</v>
      </c>
      <c r="L382" s="64">
        <f t="shared" si="363"/>
        <v>122389.97452136675</v>
      </c>
      <c r="M382" s="64">
        <f t="shared" si="363"/>
        <v>122441.9276181043</v>
      </c>
      <c r="N382" s="64">
        <f t="shared" si="363"/>
        <v>122508.38990266254</v>
      </c>
      <c r="O382" s="64">
        <f t="shared" si="363"/>
        <v>122575.55636395735</v>
      </c>
      <c r="P382" s="64">
        <f t="shared" si="363"/>
        <v>122629.79320065619</v>
      </c>
      <c r="Q382" s="64">
        <f t="shared" si="363"/>
        <v>122661.28037051702</v>
      </c>
      <c r="R382" s="64">
        <f t="shared" si="363"/>
        <v>122665.6475971863</v>
      </c>
      <c r="S382" s="64">
        <f t="shared" si="363"/>
        <v>122643.32552738319</v>
      </c>
      <c r="T382" s="64">
        <f t="shared" si="363"/>
        <v>122597.70652318068</v>
      </c>
      <c r="U382" s="64">
        <f t="shared" si="363"/>
        <v>122533.32479204774</v>
      </c>
      <c r="V382" s="64">
        <f t="shared" si="363"/>
        <v>122454.64192414688</v>
      </c>
      <c r="W382" s="64">
        <f t="shared" si="363"/>
        <v>122365.46255109801</v>
      </c>
      <c r="X382" s="64">
        <f t="shared" si="363"/>
        <v>122268.77543639383</v>
      </c>
      <c r="Y382" s="64">
        <f t="shared" si="363"/>
        <v>122166.81188870725</v>
      </c>
      <c r="Z382" s="64">
        <f t="shared" si="363"/>
        <v>122061.18406670961</v>
      </c>
      <c r="AA382" s="64">
        <f t="shared" si="363"/>
        <v>121953.03206096975</v>
      </c>
      <c r="AB382" s="64">
        <f t="shared" si="363"/>
        <v>121843.15075192139</v>
      </c>
      <c r="AC382" s="64">
        <f t="shared" si="363"/>
        <v>121732.08911271452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4">A373</f>
        <v>Capex vehicle</v>
      </c>
      <c r="B385" s="65">
        <f>((1+B358)^B365)*B358/(((1+B358)^B365)-1)*(B354)/B370</f>
        <v>0.21705172007841297</v>
      </c>
      <c r="C385" s="65">
        <f t="shared" ref="C385:AC385" si="365">((1+C358)^C365)*C358/(((1+C358)^C365)-1)*(C354)/C370</f>
        <v>0.21716842497208638</v>
      </c>
      <c r="D385" s="65">
        <f t="shared" si="365"/>
        <v>0.21733412919124739</v>
      </c>
      <c r="E385" s="65">
        <f t="shared" si="365"/>
        <v>0.21756833618187271</v>
      </c>
      <c r="F385" s="65">
        <f t="shared" si="365"/>
        <v>0.21789715857126654</v>
      </c>
      <c r="G385" s="65">
        <f t="shared" si="365"/>
        <v>0.21835434105874754</v>
      </c>
      <c r="H385" s="65">
        <f t="shared" si="365"/>
        <v>0.21898112114585322</v>
      </c>
      <c r="I385" s="65">
        <f t="shared" si="365"/>
        <v>0.21982344641988433</v>
      </c>
      <c r="J385" s="65">
        <f t="shared" si="365"/>
        <v>0.22092452827831854</v>
      </c>
      <c r="K385" s="65">
        <f t="shared" si="365"/>
        <v>0.22231115477202701</v>
      </c>
      <c r="L385" s="65">
        <f t="shared" si="365"/>
        <v>0.22397506676135742</v>
      </c>
      <c r="M385" s="65">
        <f t="shared" si="365"/>
        <v>0.22585657460148981</v>
      </c>
      <c r="N385" s="65">
        <f t="shared" si="365"/>
        <v>0.22784287470868519</v>
      </c>
      <c r="O385" s="65">
        <f t="shared" si="365"/>
        <v>0.22979008814504115</v>
      </c>
      <c r="P385" s="65">
        <f t="shared" si="365"/>
        <v>0.23156267661672977</v>
      </c>
      <c r="Q385" s="65">
        <f t="shared" si="365"/>
        <v>0.23306912439621261</v>
      </c>
      <c r="R385" s="65">
        <f t="shared" si="365"/>
        <v>0.23427551927806664</v>
      </c>
      <c r="S385" s="65">
        <f t="shared" si="365"/>
        <v>0.23519605211654707</v>
      </c>
      <c r="T385" s="65">
        <f t="shared" si="365"/>
        <v>0.23587271757967057</v>
      </c>
      <c r="U385" s="65">
        <f t="shared" si="365"/>
        <v>0.23635652359671169</v>
      </c>
      <c r="V385" s="65">
        <f t="shared" si="365"/>
        <v>0.23669560016635402</v>
      </c>
      <c r="W385" s="65">
        <f t="shared" si="365"/>
        <v>0.23692992291725162</v>
      </c>
      <c r="X385" s="65">
        <f t="shared" si="365"/>
        <v>0.23709028165244139</v>
      </c>
      <c r="Y385" s="65">
        <f t="shared" si="365"/>
        <v>0.23719929066005288</v>
      </c>
      <c r="Z385" s="65">
        <f t="shared" si="365"/>
        <v>0.23727305584251615</v>
      </c>
      <c r="AA385" s="65">
        <f t="shared" si="365"/>
        <v>0.23732281791161824</v>
      </c>
      <c r="AB385" s="65">
        <f t="shared" si="365"/>
        <v>0.2373563174893408</v>
      </c>
      <c r="AC385" s="65">
        <f t="shared" si="365"/>
        <v>0.23737883756764896</v>
      </c>
    </row>
    <row r="386" spans="1:29" x14ac:dyDescent="0.25">
      <c r="A386" s="30" t="str">
        <f t="shared" si="364"/>
        <v>Residual value (vehicle)</v>
      </c>
      <c r="B386" s="66">
        <f>((1+B358)^B365)*B358/(((1+B358)^B365)-1)*(B355)/B370</f>
        <v>-5.3949478528935647E-2</v>
      </c>
      <c r="C386" s="66">
        <f t="shared" ref="C386:AC386" si="366">((1+C358)^C365)*C358/(((1+C358)^C365)-1)*(C355)/C370</f>
        <v>-5.384444412462959E-2</v>
      </c>
      <c r="D386" s="66">
        <f t="shared" si="366"/>
        <v>-5.3695310327384671E-2</v>
      </c>
      <c r="E386" s="66">
        <f t="shared" si="366"/>
        <v>-5.3484524035821886E-2</v>
      </c>
      <c r="F386" s="66">
        <f t="shared" si="366"/>
        <v>-5.3188583885367458E-2</v>
      </c>
      <c r="G386" s="66">
        <f t="shared" si="366"/>
        <v>-5.2777119646634521E-2</v>
      </c>
      <c r="H386" s="66">
        <f t="shared" si="366"/>
        <v>-5.2213017568239456E-2</v>
      </c>
      <c r="I386" s="66">
        <f t="shared" si="366"/>
        <v>-5.1454924821611424E-2</v>
      </c>
      <c r="J386" s="66">
        <f t="shared" si="366"/>
        <v>-5.0463951149020615E-2</v>
      </c>
      <c r="K386" s="66">
        <f t="shared" si="366"/>
        <v>-4.9215987304683025E-2</v>
      </c>
      <c r="L386" s="66">
        <f t="shared" si="366"/>
        <v>-4.7718466514285664E-2</v>
      </c>
      <c r="M386" s="66">
        <f t="shared" si="366"/>
        <v>-4.6025109458166485E-2</v>
      </c>
      <c r="N386" s="66">
        <f t="shared" si="366"/>
        <v>-4.4237439361690646E-2</v>
      </c>
      <c r="O386" s="66">
        <f t="shared" si="366"/>
        <v>-4.2484947268970313E-2</v>
      </c>
      <c r="P386" s="66">
        <f t="shared" si="366"/>
        <v>-4.0889617644450538E-2</v>
      </c>
      <c r="Q386" s="66">
        <f t="shared" si="366"/>
        <v>-3.9533814642915985E-2</v>
      </c>
      <c r="R386" s="66">
        <f t="shared" si="366"/>
        <v>-3.8448059249247359E-2</v>
      </c>
      <c r="S386" s="66">
        <f t="shared" si="366"/>
        <v>-3.7619579694614977E-2</v>
      </c>
      <c r="T386" s="66">
        <f t="shared" si="366"/>
        <v>-3.7010580777803843E-2</v>
      </c>
      <c r="U386" s="66">
        <f t="shared" si="366"/>
        <v>-3.6575155362466805E-2</v>
      </c>
      <c r="V386" s="66">
        <f t="shared" si="366"/>
        <v>-3.6269986449788696E-2</v>
      </c>
      <c r="W386" s="66">
        <f t="shared" si="366"/>
        <v>-3.6059095973980854E-2</v>
      </c>
      <c r="X386" s="66">
        <f t="shared" si="366"/>
        <v>-3.5914773112310047E-2</v>
      </c>
      <c r="Y386" s="66">
        <f t="shared" si="366"/>
        <v>-3.5816665005459762E-2</v>
      </c>
      <c r="Z386" s="66">
        <f t="shared" si="366"/>
        <v>-3.5750276341242802E-2</v>
      </c>
      <c r="AA386" s="66">
        <f t="shared" si="366"/>
        <v>-3.5705490479050937E-2</v>
      </c>
      <c r="AB386" s="66">
        <f t="shared" si="366"/>
        <v>-3.5675340859100638E-2</v>
      </c>
      <c r="AC386" s="66">
        <f t="shared" si="366"/>
        <v>-3.5655072788623232E-2</v>
      </c>
    </row>
    <row r="387" spans="1:29" x14ac:dyDescent="0.25">
      <c r="A387" s="30" t="str">
        <f t="shared" si="364"/>
        <v>Capex costumization</v>
      </c>
      <c r="B387" s="66">
        <f>((1+B358)^B366)*B358/(((1+B358)^B366)-1)*(B356)/B370</f>
        <v>6.9675876010453192E-2</v>
      </c>
      <c r="C387" s="66">
        <f t="shared" ref="C387:AC387" si="367">((1+C358)^C366)*C358/(((1+C358)^C366)-1)*(C356)/C370</f>
        <v>6.9675876010453192E-2</v>
      </c>
      <c r="D387" s="66">
        <f t="shared" si="367"/>
        <v>6.9675876010453192E-2</v>
      </c>
      <c r="E387" s="66">
        <f t="shared" si="367"/>
        <v>6.9675876010453192E-2</v>
      </c>
      <c r="F387" s="66">
        <f t="shared" si="367"/>
        <v>6.9675876010453192E-2</v>
      </c>
      <c r="G387" s="66">
        <f t="shared" si="367"/>
        <v>6.9675876010453192E-2</v>
      </c>
      <c r="H387" s="66">
        <f t="shared" si="367"/>
        <v>6.9675876010453192E-2</v>
      </c>
      <c r="I387" s="66">
        <f t="shared" si="367"/>
        <v>6.9675876010453192E-2</v>
      </c>
      <c r="J387" s="66">
        <f t="shared" si="367"/>
        <v>6.9675876010453192E-2</v>
      </c>
      <c r="K387" s="66">
        <f t="shared" si="367"/>
        <v>6.9675876010453192E-2</v>
      </c>
      <c r="L387" s="66">
        <f t="shared" si="367"/>
        <v>6.9675876010453192E-2</v>
      </c>
      <c r="M387" s="66">
        <f t="shared" si="367"/>
        <v>6.9675876010453192E-2</v>
      </c>
      <c r="N387" s="66">
        <f t="shared" si="367"/>
        <v>6.9675876010453192E-2</v>
      </c>
      <c r="O387" s="66">
        <f t="shared" si="367"/>
        <v>6.9675876010453192E-2</v>
      </c>
      <c r="P387" s="66">
        <f t="shared" si="367"/>
        <v>6.9675876010453192E-2</v>
      </c>
      <c r="Q387" s="66">
        <f t="shared" si="367"/>
        <v>6.9675876010453192E-2</v>
      </c>
      <c r="R387" s="66">
        <f t="shared" si="367"/>
        <v>6.9675876010453192E-2</v>
      </c>
      <c r="S387" s="66">
        <f t="shared" si="367"/>
        <v>6.9675876010453192E-2</v>
      </c>
      <c r="T387" s="66">
        <f t="shared" si="367"/>
        <v>6.9675876010453192E-2</v>
      </c>
      <c r="U387" s="66">
        <f t="shared" si="367"/>
        <v>6.9675876010453192E-2</v>
      </c>
      <c r="V387" s="66">
        <f t="shared" si="367"/>
        <v>6.9675876010453192E-2</v>
      </c>
      <c r="W387" s="66">
        <f t="shared" si="367"/>
        <v>6.9675876010453192E-2</v>
      </c>
      <c r="X387" s="66">
        <f t="shared" si="367"/>
        <v>6.9675876010453192E-2</v>
      </c>
      <c r="Y387" s="66">
        <f t="shared" si="367"/>
        <v>6.9675876010453192E-2</v>
      </c>
      <c r="Z387" s="66">
        <f t="shared" si="367"/>
        <v>6.9675876010453192E-2</v>
      </c>
      <c r="AA387" s="66">
        <f t="shared" si="367"/>
        <v>6.9675876010453192E-2</v>
      </c>
      <c r="AB387" s="66">
        <f t="shared" si="367"/>
        <v>6.9675876010453192E-2</v>
      </c>
      <c r="AC387" s="66">
        <f t="shared" si="367"/>
        <v>6.9675876010453192E-2</v>
      </c>
    </row>
    <row r="388" spans="1:29" x14ac:dyDescent="0.25">
      <c r="A388" s="30" t="str">
        <f t="shared" si="364"/>
        <v>Residual value (costumization)</v>
      </c>
      <c r="B388" s="66">
        <f>((1+B358)^B366)*B358/(((1+B358)^B366)-1)*(B357)/B370</f>
        <v>-1.7418969002613298E-2</v>
      </c>
      <c r="C388" s="66">
        <f t="shared" ref="C388:AC388" si="368">((1+C358)^C366)*C358/(((1+C358)^C366)-1)*(C357)/C370</f>
        <v>-1.7418969002613298E-2</v>
      </c>
      <c r="D388" s="66">
        <f t="shared" si="368"/>
        <v>-1.7418969002613298E-2</v>
      </c>
      <c r="E388" s="66">
        <f t="shared" si="368"/>
        <v>-1.7418969002613298E-2</v>
      </c>
      <c r="F388" s="66">
        <f t="shared" si="368"/>
        <v>-1.7418969002613298E-2</v>
      </c>
      <c r="G388" s="66">
        <f t="shared" si="368"/>
        <v>-1.7418969002613298E-2</v>
      </c>
      <c r="H388" s="66">
        <f t="shared" si="368"/>
        <v>-1.7418969002613298E-2</v>
      </c>
      <c r="I388" s="66">
        <f t="shared" si="368"/>
        <v>-1.7418969002613298E-2</v>
      </c>
      <c r="J388" s="66">
        <f t="shared" si="368"/>
        <v>-1.7418969002613298E-2</v>
      </c>
      <c r="K388" s="66">
        <f t="shared" si="368"/>
        <v>-1.7418969002613298E-2</v>
      </c>
      <c r="L388" s="66">
        <f t="shared" si="368"/>
        <v>-1.7418969002613298E-2</v>
      </c>
      <c r="M388" s="66">
        <f t="shared" si="368"/>
        <v>-1.7418969002613298E-2</v>
      </c>
      <c r="N388" s="66">
        <f t="shared" si="368"/>
        <v>-1.7418969002613298E-2</v>
      </c>
      <c r="O388" s="66">
        <f t="shared" si="368"/>
        <v>-1.7418969002613298E-2</v>
      </c>
      <c r="P388" s="66">
        <f t="shared" si="368"/>
        <v>-1.7418969002613298E-2</v>
      </c>
      <c r="Q388" s="66">
        <f t="shared" si="368"/>
        <v>-1.7418969002613298E-2</v>
      </c>
      <c r="R388" s="66">
        <f t="shared" si="368"/>
        <v>-1.7418969002613298E-2</v>
      </c>
      <c r="S388" s="66">
        <f t="shared" si="368"/>
        <v>-1.7418969002613298E-2</v>
      </c>
      <c r="T388" s="66">
        <f t="shared" si="368"/>
        <v>-1.7418969002613298E-2</v>
      </c>
      <c r="U388" s="66">
        <f t="shared" si="368"/>
        <v>-1.7418969002613298E-2</v>
      </c>
      <c r="V388" s="66">
        <f t="shared" si="368"/>
        <v>-1.7418969002613298E-2</v>
      </c>
      <c r="W388" s="66">
        <f t="shared" si="368"/>
        <v>-1.7418969002613298E-2</v>
      </c>
      <c r="X388" s="66">
        <f t="shared" si="368"/>
        <v>-1.7418969002613298E-2</v>
      </c>
      <c r="Y388" s="66">
        <f t="shared" si="368"/>
        <v>-1.7418969002613298E-2</v>
      </c>
      <c r="Z388" s="66">
        <f t="shared" si="368"/>
        <v>-1.7418969002613298E-2</v>
      </c>
      <c r="AA388" s="66">
        <f t="shared" si="368"/>
        <v>-1.7418969002613298E-2</v>
      </c>
      <c r="AB388" s="66">
        <f t="shared" si="368"/>
        <v>-1.7418969002613298E-2</v>
      </c>
      <c r="AC388" s="66">
        <f t="shared" si="368"/>
        <v>-1.7418969002613298E-2</v>
      </c>
    </row>
    <row r="389" spans="1:29" x14ac:dyDescent="0.25">
      <c r="A389" s="30" t="str">
        <f t="shared" si="364"/>
        <v>Opex fix (admin, crew, insurance)</v>
      </c>
      <c r="B389" s="66">
        <f>B359/B370</f>
        <v>0.89743589743589747</v>
      </c>
      <c r="C389" s="66">
        <f t="shared" ref="C389:AC389" si="369">C359/C370</f>
        <v>0.89743589743589747</v>
      </c>
      <c r="D389" s="66">
        <f t="shared" si="369"/>
        <v>0.89743589743589747</v>
      </c>
      <c r="E389" s="66">
        <f t="shared" si="369"/>
        <v>0.89743589743589747</v>
      </c>
      <c r="F389" s="66">
        <f t="shared" si="369"/>
        <v>0.89743589743589747</v>
      </c>
      <c r="G389" s="66">
        <f t="shared" si="369"/>
        <v>0.89743589743589747</v>
      </c>
      <c r="H389" s="66">
        <f t="shared" si="369"/>
        <v>0.89743589743589747</v>
      </c>
      <c r="I389" s="66">
        <f t="shared" si="369"/>
        <v>0.89743589743589747</v>
      </c>
      <c r="J389" s="66">
        <f t="shared" si="369"/>
        <v>0.89743589743589747</v>
      </c>
      <c r="K389" s="66">
        <f t="shared" si="369"/>
        <v>0.89743589743589747</v>
      </c>
      <c r="L389" s="66">
        <f t="shared" si="369"/>
        <v>0.89743589743589747</v>
      </c>
      <c r="M389" s="66">
        <f t="shared" si="369"/>
        <v>0.89743589743589747</v>
      </c>
      <c r="N389" s="66">
        <f t="shared" si="369"/>
        <v>0.89743589743589747</v>
      </c>
      <c r="O389" s="66">
        <f t="shared" si="369"/>
        <v>0.89743589743589747</v>
      </c>
      <c r="P389" s="66">
        <f t="shared" si="369"/>
        <v>0.89743589743589747</v>
      </c>
      <c r="Q389" s="66">
        <f t="shared" si="369"/>
        <v>0.89743589743589747</v>
      </c>
      <c r="R389" s="66">
        <f t="shared" si="369"/>
        <v>0.89743589743589747</v>
      </c>
      <c r="S389" s="66">
        <f t="shared" si="369"/>
        <v>0.89743589743589747</v>
      </c>
      <c r="T389" s="66">
        <f t="shared" si="369"/>
        <v>0.89743589743589747</v>
      </c>
      <c r="U389" s="66">
        <f t="shared" si="369"/>
        <v>0.89743589743589747</v>
      </c>
      <c r="V389" s="66">
        <f t="shared" si="369"/>
        <v>0.89743589743589747</v>
      </c>
      <c r="W389" s="66">
        <f t="shared" si="369"/>
        <v>0.89743589743589747</v>
      </c>
      <c r="X389" s="66">
        <f t="shared" si="369"/>
        <v>0.89743589743589747</v>
      </c>
      <c r="Y389" s="66">
        <f t="shared" si="369"/>
        <v>0.89743589743589747</v>
      </c>
      <c r="Z389" s="66">
        <f t="shared" si="369"/>
        <v>0.89743589743589747</v>
      </c>
      <c r="AA389" s="66">
        <f t="shared" si="369"/>
        <v>0.89743589743589747</v>
      </c>
      <c r="AB389" s="66">
        <f t="shared" si="369"/>
        <v>0.89743589743589747</v>
      </c>
      <c r="AC389" s="66">
        <f t="shared" si="369"/>
        <v>0.89743589743589747</v>
      </c>
    </row>
    <row r="390" spans="1:29" x14ac:dyDescent="0.25">
      <c r="A390" s="30" t="str">
        <f t="shared" si="364"/>
        <v>Opex maintenance &amp; repair</v>
      </c>
      <c r="B390" s="66">
        <f>B360/B370</f>
        <v>0.25641025641025639</v>
      </c>
      <c r="C390" s="66">
        <f t="shared" ref="C390:AC390" si="370">C360/C370</f>
        <v>0.25641025641025639</v>
      </c>
      <c r="D390" s="66">
        <f t="shared" si="370"/>
        <v>0.25641025641025639</v>
      </c>
      <c r="E390" s="66">
        <f t="shared" si="370"/>
        <v>0.25641025641025639</v>
      </c>
      <c r="F390" s="66">
        <f t="shared" si="370"/>
        <v>0.25641025641025639</v>
      </c>
      <c r="G390" s="66">
        <f t="shared" si="370"/>
        <v>0.25641025641025639</v>
      </c>
      <c r="H390" s="66">
        <f t="shared" si="370"/>
        <v>0.25641025641025639</v>
      </c>
      <c r="I390" s="66">
        <f t="shared" si="370"/>
        <v>0.25641025641025639</v>
      </c>
      <c r="J390" s="66">
        <f t="shared" si="370"/>
        <v>0.25641025641025639</v>
      </c>
      <c r="K390" s="66">
        <f t="shared" si="370"/>
        <v>0.25641025641025639</v>
      </c>
      <c r="L390" s="66">
        <f t="shared" si="370"/>
        <v>0.25641025641025639</v>
      </c>
      <c r="M390" s="66">
        <f t="shared" si="370"/>
        <v>0.25641025641025639</v>
      </c>
      <c r="N390" s="66">
        <f t="shared" si="370"/>
        <v>0.25641025641025639</v>
      </c>
      <c r="O390" s="66">
        <f t="shared" si="370"/>
        <v>0.25641025641025639</v>
      </c>
      <c r="P390" s="66">
        <f t="shared" si="370"/>
        <v>0.25641025641025639</v>
      </c>
      <c r="Q390" s="66">
        <f t="shared" si="370"/>
        <v>0.25641025641025639</v>
      </c>
      <c r="R390" s="66">
        <f t="shared" si="370"/>
        <v>0.25641025641025639</v>
      </c>
      <c r="S390" s="66">
        <f t="shared" si="370"/>
        <v>0.25641025641025639</v>
      </c>
      <c r="T390" s="66">
        <f t="shared" si="370"/>
        <v>0.25641025641025639</v>
      </c>
      <c r="U390" s="66">
        <f t="shared" si="370"/>
        <v>0.25641025641025639</v>
      </c>
      <c r="V390" s="66">
        <f t="shared" si="370"/>
        <v>0.25641025641025639</v>
      </c>
      <c r="W390" s="66">
        <f t="shared" si="370"/>
        <v>0.25641025641025639</v>
      </c>
      <c r="X390" s="66">
        <f t="shared" si="370"/>
        <v>0.25641025641025639</v>
      </c>
      <c r="Y390" s="66">
        <f t="shared" si="370"/>
        <v>0.25641025641025639</v>
      </c>
      <c r="Z390" s="66">
        <f t="shared" si="370"/>
        <v>0.25641025641025639</v>
      </c>
      <c r="AA390" s="66">
        <f t="shared" si="370"/>
        <v>0.25641025641025639</v>
      </c>
      <c r="AB390" s="66">
        <f t="shared" si="370"/>
        <v>0.25641025641025639</v>
      </c>
      <c r="AC390" s="66">
        <f t="shared" si="370"/>
        <v>0.25641025641025639</v>
      </c>
    </row>
    <row r="391" spans="1:29" x14ac:dyDescent="0.25">
      <c r="A391" s="30" t="str">
        <f t="shared" si="364"/>
        <v>Opex var (mode-fees)</v>
      </c>
      <c r="B391" s="66">
        <f>B361*B370/B370</f>
        <v>0.11</v>
      </c>
      <c r="C391" s="66">
        <f t="shared" ref="C391:AC391" si="371">C361*C370/C370</f>
        <v>0.11</v>
      </c>
      <c r="D391" s="66">
        <f t="shared" si="371"/>
        <v>0.11</v>
      </c>
      <c r="E391" s="66">
        <f t="shared" si="371"/>
        <v>0.11</v>
      </c>
      <c r="F391" s="66">
        <f t="shared" si="371"/>
        <v>0.11</v>
      </c>
      <c r="G391" s="66">
        <f t="shared" si="371"/>
        <v>0.11</v>
      </c>
      <c r="H391" s="66">
        <f t="shared" si="371"/>
        <v>0.11</v>
      </c>
      <c r="I391" s="66">
        <f t="shared" si="371"/>
        <v>0.11</v>
      </c>
      <c r="J391" s="66">
        <f t="shared" si="371"/>
        <v>0.11</v>
      </c>
      <c r="K391" s="66">
        <f t="shared" si="371"/>
        <v>0.11</v>
      </c>
      <c r="L391" s="66">
        <f t="shared" si="371"/>
        <v>0.11</v>
      </c>
      <c r="M391" s="66">
        <f t="shared" si="371"/>
        <v>0.11</v>
      </c>
      <c r="N391" s="66">
        <f t="shared" si="371"/>
        <v>0.11</v>
      </c>
      <c r="O391" s="66">
        <f t="shared" si="371"/>
        <v>0.11</v>
      </c>
      <c r="P391" s="66">
        <f t="shared" si="371"/>
        <v>0.11</v>
      </c>
      <c r="Q391" s="66">
        <f t="shared" si="371"/>
        <v>0.11</v>
      </c>
      <c r="R391" s="66">
        <f t="shared" si="371"/>
        <v>0.11</v>
      </c>
      <c r="S391" s="66">
        <f t="shared" si="371"/>
        <v>0.11</v>
      </c>
      <c r="T391" s="66">
        <f t="shared" si="371"/>
        <v>0.11</v>
      </c>
      <c r="U391" s="66">
        <f t="shared" si="371"/>
        <v>0.11</v>
      </c>
      <c r="V391" s="66">
        <f t="shared" si="371"/>
        <v>0.11</v>
      </c>
      <c r="W391" s="66">
        <f t="shared" si="371"/>
        <v>0.11</v>
      </c>
      <c r="X391" s="66">
        <f t="shared" si="371"/>
        <v>0.11</v>
      </c>
      <c r="Y391" s="66">
        <f t="shared" si="371"/>
        <v>0.11</v>
      </c>
      <c r="Z391" s="66">
        <f t="shared" si="371"/>
        <v>0.11</v>
      </c>
      <c r="AA391" s="66">
        <f t="shared" si="371"/>
        <v>0.11</v>
      </c>
      <c r="AB391" s="66">
        <f t="shared" si="371"/>
        <v>0.11</v>
      </c>
      <c r="AC391" s="66">
        <f t="shared" si="371"/>
        <v>0.11</v>
      </c>
    </row>
    <row r="392" spans="1:29" x14ac:dyDescent="0.25">
      <c r="A392" s="30" t="str">
        <f t="shared" si="364"/>
        <v>Fuel Cost</v>
      </c>
      <c r="B392" s="66">
        <f>B362*B363*B370/B370</f>
        <v>0.16767611518064032</v>
      </c>
      <c r="C392" s="66">
        <f t="shared" ref="C392:AC392" si="372">C362*C363*C370/C370</f>
        <v>0.15595974879762217</v>
      </c>
      <c r="D392" s="66">
        <f t="shared" si="372"/>
        <v>0.14420669056671678</v>
      </c>
      <c r="E392" s="66">
        <f t="shared" si="372"/>
        <v>0.13240945932241244</v>
      </c>
      <c r="F392" s="66">
        <f t="shared" si="372"/>
        <v>0.12056140798727702</v>
      </c>
      <c r="G392" s="66">
        <f t="shared" si="372"/>
        <v>0.10865898156430125</v>
      </c>
      <c r="H392" s="66">
        <f t="shared" si="372"/>
        <v>9.6705525311706578E-2</v>
      </c>
      <c r="I392" s="66">
        <f t="shared" si="372"/>
        <v>8.4716931008391796E-2</v>
      </c>
      <c r="J392" s="66">
        <f t="shared" si="372"/>
        <v>8.2219284062083314E-2</v>
      </c>
      <c r="K392" s="66">
        <f t="shared" si="372"/>
        <v>7.9555093556357315E-2</v>
      </c>
      <c r="L392" s="66">
        <f t="shared" si="372"/>
        <v>7.674257635235443E-2</v>
      </c>
      <c r="M392" s="66">
        <f t="shared" si="372"/>
        <v>7.3833776798891776E-2</v>
      </c>
      <c r="N392" s="66">
        <f t="shared" si="372"/>
        <v>7.0911887166480211E-2</v>
      </c>
      <c r="O392" s="66">
        <f t="shared" si="372"/>
        <v>6.8073290115542556E-2</v>
      </c>
      <c r="P392" s="66">
        <f t="shared" si="372"/>
        <v>6.5400716079575413E-2</v>
      </c>
      <c r="Q392" s="66">
        <f t="shared" si="372"/>
        <v>6.2942146963440651E-2</v>
      </c>
      <c r="R392" s="66">
        <f t="shared" si="372"/>
        <v>6.0705986773421594E-2</v>
      </c>
      <c r="S392" s="66">
        <f t="shared" si="372"/>
        <v>5.8670793998217577E-2</v>
      </c>
      <c r="T392" s="66">
        <f t="shared" si="372"/>
        <v>5.6800270590045797E-2</v>
      </c>
      <c r="U392" s="66">
        <f t="shared" si="372"/>
        <v>5.5055632348270898E-2</v>
      </c>
      <c r="V392" s="66">
        <f t="shared" si="372"/>
        <v>5.3402632149272801E-2</v>
      </c>
      <c r="W392" s="66">
        <f t="shared" si="372"/>
        <v>5.1814093627069062E-2</v>
      </c>
      <c r="X392" s="66">
        <f t="shared" si="372"/>
        <v>5.0269833636565009E-2</v>
      </c>
      <c r="Y392" s="66">
        <f t="shared" si="372"/>
        <v>4.8755491551762481E-2</v>
      </c>
      <c r="Z392" s="66">
        <f t="shared" si="372"/>
        <v>4.7261134858958706E-2</v>
      </c>
      <c r="AA392" s="66">
        <f t="shared" si="372"/>
        <v>4.5780022751512765E-2</v>
      </c>
      <c r="AB392" s="66">
        <f t="shared" si="372"/>
        <v>4.4307638822450625E-2</v>
      </c>
      <c r="AC392" s="66">
        <f t="shared" si="372"/>
        <v>4.2840983504346043E-2</v>
      </c>
    </row>
    <row r="393" spans="1:29" ht="15.75" thickBot="1" x14ac:dyDescent="0.3">
      <c r="A393" s="59" t="str">
        <f>A344</f>
        <v>Emission Cost</v>
      </c>
      <c r="B393" s="66">
        <f>B364</f>
        <v>0</v>
      </c>
      <c r="C393" s="66">
        <f t="shared" ref="C393:AC393" si="373">C364</f>
        <v>0</v>
      </c>
      <c r="D393" s="66">
        <f t="shared" si="373"/>
        <v>0</v>
      </c>
      <c r="E393" s="66">
        <f t="shared" si="373"/>
        <v>0</v>
      </c>
      <c r="F393" s="66">
        <f t="shared" si="373"/>
        <v>0</v>
      </c>
      <c r="G393" s="66">
        <f t="shared" si="373"/>
        <v>0</v>
      </c>
      <c r="H393" s="66">
        <f t="shared" si="373"/>
        <v>0</v>
      </c>
      <c r="I393" s="66">
        <f t="shared" si="373"/>
        <v>0</v>
      </c>
      <c r="J393" s="66">
        <f t="shared" si="373"/>
        <v>0</v>
      </c>
      <c r="K393" s="66">
        <f t="shared" si="373"/>
        <v>0</v>
      </c>
      <c r="L393" s="66">
        <f t="shared" si="373"/>
        <v>0</v>
      </c>
      <c r="M393" s="66">
        <f t="shared" si="373"/>
        <v>0</v>
      </c>
      <c r="N393" s="66">
        <f t="shared" si="373"/>
        <v>0</v>
      </c>
      <c r="O393" s="66">
        <f t="shared" si="373"/>
        <v>0</v>
      </c>
      <c r="P393" s="66">
        <f t="shared" si="373"/>
        <v>0</v>
      </c>
      <c r="Q393" s="66">
        <f t="shared" si="373"/>
        <v>0</v>
      </c>
      <c r="R393" s="66">
        <f t="shared" si="373"/>
        <v>0</v>
      </c>
      <c r="S393" s="66">
        <f t="shared" si="373"/>
        <v>0</v>
      </c>
      <c r="T393" s="66">
        <f t="shared" si="373"/>
        <v>0</v>
      </c>
      <c r="U393" s="66">
        <f t="shared" si="373"/>
        <v>0</v>
      </c>
      <c r="V393" s="66">
        <f t="shared" si="373"/>
        <v>0</v>
      </c>
      <c r="W393" s="66">
        <f t="shared" si="373"/>
        <v>0</v>
      </c>
      <c r="X393" s="66">
        <f t="shared" si="373"/>
        <v>0</v>
      </c>
      <c r="Y393" s="66">
        <f t="shared" si="373"/>
        <v>0</v>
      </c>
      <c r="Z393" s="66">
        <f t="shared" si="373"/>
        <v>0</v>
      </c>
      <c r="AA393" s="66">
        <f t="shared" si="373"/>
        <v>0</v>
      </c>
      <c r="AB393" s="66">
        <f t="shared" si="373"/>
        <v>0</v>
      </c>
      <c r="AC393" s="66">
        <f t="shared" si="373"/>
        <v>0</v>
      </c>
    </row>
    <row r="394" spans="1:29" ht="15.75" thickBot="1" x14ac:dyDescent="0.3">
      <c r="A394" s="31" t="s">
        <v>63</v>
      </c>
      <c r="B394" s="76">
        <f>B385+B386+B387-B388+B389+B390+B391+B392+B393</f>
        <v>1.6817193555893379</v>
      </c>
      <c r="C394" s="76">
        <f t="shared" ref="C394:AC394" si="374">C385+C386+C387-C388+C389+C390+C391+C392+C393</f>
        <v>1.6702247285042993</v>
      </c>
      <c r="D394" s="76">
        <f t="shared" si="374"/>
        <v>1.6587865082897999</v>
      </c>
      <c r="E394" s="76">
        <f t="shared" si="374"/>
        <v>1.6474342703276839</v>
      </c>
      <c r="F394" s="76">
        <f t="shared" si="374"/>
        <v>1.6362109815323964</v>
      </c>
      <c r="G394" s="76">
        <f t="shared" si="374"/>
        <v>1.6251772018356347</v>
      </c>
      <c r="H394" s="76">
        <f t="shared" si="374"/>
        <v>1.6144146277485409</v>
      </c>
      <c r="I394" s="76">
        <f t="shared" si="374"/>
        <v>1.6040264514658851</v>
      </c>
      <c r="J394" s="76">
        <f t="shared" si="374"/>
        <v>1.6036208600506017</v>
      </c>
      <c r="K394" s="76">
        <f t="shared" si="374"/>
        <v>1.6035912598829218</v>
      </c>
      <c r="L394" s="76">
        <f t="shared" si="374"/>
        <v>1.6039401754586466</v>
      </c>
      <c r="M394" s="76">
        <f t="shared" si="374"/>
        <v>1.6046062408014354</v>
      </c>
      <c r="N394" s="76">
        <f t="shared" si="374"/>
        <v>1.6054583213726952</v>
      </c>
      <c r="O394" s="76">
        <f t="shared" si="374"/>
        <v>1.6063194298508339</v>
      </c>
      <c r="P394" s="76">
        <f t="shared" si="374"/>
        <v>1.6070147739110749</v>
      </c>
      <c r="Q394" s="76">
        <f t="shared" si="374"/>
        <v>1.6074184555759576</v>
      </c>
      <c r="R394" s="76">
        <f t="shared" si="374"/>
        <v>1.6074744456614614</v>
      </c>
      <c r="S394" s="76">
        <f t="shared" si="374"/>
        <v>1.6071882652793701</v>
      </c>
      <c r="T394" s="76">
        <f t="shared" si="374"/>
        <v>1.6066034062511332</v>
      </c>
      <c r="U394" s="76">
        <f t="shared" si="374"/>
        <v>1.6057779994417363</v>
      </c>
      <c r="V394" s="76">
        <f t="shared" si="374"/>
        <v>1.6047692447250586</v>
      </c>
      <c r="W394" s="76">
        <f t="shared" si="374"/>
        <v>1.6036259194295603</v>
      </c>
      <c r="X394" s="76">
        <f t="shared" si="374"/>
        <v>1.6023863410359169</v>
      </c>
      <c r="Y394" s="76">
        <f t="shared" si="374"/>
        <v>1.6010791160655762</v>
      </c>
      <c r="Z394" s="76">
        <f t="shared" si="374"/>
        <v>1.5997249132194524</v>
      </c>
      <c r="AA394" s="76">
        <f t="shared" si="374"/>
        <v>1.5983383490433005</v>
      </c>
      <c r="AB394" s="76">
        <f t="shared" si="374"/>
        <v>1.5969296143119112</v>
      </c>
      <c r="AC394" s="76">
        <f t="shared" si="374"/>
        <v>1.5955057471425922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5">A373</f>
        <v>Capex vehicle</v>
      </c>
      <c r="B397" s="65">
        <f>((1+B358)^B365)*B358/(((1+B358)^B365)-1)*(B354)/B370/(B367)</f>
        <v>8.6820688031365185E-3</v>
      </c>
      <c r="C397" s="65">
        <f t="shared" ref="C397:AC397" si="376">((1+C358)^C365)*C358/(((1+C358)^C365)-1)*(C354)/C370/(C367)</f>
        <v>8.6867369988834556E-3</v>
      </c>
      <c r="D397" s="65">
        <f t="shared" si="376"/>
        <v>8.6933651676498955E-3</v>
      </c>
      <c r="E397" s="65">
        <f t="shared" si="376"/>
        <v>8.7027334472749088E-3</v>
      </c>
      <c r="F397" s="65">
        <f t="shared" si="376"/>
        <v>8.7158863428506619E-3</v>
      </c>
      <c r="G397" s="65">
        <f t="shared" si="376"/>
        <v>8.734173642349902E-3</v>
      </c>
      <c r="H397" s="65">
        <f t="shared" si="376"/>
        <v>8.7592448458341295E-3</v>
      </c>
      <c r="I397" s="65">
        <f t="shared" si="376"/>
        <v>8.7929378567953732E-3</v>
      </c>
      <c r="J397" s="65">
        <f t="shared" si="376"/>
        <v>8.8369811311327425E-3</v>
      </c>
      <c r="K397" s="65">
        <f t="shared" si="376"/>
        <v>8.8924461908810801E-3</v>
      </c>
      <c r="L397" s="65">
        <f t="shared" si="376"/>
        <v>8.9590026704542969E-3</v>
      </c>
      <c r="M397" s="65">
        <f t="shared" si="376"/>
        <v>9.034262984059592E-3</v>
      </c>
      <c r="N397" s="65">
        <f t="shared" si="376"/>
        <v>9.1137149883474076E-3</v>
      </c>
      <c r="O397" s="65">
        <f t="shared" si="376"/>
        <v>9.1916035258016466E-3</v>
      </c>
      <c r="P397" s="65">
        <f t="shared" si="376"/>
        <v>9.2625070646691916E-3</v>
      </c>
      <c r="Q397" s="65">
        <f t="shared" si="376"/>
        <v>9.3227649758485034E-3</v>
      </c>
      <c r="R397" s="65">
        <f t="shared" si="376"/>
        <v>9.3710207711226665E-3</v>
      </c>
      <c r="S397" s="65">
        <f t="shared" si="376"/>
        <v>9.407842084661883E-3</v>
      </c>
      <c r="T397" s="65">
        <f t="shared" si="376"/>
        <v>9.4349087031868235E-3</v>
      </c>
      <c r="U397" s="65">
        <f t="shared" si="376"/>
        <v>9.4542609438684685E-3</v>
      </c>
      <c r="V397" s="65">
        <f t="shared" si="376"/>
        <v>9.4678240066541613E-3</v>
      </c>
      <c r="W397" s="65">
        <f t="shared" si="376"/>
        <v>9.4771969166900644E-3</v>
      </c>
      <c r="X397" s="65">
        <f t="shared" si="376"/>
        <v>9.4836112660976555E-3</v>
      </c>
      <c r="Y397" s="65">
        <f t="shared" si="376"/>
        <v>9.4879716264021155E-3</v>
      </c>
      <c r="Z397" s="65">
        <f t="shared" si="376"/>
        <v>9.4909222337006462E-3</v>
      </c>
      <c r="AA397" s="65">
        <f t="shared" si="376"/>
        <v>9.4929127164647305E-3</v>
      </c>
      <c r="AB397" s="65">
        <f t="shared" si="376"/>
        <v>9.4942526995736316E-3</v>
      </c>
      <c r="AC397" s="65">
        <f t="shared" si="376"/>
        <v>9.4951535027059594E-3</v>
      </c>
    </row>
    <row r="398" spans="1:29" x14ac:dyDescent="0.25">
      <c r="A398" s="30" t="str">
        <f t="shared" si="375"/>
        <v>Residual value (vehicle)</v>
      </c>
      <c r="B398" s="68">
        <f>((1+B358)^B365)*B358/(((1+B358)^B365)-1)*(B355)/B370/(B367)</f>
        <v>-2.157979141157426E-3</v>
      </c>
      <c r="C398" s="68">
        <f t="shared" ref="C398:AC398" si="377">((1+C358)^C365)*C358/(((1+C358)^C365)-1)*(C355)/C370/(C367)</f>
        <v>-2.1537777649851837E-3</v>
      </c>
      <c r="D398" s="68">
        <f t="shared" si="377"/>
        <v>-2.1478124130953867E-3</v>
      </c>
      <c r="E398" s="68">
        <f t="shared" si="377"/>
        <v>-2.1393809614328753E-3</v>
      </c>
      <c r="F398" s="68">
        <f t="shared" si="377"/>
        <v>-2.1275433554146985E-3</v>
      </c>
      <c r="G398" s="68">
        <f t="shared" si="377"/>
        <v>-2.1110847858653806E-3</v>
      </c>
      <c r="H398" s="68">
        <f t="shared" si="377"/>
        <v>-2.088520702729578E-3</v>
      </c>
      <c r="I398" s="68">
        <f t="shared" si="377"/>
        <v>-2.0581969928644569E-3</v>
      </c>
      <c r="J398" s="68">
        <f t="shared" si="377"/>
        <v>-2.0185580459608247E-3</v>
      </c>
      <c r="K398" s="68">
        <f t="shared" si="377"/>
        <v>-1.9686394921873212E-3</v>
      </c>
      <c r="L398" s="68">
        <f t="shared" si="377"/>
        <v>-1.9087386605714267E-3</v>
      </c>
      <c r="M398" s="68">
        <f t="shared" si="377"/>
        <v>-1.8410043783266593E-3</v>
      </c>
      <c r="N398" s="68">
        <f t="shared" si="377"/>
        <v>-1.7694975744676259E-3</v>
      </c>
      <c r="O398" s="68">
        <f t="shared" si="377"/>
        <v>-1.6993978907588125E-3</v>
      </c>
      <c r="P398" s="68">
        <f t="shared" si="377"/>
        <v>-1.6355847057780216E-3</v>
      </c>
      <c r="Q398" s="68">
        <f t="shared" si="377"/>
        <v>-1.5813525857166393E-3</v>
      </c>
      <c r="R398" s="68">
        <f t="shared" si="377"/>
        <v>-1.5379223699698943E-3</v>
      </c>
      <c r="S398" s="68">
        <f t="shared" si="377"/>
        <v>-1.5047831877845991E-3</v>
      </c>
      <c r="T398" s="68">
        <f t="shared" si="377"/>
        <v>-1.4804232311121537E-3</v>
      </c>
      <c r="U398" s="68">
        <f t="shared" si="377"/>
        <v>-1.4630062144986723E-3</v>
      </c>
      <c r="V398" s="68">
        <f t="shared" si="377"/>
        <v>-1.4507994579915479E-3</v>
      </c>
      <c r="W398" s="68">
        <f t="shared" si="377"/>
        <v>-1.4423638389592342E-3</v>
      </c>
      <c r="X398" s="68">
        <f t="shared" si="377"/>
        <v>-1.4365909244924019E-3</v>
      </c>
      <c r="Y398" s="68">
        <f t="shared" si="377"/>
        <v>-1.4326666002183906E-3</v>
      </c>
      <c r="Z398" s="68">
        <f t="shared" si="377"/>
        <v>-1.4300110536497122E-3</v>
      </c>
      <c r="AA398" s="68">
        <f t="shared" si="377"/>
        <v>-1.4282196191620375E-3</v>
      </c>
      <c r="AB398" s="68">
        <f t="shared" si="377"/>
        <v>-1.4270136343640255E-3</v>
      </c>
      <c r="AC398" s="68">
        <f t="shared" si="377"/>
        <v>-1.4262029115449293E-3</v>
      </c>
    </row>
    <row r="399" spans="1:29" x14ac:dyDescent="0.25">
      <c r="A399" s="30" t="str">
        <f t="shared" si="375"/>
        <v>Capex costumization</v>
      </c>
      <c r="B399" s="66">
        <f>((1+B358)^B366)*B358/(((1+B358)^B366)-1)*(B356)/B370/(B367)</f>
        <v>2.7870350404181278E-3</v>
      </c>
      <c r="C399" s="66">
        <f t="shared" ref="C399:AC399" si="378">((1+C358)^C366)*C358/(((1+C358)^C366)-1)*(C356)/C370/(C367)</f>
        <v>2.7870350404181278E-3</v>
      </c>
      <c r="D399" s="66">
        <f t="shared" si="378"/>
        <v>2.7870350404181278E-3</v>
      </c>
      <c r="E399" s="66">
        <f t="shared" si="378"/>
        <v>2.7870350404181278E-3</v>
      </c>
      <c r="F399" s="66">
        <f t="shared" si="378"/>
        <v>2.7870350404181278E-3</v>
      </c>
      <c r="G399" s="66">
        <f t="shared" si="378"/>
        <v>2.7870350404181278E-3</v>
      </c>
      <c r="H399" s="66">
        <f t="shared" si="378"/>
        <v>2.7870350404181278E-3</v>
      </c>
      <c r="I399" s="66">
        <f t="shared" si="378"/>
        <v>2.7870350404181278E-3</v>
      </c>
      <c r="J399" s="66">
        <f t="shared" si="378"/>
        <v>2.7870350404181278E-3</v>
      </c>
      <c r="K399" s="66">
        <f t="shared" si="378"/>
        <v>2.7870350404181278E-3</v>
      </c>
      <c r="L399" s="66">
        <f t="shared" si="378"/>
        <v>2.7870350404181278E-3</v>
      </c>
      <c r="M399" s="66">
        <f t="shared" si="378"/>
        <v>2.7870350404181278E-3</v>
      </c>
      <c r="N399" s="66">
        <f t="shared" si="378"/>
        <v>2.7870350404181278E-3</v>
      </c>
      <c r="O399" s="66">
        <f t="shared" si="378"/>
        <v>2.7870350404181278E-3</v>
      </c>
      <c r="P399" s="66">
        <f t="shared" si="378"/>
        <v>2.7870350404181278E-3</v>
      </c>
      <c r="Q399" s="66">
        <f t="shared" si="378"/>
        <v>2.7870350404181278E-3</v>
      </c>
      <c r="R399" s="66">
        <f t="shared" si="378"/>
        <v>2.7870350404181278E-3</v>
      </c>
      <c r="S399" s="66">
        <f t="shared" si="378"/>
        <v>2.7870350404181278E-3</v>
      </c>
      <c r="T399" s="66">
        <f t="shared" si="378"/>
        <v>2.7870350404181278E-3</v>
      </c>
      <c r="U399" s="66">
        <f t="shared" si="378"/>
        <v>2.7870350404181278E-3</v>
      </c>
      <c r="V399" s="66">
        <f t="shared" si="378"/>
        <v>2.7870350404181278E-3</v>
      </c>
      <c r="W399" s="66">
        <f t="shared" si="378"/>
        <v>2.7870350404181278E-3</v>
      </c>
      <c r="X399" s="66">
        <f t="shared" si="378"/>
        <v>2.7870350404181278E-3</v>
      </c>
      <c r="Y399" s="66">
        <f t="shared" si="378"/>
        <v>2.7870350404181278E-3</v>
      </c>
      <c r="Z399" s="66">
        <f t="shared" si="378"/>
        <v>2.7870350404181278E-3</v>
      </c>
      <c r="AA399" s="66">
        <f t="shared" si="378"/>
        <v>2.7870350404181278E-3</v>
      </c>
      <c r="AB399" s="66">
        <f t="shared" si="378"/>
        <v>2.7870350404181278E-3</v>
      </c>
      <c r="AC399" s="66">
        <f t="shared" si="378"/>
        <v>2.7870350404181278E-3</v>
      </c>
    </row>
    <row r="400" spans="1:29" x14ac:dyDescent="0.25">
      <c r="A400" s="30" t="str">
        <f t="shared" si="375"/>
        <v>Residual value (costumization)</v>
      </c>
      <c r="B400" s="69">
        <f>((1+B358)^B366)*B358/(((1+B358)^B366)-1)*(B357)/B370/(B367)</f>
        <v>-6.9675876010453195E-4</v>
      </c>
      <c r="C400" s="69">
        <f t="shared" ref="C400:AC400" si="379">((1+C358)^C366)*C358/(((1+C358)^C366)-1)*(C357)/C370/(C367)</f>
        <v>-6.9675876010453195E-4</v>
      </c>
      <c r="D400" s="69">
        <f t="shared" si="379"/>
        <v>-6.9675876010453195E-4</v>
      </c>
      <c r="E400" s="69">
        <f t="shared" si="379"/>
        <v>-6.9675876010453195E-4</v>
      </c>
      <c r="F400" s="69">
        <f t="shared" si="379"/>
        <v>-6.9675876010453195E-4</v>
      </c>
      <c r="G400" s="69">
        <f t="shared" si="379"/>
        <v>-6.9675876010453195E-4</v>
      </c>
      <c r="H400" s="69">
        <f t="shared" si="379"/>
        <v>-6.9675876010453195E-4</v>
      </c>
      <c r="I400" s="69">
        <f t="shared" si="379"/>
        <v>-6.9675876010453195E-4</v>
      </c>
      <c r="J400" s="69">
        <f t="shared" si="379"/>
        <v>-6.9675876010453195E-4</v>
      </c>
      <c r="K400" s="69">
        <f t="shared" si="379"/>
        <v>-6.9675876010453195E-4</v>
      </c>
      <c r="L400" s="69">
        <f t="shared" si="379"/>
        <v>-6.9675876010453195E-4</v>
      </c>
      <c r="M400" s="69">
        <f t="shared" si="379"/>
        <v>-6.9675876010453195E-4</v>
      </c>
      <c r="N400" s="69">
        <f t="shared" si="379"/>
        <v>-6.9675876010453195E-4</v>
      </c>
      <c r="O400" s="69">
        <f t="shared" si="379"/>
        <v>-6.9675876010453195E-4</v>
      </c>
      <c r="P400" s="69">
        <f t="shared" si="379"/>
        <v>-6.9675876010453195E-4</v>
      </c>
      <c r="Q400" s="69">
        <f t="shared" si="379"/>
        <v>-6.9675876010453195E-4</v>
      </c>
      <c r="R400" s="69">
        <f t="shared" si="379"/>
        <v>-6.9675876010453195E-4</v>
      </c>
      <c r="S400" s="69">
        <f t="shared" si="379"/>
        <v>-6.9675876010453195E-4</v>
      </c>
      <c r="T400" s="69">
        <f t="shared" si="379"/>
        <v>-6.9675876010453195E-4</v>
      </c>
      <c r="U400" s="69">
        <f t="shared" si="379"/>
        <v>-6.9675876010453195E-4</v>
      </c>
      <c r="V400" s="69">
        <f t="shared" si="379"/>
        <v>-6.9675876010453195E-4</v>
      </c>
      <c r="W400" s="69">
        <f t="shared" si="379"/>
        <v>-6.9675876010453195E-4</v>
      </c>
      <c r="X400" s="69">
        <f t="shared" si="379"/>
        <v>-6.9675876010453195E-4</v>
      </c>
      <c r="Y400" s="69">
        <f t="shared" si="379"/>
        <v>-6.9675876010453195E-4</v>
      </c>
      <c r="Z400" s="69">
        <f t="shared" si="379"/>
        <v>-6.9675876010453195E-4</v>
      </c>
      <c r="AA400" s="69">
        <f t="shared" si="379"/>
        <v>-6.9675876010453195E-4</v>
      </c>
      <c r="AB400" s="69">
        <f t="shared" si="379"/>
        <v>-6.9675876010453195E-4</v>
      </c>
      <c r="AC400" s="69">
        <f t="shared" si="379"/>
        <v>-6.9675876010453195E-4</v>
      </c>
    </row>
    <row r="401" spans="1:29" x14ac:dyDescent="0.25">
      <c r="A401" s="30" t="str">
        <f t="shared" si="375"/>
        <v>Opex fix (admin, crew, insurance)</v>
      </c>
      <c r="B401" s="66">
        <f>B359/B370/(B367)</f>
        <v>3.5897435897435902E-2</v>
      </c>
      <c r="C401" s="66">
        <f t="shared" ref="C401:AC401" si="380">C359/C370/(C367)</f>
        <v>3.5897435897435902E-2</v>
      </c>
      <c r="D401" s="66">
        <f t="shared" si="380"/>
        <v>3.5897435897435902E-2</v>
      </c>
      <c r="E401" s="66">
        <f t="shared" si="380"/>
        <v>3.5897435897435902E-2</v>
      </c>
      <c r="F401" s="66">
        <f t="shared" si="380"/>
        <v>3.5897435897435902E-2</v>
      </c>
      <c r="G401" s="66">
        <f t="shared" si="380"/>
        <v>3.5897435897435902E-2</v>
      </c>
      <c r="H401" s="66">
        <f t="shared" si="380"/>
        <v>3.5897435897435902E-2</v>
      </c>
      <c r="I401" s="66">
        <f t="shared" si="380"/>
        <v>3.5897435897435902E-2</v>
      </c>
      <c r="J401" s="66">
        <f t="shared" si="380"/>
        <v>3.5897435897435902E-2</v>
      </c>
      <c r="K401" s="66">
        <f t="shared" si="380"/>
        <v>3.5897435897435902E-2</v>
      </c>
      <c r="L401" s="66">
        <f t="shared" si="380"/>
        <v>3.5897435897435902E-2</v>
      </c>
      <c r="M401" s="66">
        <f t="shared" si="380"/>
        <v>3.5897435897435902E-2</v>
      </c>
      <c r="N401" s="66">
        <f t="shared" si="380"/>
        <v>3.5897435897435902E-2</v>
      </c>
      <c r="O401" s="66">
        <f t="shared" si="380"/>
        <v>3.5897435897435902E-2</v>
      </c>
      <c r="P401" s="66">
        <f t="shared" si="380"/>
        <v>3.5897435897435902E-2</v>
      </c>
      <c r="Q401" s="66">
        <f t="shared" si="380"/>
        <v>3.5897435897435902E-2</v>
      </c>
      <c r="R401" s="66">
        <f t="shared" si="380"/>
        <v>3.5897435897435902E-2</v>
      </c>
      <c r="S401" s="66">
        <f t="shared" si="380"/>
        <v>3.5897435897435902E-2</v>
      </c>
      <c r="T401" s="66">
        <f t="shared" si="380"/>
        <v>3.5897435897435902E-2</v>
      </c>
      <c r="U401" s="66">
        <f t="shared" si="380"/>
        <v>3.5897435897435902E-2</v>
      </c>
      <c r="V401" s="66">
        <f t="shared" si="380"/>
        <v>3.5897435897435902E-2</v>
      </c>
      <c r="W401" s="66">
        <f t="shared" si="380"/>
        <v>3.5897435897435902E-2</v>
      </c>
      <c r="X401" s="66">
        <f t="shared" si="380"/>
        <v>3.5897435897435902E-2</v>
      </c>
      <c r="Y401" s="66">
        <f t="shared" si="380"/>
        <v>3.5897435897435902E-2</v>
      </c>
      <c r="Z401" s="66">
        <f t="shared" si="380"/>
        <v>3.5897435897435902E-2</v>
      </c>
      <c r="AA401" s="66">
        <f t="shared" si="380"/>
        <v>3.5897435897435902E-2</v>
      </c>
      <c r="AB401" s="66">
        <f t="shared" si="380"/>
        <v>3.5897435897435902E-2</v>
      </c>
      <c r="AC401" s="66">
        <f t="shared" si="380"/>
        <v>3.5897435897435902E-2</v>
      </c>
    </row>
    <row r="402" spans="1:29" x14ac:dyDescent="0.25">
      <c r="A402" s="30" t="str">
        <f t="shared" si="375"/>
        <v>Opex maintenance &amp; repair</v>
      </c>
      <c r="B402" s="66">
        <f>B360/B370/(B367)</f>
        <v>1.0256410256410255E-2</v>
      </c>
      <c r="C402" s="66">
        <f t="shared" ref="C402:AC402" si="381">C360/C370/(C367)</f>
        <v>1.0256410256410255E-2</v>
      </c>
      <c r="D402" s="66">
        <f t="shared" si="381"/>
        <v>1.0256410256410255E-2</v>
      </c>
      <c r="E402" s="66">
        <f t="shared" si="381"/>
        <v>1.0256410256410255E-2</v>
      </c>
      <c r="F402" s="66">
        <f t="shared" si="381"/>
        <v>1.0256410256410255E-2</v>
      </c>
      <c r="G402" s="66">
        <f t="shared" si="381"/>
        <v>1.0256410256410255E-2</v>
      </c>
      <c r="H402" s="66">
        <f t="shared" si="381"/>
        <v>1.0256410256410255E-2</v>
      </c>
      <c r="I402" s="66">
        <f t="shared" si="381"/>
        <v>1.0256410256410255E-2</v>
      </c>
      <c r="J402" s="66">
        <f t="shared" si="381"/>
        <v>1.0256410256410255E-2</v>
      </c>
      <c r="K402" s="66">
        <f t="shared" si="381"/>
        <v>1.0256410256410255E-2</v>
      </c>
      <c r="L402" s="66">
        <f t="shared" si="381"/>
        <v>1.0256410256410255E-2</v>
      </c>
      <c r="M402" s="66">
        <f t="shared" si="381"/>
        <v>1.0256410256410255E-2</v>
      </c>
      <c r="N402" s="66">
        <f t="shared" si="381"/>
        <v>1.0256410256410255E-2</v>
      </c>
      <c r="O402" s="66">
        <f t="shared" si="381"/>
        <v>1.0256410256410255E-2</v>
      </c>
      <c r="P402" s="66">
        <f t="shared" si="381"/>
        <v>1.0256410256410255E-2</v>
      </c>
      <c r="Q402" s="66">
        <f t="shared" si="381"/>
        <v>1.0256410256410255E-2</v>
      </c>
      <c r="R402" s="66">
        <f t="shared" si="381"/>
        <v>1.0256410256410255E-2</v>
      </c>
      <c r="S402" s="66">
        <f t="shared" si="381"/>
        <v>1.0256410256410255E-2</v>
      </c>
      <c r="T402" s="66">
        <f t="shared" si="381"/>
        <v>1.0256410256410255E-2</v>
      </c>
      <c r="U402" s="66">
        <f t="shared" si="381"/>
        <v>1.0256410256410255E-2</v>
      </c>
      <c r="V402" s="66">
        <f t="shared" si="381"/>
        <v>1.0256410256410255E-2</v>
      </c>
      <c r="W402" s="66">
        <f t="shared" si="381"/>
        <v>1.0256410256410255E-2</v>
      </c>
      <c r="X402" s="66">
        <f t="shared" si="381"/>
        <v>1.0256410256410255E-2</v>
      </c>
      <c r="Y402" s="66">
        <f t="shared" si="381"/>
        <v>1.0256410256410255E-2</v>
      </c>
      <c r="Z402" s="66">
        <f t="shared" si="381"/>
        <v>1.0256410256410255E-2</v>
      </c>
      <c r="AA402" s="66">
        <f t="shared" si="381"/>
        <v>1.0256410256410255E-2</v>
      </c>
      <c r="AB402" s="66">
        <f t="shared" si="381"/>
        <v>1.0256410256410255E-2</v>
      </c>
      <c r="AC402" s="66">
        <f t="shared" si="381"/>
        <v>1.0256410256410255E-2</v>
      </c>
    </row>
    <row r="403" spans="1:29" x14ac:dyDescent="0.25">
      <c r="A403" s="30" t="str">
        <f t="shared" si="375"/>
        <v>Opex var (mode-fees)</v>
      </c>
      <c r="B403" s="66">
        <f>B361*B370/B370/(B367)</f>
        <v>4.4000000000000003E-3</v>
      </c>
      <c r="C403" s="66">
        <f t="shared" ref="C403:AC403" si="382">C361*C370/C370/(C367)</f>
        <v>4.4000000000000003E-3</v>
      </c>
      <c r="D403" s="66">
        <f t="shared" si="382"/>
        <v>4.4000000000000003E-3</v>
      </c>
      <c r="E403" s="66">
        <f t="shared" si="382"/>
        <v>4.4000000000000003E-3</v>
      </c>
      <c r="F403" s="66">
        <f t="shared" si="382"/>
        <v>4.4000000000000003E-3</v>
      </c>
      <c r="G403" s="66">
        <f t="shared" si="382"/>
        <v>4.4000000000000003E-3</v>
      </c>
      <c r="H403" s="66">
        <f t="shared" si="382"/>
        <v>4.4000000000000003E-3</v>
      </c>
      <c r="I403" s="66">
        <f t="shared" si="382"/>
        <v>4.4000000000000003E-3</v>
      </c>
      <c r="J403" s="66">
        <f t="shared" si="382"/>
        <v>4.4000000000000003E-3</v>
      </c>
      <c r="K403" s="66">
        <f t="shared" si="382"/>
        <v>4.4000000000000003E-3</v>
      </c>
      <c r="L403" s="66">
        <f t="shared" si="382"/>
        <v>4.4000000000000003E-3</v>
      </c>
      <c r="M403" s="66">
        <f t="shared" si="382"/>
        <v>4.4000000000000003E-3</v>
      </c>
      <c r="N403" s="66">
        <f t="shared" si="382"/>
        <v>4.4000000000000003E-3</v>
      </c>
      <c r="O403" s="66">
        <f t="shared" si="382"/>
        <v>4.4000000000000003E-3</v>
      </c>
      <c r="P403" s="66">
        <f t="shared" si="382"/>
        <v>4.4000000000000003E-3</v>
      </c>
      <c r="Q403" s="66">
        <f t="shared" si="382"/>
        <v>4.4000000000000003E-3</v>
      </c>
      <c r="R403" s="66">
        <f t="shared" si="382"/>
        <v>4.4000000000000003E-3</v>
      </c>
      <c r="S403" s="66">
        <f t="shared" si="382"/>
        <v>4.4000000000000003E-3</v>
      </c>
      <c r="T403" s="66">
        <f t="shared" si="382"/>
        <v>4.4000000000000003E-3</v>
      </c>
      <c r="U403" s="66">
        <f t="shared" si="382"/>
        <v>4.4000000000000003E-3</v>
      </c>
      <c r="V403" s="66">
        <f t="shared" si="382"/>
        <v>4.4000000000000003E-3</v>
      </c>
      <c r="W403" s="66">
        <f t="shared" si="382"/>
        <v>4.4000000000000003E-3</v>
      </c>
      <c r="X403" s="66">
        <f t="shared" si="382"/>
        <v>4.4000000000000003E-3</v>
      </c>
      <c r="Y403" s="66">
        <f t="shared" si="382"/>
        <v>4.4000000000000003E-3</v>
      </c>
      <c r="Z403" s="66">
        <f t="shared" si="382"/>
        <v>4.4000000000000003E-3</v>
      </c>
      <c r="AA403" s="66">
        <f t="shared" si="382"/>
        <v>4.4000000000000003E-3</v>
      </c>
      <c r="AB403" s="66">
        <f t="shared" si="382"/>
        <v>4.4000000000000003E-3</v>
      </c>
      <c r="AC403" s="66">
        <f t="shared" si="382"/>
        <v>4.4000000000000003E-3</v>
      </c>
    </row>
    <row r="404" spans="1:29" x14ac:dyDescent="0.25">
      <c r="A404" s="30" t="str">
        <f t="shared" si="375"/>
        <v>Fuel Cost</v>
      </c>
      <c r="B404" s="66">
        <f>B362*B363*B370/B370/(B367)</f>
        <v>6.7070446072256132E-3</v>
      </c>
      <c r="C404" s="66">
        <f t="shared" ref="C404:AC404" si="383">C362*C363*C370/C370/(C367)</f>
        <v>6.2383899519048869E-3</v>
      </c>
      <c r="D404" s="66">
        <f t="shared" si="383"/>
        <v>5.7682676226686715E-3</v>
      </c>
      <c r="E404" s="66">
        <f t="shared" si="383"/>
        <v>5.2963783728964976E-3</v>
      </c>
      <c r="F404" s="66">
        <f t="shared" si="383"/>
        <v>4.8224563194910804E-3</v>
      </c>
      <c r="G404" s="66">
        <f t="shared" si="383"/>
        <v>4.3463592625720502E-3</v>
      </c>
      <c r="H404" s="66">
        <f t="shared" si="383"/>
        <v>3.8682210124682632E-3</v>
      </c>
      <c r="I404" s="66">
        <f t="shared" si="383"/>
        <v>3.388677240335672E-3</v>
      </c>
      <c r="J404" s="66">
        <f t="shared" si="383"/>
        <v>3.2887713624833326E-3</v>
      </c>
      <c r="K404" s="66">
        <f t="shared" si="383"/>
        <v>3.1822037422542925E-3</v>
      </c>
      <c r="L404" s="66">
        <f t="shared" si="383"/>
        <v>3.0697030540941771E-3</v>
      </c>
      <c r="M404" s="66">
        <f t="shared" si="383"/>
        <v>2.9533510719556709E-3</v>
      </c>
      <c r="N404" s="66">
        <f t="shared" si="383"/>
        <v>2.8364754866592084E-3</v>
      </c>
      <c r="O404" s="66">
        <f t="shared" si="383"/>
        <v>2.7229316046217021E-3</v>
      </c>
      <c r="P404" s="66">
        <f t="shared" si="383"/>
        <v>2.6160286431830167E-3</v>
      </c>
      <c r="Q404" s="66">
        <f t="shared" si="383"/>
        <v>2.5176858785376259E-3</v>
      </c>
      <c r="R404" s="66">
        <f t="shared" si="383"/>
        <v>2.4282394709368637E-3</v>
      </c>
      <c r="S404" s="66">
        <f t="shared" si="383"/>
        <v>2.346831759928703E-3</v>
      </c>
      <c r="T404" s="66">
        <f t="shared" si="383"/>
        <v>2.2720108236018318E-3</v>
      </c>
      <c r="U404" s="66">
        <f t="shared" si="383"/>
        <v>2.2022252939308358E-3</v>
      </c>
      <c r="V404" s="66">
        <f t="shared" si="383"/>
        <v>2.136105285970912E-3</v>
      </c>
      <c r="W404" s="66">
        <f t="shared" si="383"/>
        <v>2.0725637450827623E-3</v>
      </c>
      <c r="X404" s="66">
        <f t="shared" si="383"/>
        <v>2.0107933454626002E-3</v>
      </c>
      <c r="Y404" s="66">
        <f t="shared" si="383"/>
        <v>1.9502196620704993E-3</v>
      </c>
      <c r="Z404" s="66">
        <f t="shared" si="383"/>
        <v>1.8904453943583482E-3</v>
      </c>
      <c r="AA404" s="66">
        <f t="shared" si="383"/>
        <v>1.8312009100605105E-3</v>
      </c>
      <c r="AB404" s="66">
        <f t="shared" si="383"/>
        <v>1.772305552898025E-3</v>
      </c>
      <c r="AC404" s="66">
        <f t="shared" si="383"/>
        <v>1.7136393401738417E-3</v>
      </c>
    </row>
    <row r="405" spans="1:29" x14ac:dyDescent="0.25">
      <c r="A405" s="59" t="str">
        <f>A368</f>
        <v>Market failure (av. utilization)</v>
      </c>
      <c r="B405" s="66">
        <f t="shared" ref="B405:AC405" si="384">B394/B368-B394/B367</f>
        <v>4.2408575053991981E-2</v>
      </c>
      <c r="C405" s="66">
        <f t="shared" si="384"/>
        <v>4.2118710544891011E-2</v>
      </c>
      <c r="D405" s="66">
        <f t="shared" si="384"/>
        <v>4.1830268469916679E-2</v>
      </c>
      <c r="E405" s="66">
        <f t="shared" si="384"/>
        <v>4.1543994643045923E-2</v>
      </c>
      <c r="F405" s="66">
        <f t="shared" si="384"/>
        <v>4.1260972577773461E-2</v>
      </c>
      <c r="G405" s="66">
        <f t="shared" si="384"/>
        <v>4.0982729437594248E-2</v>
      </c>
      <c r="H405" s="66">
        <f t="shared" si="384"/>
        <v>4.0711325395397985E-2</v>
      </c>
      <c r="I405" s="66">
        <f t="shared" si="384"/>
        <v>4.0449362689139692E-2</v>
      </c>
      <c r="J405" s="66">
        <f t="shared" si="384"/>
        <v>4.0439134731710805E-2</v>
      </c>
      <c r="K405" s="66">
        <f t="shared" si="384"/>
        <v>4.0438388292699759E-2</v>
      </c>
      <c r="L405" s="66">
        <f t="shared" si="384"/>
        <v>4.0447187033304979E-2</v>
      </c>
      <c r="M405" s="66">
        <f t="shared" si="384"/>
        <v>4.0463983463688361E-2</v>
      </c>
      <c r="N405" s="66">
        <f t="shared" si="384"/>
        <v>4.0485470712876656E-2</v>
      </c>
      <c r="O405" s="66">
        <f t="shared" si="384"/>
        <v>4.0507185622325359E-2</v>
      </c>
      <c r="P405" s="66">
        <f t="shared" si="384"/>
        <v>4.0524720385583621E-2</v>
      </c>
      <c r="Q405" s="66">
        <f t="shared" si="384"/>
        <v>4.0534900184089354E-2</v>
      </c>
      <c r="R405" s="66">
        <f t="shared" si="384"/>
        <v>4.0536312107984668E-2</v>
      </c>
      <c r="S405" s="66">
        <f t="shared" si="384"/>
        <v>4.0529095385305844E-2</v>
      </c>
      <c r="T405" s="66">
        <f t="shared" si="384"/>
        <v>4.0514346766332907E-2</v>
      </c>
      <c r="U405" s="66">
        <f t="shared" si="384"/>
        <v>4.0493532159835074E-2</v>
      </c>
      <c r="V405" s="66">
        <f t="shared" si="384"/>
        <v>4.0468093997414495E-2</v>
      </c>
      <c r="W405" s="66">
        <f t="shared" si="384"/>
        <v>4.0439262316049759E-2</v>
      </c>
      <c r="X405" s="66">
        <f t="shared" si="384"/>
        <v>4.0408003382644844E-2</v>
      </c>
      <c r="Y405" s="66">
        <f t="shared" si="384"/>
        <v>4.0375038579044939E-2</v>
      </c>
      <c r="Z405" s="66">
        <f t="shared" si="384"/>
        <v>4.0340889115968781E-2</v>
      </c>
      <c r="AA405" s="66">
        <f t="shared" si="384"/>
        <v>4.0305923584570177E-2</v>
      </c>
      <c r="AB405" s="66">
        <f t="shared" si="384"/>
        <v>4.0270398969604701E-2</v>
      </c>
      <c r="AC405" s="66">
        <f t="shared" si="384"/>
        <v>4.0234492754030571E-2</v>
      </c>
    </row>
    <row r="406" spans="1:29" x14ac:dyDescent="0.25">
      <c r="A406" s="59" t="str">
        <f>A369</f>
        <v>Payload loss (fuel)</v>
      </c>
      <c r="B406" s="66">
        <f>B394/(B367-B369)-B394/B367</f>
        <v>0</v>
      </c>
      <c r="C406" s="66">
        <f t="shared" ref="C406:AC406" si="385">C394/(C367-C369)-C394/C367</f>
        <v>0</v>
      </c>
      <c r="D406" s="66">
        <f t="shared" si="385"/>
        <v>0</v>
      </c>
      <c r="E406" s="66">
        <f t="shared" si="385"/>
        <v>0</v>
      </c>
      <c r="F406" s="66">
        <f t="shared" si="385"/>
        <v>0</v>
      </c>
      <c r="G406" s="66">
        <f t="shared" si="385"/>
        <v>0</v>
      </c>
      <c r="H406" s="66">
        <f t="shared" si="385"/>
        <v>0</v>
      </c>
      <c r="I406" s="66">
        <f t="shared" si="385"/>
        <v>0</v>
      </c>
      <c r="J406" s="66">
        <f t="shared" si="385"/>
        <v>0</v>
      </c>
      <c r="K406" s="66">
        <f t="shared" si="385"/>
        <v>0</v>
      </c>
      <c r="L406" s="66">
        <f t="shared" si="385"/>
        <v>0</v>
      </c>
      <c r="M406" s="66">
        <f t="shared" si="385"/>
        <v>0</v>
      </c>
      <c r="N406" s="66">
        <f t="shared" si="385"/>
        <v>0</v>
      </c>
      <c r="O406" s="66">
        <f t="shared" si="385"/>
        <v>0</v>
      </c>
      <c r="P406" s="66">
        <f t="shared" si="385"/>
        <v>0</v>
      </c>
      <c r="Q406" s="66">
        <f t="shared" si="385"/>
        <v>0</v>
      </c>
      <c r="R406" s="66">
        <f t="shared" si="385"/>
        <v>0</v>
      </c>
      <c r="S406" s="66">
        <f t="shared" si="385"/>
        <v>0</v>
      </c>
      <c r="T406" s="66">
        <f t="shared" si="385"/>
        <v>0</v>
      </c>
      <c r="U406" s="66">
        <f t="shared" si="385"/>
        <v>0</v>
      </c>
      <c r="V406" s="66">
        <f t="shared" si="385"/>
        <v>0</v>
      </c>
      <c r="W406" s="66">
        <f t="shared" si="385"/>
        <v>0</v>
      </c>
      <c r="X406" s="66">
        <f t="shared" si="385"/>
        <v>0</v>
      </c>
      <c r="Y406" s="66">
        <f t="shared" si="385"/>
        <v>0</v>
      </c>
      <c r="Z406" s="66">
        <f t="shared" si="385"/>
        <v>0</v>
      </c>
      <c r="AA406" s="66">
        <f t="shared" si="385"/>
        <v>0</v>
      </c>
      <c r="AB406" s="66">
        <f t="shared" si="385"/>
        <v>0</v>
      </c>
      <c r="AC406" s="66">
        <f t="shared" si="385"/>
        <v>0</v>
      </c>
    </row>
    <row r="407" spans="1:29" ht="15.75" thickBot="1" x14ac:dyDescent="0.3">
      <c r="A407" s="59" t="str">
        <f>A344</f>
        <v>Emission Cost</v>
      </c>
      <c r="B407" s="68">
        <f>B364*B370/B370/(B367)</f>
        <v>0</v>
      </c>
      <c r="C407" s="68">
        <f t="shared" ref="C407:AC407" si="386">C364*C370/C370/(C367)</f>
        <v>0</v>
      </c>
      <c r="D407" s="68">
        <f t="shared" si="386"/>
        <v>0</v>
      </c>
      <c r="E407" s="68">
        <f t="shared" si="386"/>
        <v>0</v>
      </c>
      <c r="F407" s="68">
        <f t="shared" si="386"/>
        <v>0</v>
      </c>
      <c r="G407" s="68">
        <f t="shared" si="386"/>
        <v>0</v>
      </c>
      <c r="H407" s="68">
        <f t="shared" si="386"/>
        <v>0</v>
      </c>
      <c r="I407" s="68">
        <f t="shared" si="386"/>
        <v>0</v>
      </c>
      <c r="J407" s="68">
        <f t="shared" si="386"/>
        <v>0</v>
      </c>
      <c r="K407" s="68">
        <f t="shared" si="386"/>
        <v>0</v>
      </c>
      <c r="L407" s="68">
        <f t="shared" si="386"/>
        <v>0</v>
      </c>
      <c r="M407" s="68">
        <f t="shared" si="386"/>
        <v>0</v>
      </c>
      <c r="N407" s="68">
        <f t="shared" si="386"/>
        <v>0</v>
      </c>
      <c r="O407" s="68">
        <f t="shared" si="386"/>
        <v>0</v>
      </c>
      <c r="P407" s="68">
        <f t="shared" si="386"/>
        <v>0</v>
      </c>
      <c r="Q407" s="68">
        <f t="shared" si="386"/>
        <v>0</v>
      </c>
      <c r="R407" s="68">
        <f t="shared" si="386"/>
        <v>0</v>
      </c>
      <c r="S407" s="68">
        <f t="shared" si="386"/>
        <v>0</v>
      </c>
      <c r="T407" s="68">
        <f t="shared" si="386"/>
        <v>0</v>
      </c>
      <c r="U407" s="68">
        <f t="shared" si="386"/>
        <v>0</v>
      </c>
      <c r="V407" s="68">
        <f t="shared" si="386"/>
        <v>0</v>
      </c>
      <c r="W407" s="68">
        <f t="shared" si="386"/>
        <v>0</v>
      </c>
      <c r="X407" s="68">
        <f t="shared" si="386"/>
        <v>0</v>
      </c>
      <c r="Y407" s="68">
        <f t="shared" si="386"/>
        <v>0</v>
      </c>
      <c r="Z407" s="68">
        <f t="shared" si="386"/>
        <v>0</v>
      </c>
      <c r="AA407" s="68">
        <f t="shared" si="386"/>
        <v>0</v>
      </c>
      <c r="AB407" s="68">
        <f t="shared" si="386"/>
        <v>0</v>
      </c>
      <c r="AC407" s="68">
        <f t="shared" si="386"/>
        <v>0</v>
      </c>
    </row>
    <row r="408" spans="1:29" ht="15.75" thickBot="1" x14ac:dyDescent="0.3">
      <c r="A408" s="31" t="s">
        <v>210</v>
      </c>
      <c r="B408" s="67">
        <f>B397+B398+B399+B400+B401+B402+B403+B404+B405+B406+B407</f>
        <v>0.10828383175735644</v>
      </c>
      <c r="C408" s="67">
        <f t="shared" ref="C408:AC408" si="387">C397+C398+C399+C400+C401+C402+C403+C404+C405+C406+C407</f>
        <v>0.10753418216485393</v>
      </c>
      <c r="D408" s="67">
        <f t="shared" si="387"/>
        <v>0.10678821128129962</v>
      </c>
      <c r="E408" s="67">
        <f t="shared" si="387"/>
        <v>0.10604784793594421</v>
      </c>
      <c r="F408" s="67">
        <f t="shared" si="387"/>
        <v>0.10531589431886025</v>
      </c>
      <c r="G408" s="67">
        <f t="shared" si="387"/>
        <v>0.10459629999081058</v>
      </c>
      <c r="H408" s="67">
        <f t="shared" si="387"/>
        <v>0.10389439298513055</v>
      </c>
      <c r="I408" s="67">
        <f t="shared" si="387"/>
        <v>0.10321690322756603</v>
      </c>
      <c r="J408" s="67">
        <f t="shared" si="387"/>
        <v>0.10319045161352582</v>
      </c>
      <c r="K408" s="67">
        <f t="shared" si="387"/>
        <v>0.10318852116780756</v>
      </c>
      <c r="L408" s="67">
        <f t="shared" si="387"/>
        <v>0.10321127653144178</v>
      </c>
      <c r="M408" s="67">
        <f t="shared" si="387"/>
        <v>0.10325471557553673</v>
      </c>
      <c r="N408" s="67">
        <f t="shared" si="387"/>
        <v>0.1033102860475754</v>
      </c>
      <c r="O408" s="67">
        <f t="shared" si="387"/>
        <v>0.10336644529614965</v>
      </c>
      <c r="P408" s="67">
        <f t="shared" si="387"/>
        <v>0.10341179382181756</v>
      </c>
      <c r="Q408" s="67">
        <f t="shared" si="387"/>
        <v>0.1034381208869186</v>
      </c>
      <c r="R408" s="67">
        <f t="shared" si="387"/>
        <v>0.10344177241423405</v>
      </c>
      <c r="S408" s="67">
        <f t="shared" si="387"/>
        <v>0.10342310847627158</v>
      </c>
      <c r="T408" s="67">
        <f t="shared" si="387"/>
        <v>0.10338496549616917</v>
      </c>
      <c r="U408" s="67">
        <f t="shared" si="387"/>
        <v>0.10333113461729546</v>
      </c>
      <c r="V408" s="67">
        <f t="shared" si="387"/>
        <v>0.10326534626620777</v>
      </c>
      <c r="W408" s="67">
        <f t="shared" si="387"/>
        <v>0.10319078157302311</v>
      </c>
      <c r="X408" s="67">
        <f t="shared" si="387"/>
        <v>0.10310993950387246</v>
      </c>
      <c r="Y408" s="67">
        <f t="shared" si="387"/>
        <v>0.10302468570145892</v>
      </c>
      <c r="Z408" s="67">
        <f t="shared" si="387"/>
        <v>0.10293636812453781</v>
      </c>
      <c r="AA408" s="67">
        <f t="shared" si="387"/>
        <v>0.10284594002609314</v>
      </c>
      <c r="AB408" s="67">
        <f t="shared" si="387"/>
        <v>0.10275406602187209</v>
      </c>
      <c r="AC408" s="67">
        <f t="shared" si="387"/>
        <v>0.1026612051195252</v>
      </c>
    </row>
    <row r="410" spans="1:29" x14ac:dyDescent="0.25">
      <c r="B410" s="40"/>
    </row>
    <row r="429" spans="1:1" s="3" customFormat="1" ht="21" x14ac:dyDescent="0.35">
      <c r="A429" s="2" t="str">
        <f>'Parameter Input'!A128</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Input'!L77</f>
        <v>105000</v>
      </c>
      <c r="C439" s="42">
        <f>'Parameter Input'!M77</f>
        <v>115000</v>
      </c>
      <c r="D439" s="1" t="s">
        <v>15</v>
      </c>
      <c r="L439" s="51">
        <f>'Parameter Input'!O77</f>
        <v>12</v>
      </c>
      <c r="M439" s="52">
        <v>0</v>
      </c>
      <c r="N439" s="52">
        <v>1</v>
      </c>
      <c r="O439" s="52">
        <f>'Parameter Input'!P77</f>
        <v>0.9</v>
      </c>
      <c r="P439" s="53">
        <f>'Parameter Input'!Q77</f>
        <v>0.4</v>
      </c>
      <c r="Q439" s="4">
        <f t="shared" ref="Q439:AR448" si="388">$N439+($M439-$N439)*((1/(1+EXP(-$P439*(Q$9-$L439)))^$O439))</f>
        <v>0.9867978615748374</v>
      </c>
      <c r="R439" s="4">
        <f t="shared" si="388"/>
        <v>0.98114509762858249</v>
      </c>
      <c r="S439" s="4">
        <f t="shared" si="388"/>
        <v>0.97311898315872036</v>
      </c>
      <c r="T439" s="4">
        <f t="shared" si="388"/>
        <v>0.96177484161592774</v>
      </c>
      <c r="U439" s="4">
        <f t="shared" si="388"/>
        <v>0.94584787155511363</v>
      </c>
      <c r="V439" s="4">
        <f t="shared" si="388"/>
        <v>0.92370360150141495</v>
      </c>
      <c r="W439" s="4">
        <f t="shared" si="388"/>
        <v>0.89334463567658451</v>
      </c>
      <c r="X439" s="4">
        <f t="shared" si="388"/>
        <v>0.85254543874327005</v>
      </c>
      <c r="Y439" s="4">
        <f t="shared" si="388"/>
        <v>0.79921300652623883</v>
      </c>
      <c r="Z439" s="4">
        <f t="shared" si="388"/>
        <v>0.73204982249993378</v>
      </c>
      <c r="AA439" s="4">
        <f t="shared" si="388"/>
        <v>0.65145592958786691</v>
      </c>
      <c r="AB439" s="4">
        <f t="shared" si="388"/>
        <v>0.56032247880849573</v>
      </c>
      <c r="AC439" s="4">
        <f t="shared" si="388"/>
        <v>0.46411326873185343</v>
      </c>
      <c r="AD439" s="4">
        <f t="shared" si="388"/>
        <v>0.36979727595523937</v>
      </c>
      <c r="AE439" s="4">
        <f t="shared" si="388"/>
        <v>0.28393948637231203</v>
      </c>
      <c r="AF439" s="4">
        <f t="shared" si="388"/>
        <v>0.21097259161117732</v>
      </c>
      <c r="AG439" s="4">
        <f t="shared" si="388"/>
        <v>0.15253917653798199</v>
      </c>
      <c r="AH439" s="4">
        <f t="shared" si="388"/>
        <v>0.10795188737709993</v>
      </c>
      <c r="AI439" s="4">
        <f t="shared" si="388"/>
        <v>7.5176653938091809E-2</v>
      </c>
      <c r="AJ439" s="4">
        <f t="shared" si="388"/>
        <v>5.1742836177502194E-2</v>
      </c>
      <c r="AK439" s="4">
        <f t="shared" si="388"/>
        <v>3.5319190625345942E-2</v>
      </c>
      <c r="AL439" s="4">
        <f t="shared" si="388"/>
        <v>2.3969442072658165E-2</v>
      </c>
      <c r="AM439" s="4">
        <f t="shared" si="388"/>
        <v>1.6202243558389728E-2</v>
      </c>
      <c r="AN439" s="4">
        <f t="shared" si="388"/>
        <v>1.0922240564108399E-2</v>
      </c>
      <c r="AO439" s="4">
        <f t="shared" si="388"/>
        <v>7.3493212906090566E-3</v>
      </c>
      <c r="AP439" s="4">
        <f t="shared" si="388"/>
        <v>4.9390262185057265E-3</v>
      </c>
      <c r="AQ439" s="4">
        <f t="shared" si="388"/>
        <v>3.3164275492956197E-3</v>
      </c>
      <c r="AR439" s="4">
        <f t="shared" si="388"/>
        <v>2.2256362146679809E-3</v>
      </c>
    </row>
    <row r="440" spans="1:44" x14ac:dyDescent="0.25">
      <c r="A440" s="24" t="s">
        <v>28</v>
      </c>
      <c r="B440" s="60">
        <f>'Parameter Input'!L78</f>
        <v>-26250</v>
      </c>
      <c r="C440" s="61">
        <f>'Parameter Input'!M78</f>
        <v>-17250</v>
      </c>
      <c r="D440" s="1" t="s">
        <v>15</v>
      </c>
      <c r="L440" s="54">
        <f>'Parameter Input'!O78</f>
        <v>12</v>
      </c>
      <c r="M440" s="37">
        <v>0</v>
      </c>
      <c r="N440" s="37">
        <v>1</v>
      </c>
      <c r="O440" s="37">
        <f>'Parameter Input'!P78</f>
        <v>0.9</v>
      </c>
      <c r="P440" s="55">
        <f>'Parameter Input'!Q78</f>
        <v>0.4</v>
      </c>
      <c r="Q440" s="4">
        <f t="shared" si="388"/>
        <v>0.9867978615748374</v>
      </c>
      <c r="R440" s="4">
        <f t="shared" si="388"/>
        <v>0.98114509762858249</v>
      </c>
      <c r="S440" s="4">
        <f t="shared" si="388"/>
        <v>0.97311898315872036</v>
      </c>
      <c r="T440" s="4">
        <f t="shared" si="388"/>
        <v>0.96177484161592774</v>
      </c>
      <c r="U440" s="4">
        <f t="shared" si="388"/>
        <v>0.94584787155511363</v>
      </c>
      <c r="V440" s="4">
        <f t="shared" si="388"/>
        <v>0.92370360150141495</v>
      </c>
      <c r="W440" s="4">
        <f t="shared" si="388"/>
        <v>0.89334463567658451</v>
      </c>
      <c r="X440" s="4">
        <f t="shared" si="388"/>
        <v>0.85254543874327005</v>
      </c>
      <c r="Y440" s="4">
        <f t="shared" si="388"/>
        <v>0.79921300652623883</v>
      </c>
      <c r="Z440" s="4">
        <f t="shared" si="388"/>
        <v>0.73204982249993378</v>
      </c>
      <c r="AA440" s="4">
        <f t="shared" si="388"/>
        <v>0.65145592958786691</v>
      </c>
      <c r="AB440" s="4">
        <f t="shared" si="388"/>
        <v>0.56032247880849573</v>
      </c>
      <c r="AC440" s="4">
        <f t="shared" si="388"/>
        <v>0.46411326873185343</v>
      </c>
      <c r="AD440" s="4">
        <f t="shared" si="388"/>
        <v>0.36979727595523937</v>
      </c>
      <c r="AE440" s="4">
        <f t="shared" si="388"/>
        <v>0.28393948637231203</v>
      </c>
      <c r="AF440" s="4">
        <f t="shared" si="388"/>
        <v>0.21097259161117732</v>
      </c>
      <c r="AG440" s="4">
        <f t="shared" si="388"/>
        <v>0.15253917653798199</v>
      </c>
      <c r="AH440" s="4">
        <f t="shared" si="388"/>
        <v>0.10795188737709993</v>
      </c>
      <c r="AI440" s="4">
        <f t="shared" si="388"/>
        <v>7.5176653938091809E-2</v>
      </c>
      <c r="AJ440" s="4">
        <f t="shared" si="388"/>
        <v>5.1742836177502194E-2</v>
      </c>
      <c r="AK440" s="4">
        <f t="shared" si="388"/>
        <v>3.5319190625345942E-2</v>
      </c>
      <c r="AL440" s="4">
        <f t="shared" si="388"/>
        <v>2.3969442072658165E-2</v>
      </c>
      <c r="AM440" s="4">
        <f t="shared" si="388"/>
        <v>1.6202243558389728E-2</v>
      </c>
      <c r="AN440" s="4">
        <f t="shared" si="388"/>
        <v>1.0922240564108399E-2</v>
      </c>
      <c r="AO440" s="4">
        <f t="shared" si="388"/>
        <v>7.3493212906090566E-3</v>
      </c>
      <c r="AP440" s="4">
        <f t="shared" si="388"/>
        <v>4.9390262185057265E-3</v>
      </c>
      <c r="AQ440" s="4">
        <f t="shared" si="388"/>
        <v>3.3164275492956197E-3</v>
      </c>
      <c r="AR440" s="4">
        <f t="shared" si="388"/>
        <v>2.2256362146679809E-3</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88"/>
        <v>0.9867978615748374</v>
      </c>
      <c r="R441" s="4">
        <f t="shared" si="388"/>
        <v>0.98114509762858249</v>
      </c>
      <c r="S441" s="4">
        <f t="shared" si="388"/>
        <v>0.97311898315872036</v>
      </c>
      <c r="T441" s="4">
        <f t="shared" si="388"/>
        <v>0.96177484161592774</v>
      </c>
      <c r="U441" s="4">
        <f t="shared" si="388"/>
        <v>0.94584787155511363</v>
      </c>
      <c r="V441" s="4">
        <f t="shared" si="388"/>
        <v>0.92370360150141495</v>
      </c>
      <c r="W441" s="4">
        <f t="shared" si="388"/>
        <v>0.89334463567658451</v>
      </c>
      <c r="X441" s="4">
        <f t="shared" si="388"/>
        <v>0.85254543874327005</v>
      </c>
      <c r="Y441" s="4">
        <f t="shared" si="388"/>
        <v>0.79921300652623883</v>
      </c>
      <c r="Z441" s="4">
        <f t="shared" si="388"/>
        <v>0.73204982249993378</v>
      </c>
      <c r="AA441" s="4">
        <f t="shared" si="388"/>
        <v>0.65145592958786691</v>
      </c>
      <c r="AB441" s="4">
        <f t="shared" si="388"/>
        <v>0.56032247880849573</v>
      </c>
      <c r="AC441" s="4">
        <f t="shared" si="388"/>
        <v>0.46411326873185343</v>
      </c>
      <c r="AD441" s="4">
        <f t="shared" si="388"/>
        <v>0.36979727595523937</v>
      </c>
      <c r="AE441" s="4">
        <f t="shared" si="388"/>
        <v>0.28393948637231203</v>
      </c>
      <c r="AF441" s="4">
        <f t="shared" si="388"/>
        <v>0.21097259161117732</v>
      </c>
      <c r="AG441" s="4">
        <f t="shared" si="388"/>
        <v>0.15253917653798199</v>
      </c>
      <c r="AH441" s="4">
        <f t="shared" si="388"/>
        <v>0.10795188737709993</v>
      </c>
      <c r="AI441" s="4">
        <f t="shared" si="388"/>
        <v>7.5176653938091809E-2</v>
      </c>
      <c r="AJ441" s="4">
        <f t="shared" si="388"/>
        <v>5.1742836177502194E-2</v>
      </c>
      <c r="AK441" s="4">
        <f t="shared" si="388"/>
        <v>3.5319190625345942E-2</v>
      </c>
      <c r="AL441" s="4">
        <f t="shared" si="388"/>
        <v>2.3969442072658165E-2</v>
      </c>
      <c r="AM441" s="4">
        <f t="shared" si="388"/>
        <v>1.6202243558389728E-2</v>
      </c>
      <c r="AN441" s="4">
        <f t="shared" si="388"/>
        <v>1.0922240564108399E-2</v>
      </c>
      <c r="AO441" s="4">
        <f t="shared" si="388"/>
        <v>7.3493212906090566E-3</v>
      </c>
      <c r="AP441" s="4">
        <f t="shared" si="388"/>
        <v>4.9390262185057265E-3</v>
      </c>
      <c r="AQ441" s="4">
        <f t="shared" si="388"/>
        <v>3.3164275492956197E-3</v>
      </c>
      <c r="AR441" s="4">
        <f t="shared" si="388"/>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88"/>
        <v>0.9867978615748374</v>
      </c>
      <c r="R442" s="4">
        <f t="shared" si="388"/>
        <v>0.98114509762858249</v>
      </c>
      <c r="S442" s="4">
        <f t="shared" si="388"/>
        <v>0.97311898315872036</v>
      </c>
      <c r="T442" s="4">
        <f t="shared" si="388"/>
        <v>0.96177484161592774</v>
      </c>
      <c r="U442" s="4">
        <f t="shared" si="388"/>
        <v>0.94584787155511363</v>
      </c>
      <c r="V442" s="4">
        <f t="shared" si="388"/>
        <v>0.92370360150141495</v>
      </c>
      <c r="W442" s="4">
        <f t="shared" si="388"/>
        <v>0.89334463567658451</v>
      </c>
      <c r="X442" s="4">
        <f t="shared" si="388"/>
        <v>0.85254543874327005</v>
      </c>
      <c r="Y442" s="4">
        <f t="shared" si="388"/>
        <v>0.79921300652623883</v>
      </c>
      <c r="Z442" s="4">
        <f t="shared" si="388"/>
        <v>0.73204982249993378</v>
      </c>
      <c r="AA442" s="4">
        <f t="shared" si="388"/>
        <v>0.65145592958786691</v>
      </c>
      <c r="AB442" s="4">
        <f t="shared" si="388"/>
        <v>0.56032247880849573</v>
      </c>
      <c r="AC442" s="4">
        <f t="shared" si="388"/>
        <v>0.46411326873185343</v>
      </c>
      <c r="AD442" s="4">
        <f t="shared" si="388"/>
        <v>0.36979727595523937</v>
      </c>
      <c r="AE442" s="4">
        <f t="shared" si="388"/>
        <v>0.28393948637231203</v>
      </c>
      <c r="AF442" s="4">
        <f t="shared" si="388"/>
        <v>0.21097259161117732</v>
      </c>
      <c r="AG442" s="4">
        <f t="shared" si="388"/>
        <v>0.15253917653798199</v>
      </c>
      <c r="AH442" s="4">
        <f t="shared" si="388"/>
        <v>0.10795188737709993</v>
      </c>
      <c r="AI442" s="4">
        <f t="shared" si="388"/>
        <v>7.5176653938091809E-2</v>
      </c>
      <c r="AJ442" s="4">
        <f t="shared" si="388"/>
        <v>5.1742836177502194E-2</v>
      </c>
      <c r="AK442" s="4">
        <f t="shared" si="388"/>
        <v>3.5319190625345942E-2</v>
      </c>
      <c r="AL442" s="4">
        <f t="shared" si="388"/>
        <v>2.3969442072658165E-2</v>
      </c>
      <c r="AM442" s="4">
        <f t="shared" si="388"/>
        <v>1.6202243558389728E-2</v>
      </c>
      <c r="AN442" s="4">
        <f t="shared" si="388"/>
        <v>1.0922240564108399E-2</v>
      </c>
      <c r="AO442" s="4">
        <f t="shared" si="388"/>
        <v>7.3493212906090566E-3</v>
      </c>
      <c r="AP442" s="4">
        <f t="shared" si="388"/>
        <v>4.9390262185057265E-3</v>
      </c>
      <c r="AQ442" s="4">
        <f t="shared" si="388"/>
        <v>3.3164275492956197E-3</v>
      </c>
      <c r="AR442" s="4">
        <f t="shared" si="388"/>
        <v>2.2256362146679809E-3</v>
      </c>
    </row>
    <row r="443" spans="1:44" x14ac:dyDescent="0.25">
      <c r="A443" s="24" t="s">
        <v>79</v>
      </c>
      <c r="B443" s="60">
        <f>'Parameter Input'!L84</f>
        <v>0.06</v>
      </c>
      <c r="C443" s="61">
        <f>'Parameter Input'!M84</f>
        <v>0.06</v>
      </c>
      <c r="D443" s="1" t="s">
        <v>57</v>
      </c>
      <c r="L443" s="54">
        <f>'Parameter Input'!O84</f>
        <v>12</v>
      </c>
      <c r="M443" s="37">
        <v>0</v>
      </c>
      <c r="N443" s="37">
        <v>1</v>
      </c>
      <c r="O443" s="37">
        <f>'Parameter Input'!P84</f>
        <v>0.9</v>
      </c>
      <c r="P443" s="55">
        <f>'Parameter Input'!Q84</f>
        <v>0.4</v>
      </c>
      <c r="Q443" s="4">
        <f t="shared" si="388"/>
        <v>0.9867978615748374</v>
      </c>
      <c r="R443" s="4">
        <f t="shared" si="388"/>
        <v>0.98114509762858249</v>
      </c>
      <c r="S443" s="4">
        <f t="shared" si="388"/>
        <v>0.97311898315872036</v>
      </c>
      <c r="T443" s="4">
        <f t="shared" si="388"/>
        <v>0.96177484161592774</v>
      </c>
      <c r="U443" s="4">
        <f t="shared" si="388"/>
        <v>0.94584787155511363</v>
      </c>
      <c r="V443" s="4">
        <f t="shared" si="388"/>
        <v>0.92370360150141495</v>
      </c>
      <c r="W443" s="4">
        <f t="shared" si="388"/>
        <v>0.89334463567658451</v>
      </c>
      <c r="X443" s="4">
        <f t="shared" si="388"/>
        <v>0.85254543874327005</v>
      </c>
      <c r="Y443" s="4">
        <f t="shared" si="388"/>
        <v>0.79921300652623883</v>
      </c>
      <c r="Z443" s="4">
        <f t="shared" si="388"/>
        <v>0.73204982249993378</v>
      </c>
      <c r="AA443" s="4">
        <f t="shared" si="388"/>
        <v>0.65145592958786691</v>
      </c>
      <c r="AB443" s="4">
        <f t="shared" si="388"/>
        <v>0.56032247880849573</v>
      </c>
      <c r="AC443" s="4">
        <f t="shared" si="388"/>
        <v>0.46411326873185343</v>
      </c>
      <c r="AD443" s="4">
        <f t="shared" si="388"/>
        <v>0.36979727595523937</v>
      </c>
      <c r="AE443" s="4">
        <f t="shared" si="388"/>
        <v>0.28393948637231203</v>
      </c>
      <c r="AF443" s="4">
        <f t="shared" si="388"/>
        <v>0.21097259161117732</v>
      </c>
      <c r="AG443" s="4">
        <f t="shared" si="388"/>
        <v>0.15253917653798199</v>
      </c>
      <c r="AH443" s="4">
        <f t="shared" si="388"/>
        <v>0.10795188737709993</v>
      </c>
      <c r="AI443" s="4">
        <f t="shared" si="388"/>
        <v>7.5176653938091809E-2</v>
      </c>
      <c r="AJ443" s="4">
        <f t="shared" si="388"/>
        <v>5.1742836177502194E-2</v>
      </c>
      <c r="AK443" s="4">
        <f t="shared" si="388"/>
        <v>3.5319190625345942E-2</v>
      </c>
      <c r="AL443" s="4">
        <f t="shared" si="388"/>
        <v>2.3969442072658165E-2</v>
      </c>
      <c r="AM443" s="4">
        <f t="shared" si="388"/>
        <v>1.6202243558389728E-2</v>
      </c>
      <c r="AN443" s="4">
        <f t="shared" si="388"/>
        <v>1.0922240564108399E-2</v>
      </c>
      <c r="AO443" s="4">
        <f t="shared" si="388"/>
        <v>7.3493212906090566E-3</v>
      </c>
      <c r="AP443" s="4">
        <f t="shared" si="388"/>
        <v>4.9390262185057265E-3</v>
      </c>
      <c r="AQ443" s="4">
        <f t="shared" si="388"/>
        <v>3.3164275492956197E-3</v>
      </c>
      <c r="AR443" s="4">
        <f t="shared" si="388"/>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88"/>
        <v>0.9867978615748374</v>
      </c>
      <c r="R444" s="4">
        <f t="shared" si="388"/>
        <v>0.98114509762858249</v>
      </c>
      <c r="S444" s="4">
        <f t="shared" si="388"/>
        <v>0.97311898315872036</v>
      </c>
      <c r="T444" s="4">
        <f t="shared" si="388"/>
        <v>0.96177484161592774</v>
      </c>
      <c r="U444" s="4">
        <f t="shared" si="388"/>
        <v>0.94584787155511363</v>
      </c>
      <c r="V444" s="4">
        <f t="shared" si="388"/>
        <v>0.92370360150141495</v>
      </c>
      <c r="W444" s="4">
        <f t="shared" si="388"/>
        <v>0.89334463567658451</v>
      </c>
      <c r="X444" s="4">
        <f t="shared" si="388"/>
        <v>0.85254543874327005</v>
      </c>
      <c r="Y444" s="4">
        <f t="shared" si="388"/>
        <v>0.79921300652623883</v>
      </c>
      <c r="Z444" s="4">
        <f t="shared" si="388"/>
        <v>0.73204982249993378</v>
      </c>
      <c r="AA444" s="4">
        <f t="shared" si="388"/>
        <v>0.65145592958786691</v>
      </c>
      <c r="AB444" s="4">
        <f t="shared" si="388"/>
        <v>0.56032247880849573</v>
      </c>
      <c r="AC444" s="4">
        <f t="shared" si="388"/>
        <v>0.46411326873185343</v>
      </c>
      <c r="AD444" s="4">
        <f t="shared" si="388"/>
        <v>0.36979727595523937</v>
      </c>
      <c r="AE444" s="4">
        <f t="shared" si="388"/>
        <v>0.28393948637231203</v>
      </c>
      <c r="AF444" s="4">
        <f t="shared" si="388"/>
        <v>0.21097259161117732</v>
      </c>
      <c r="AG444" s="4">
        <f t="shared" si="388"/>
        <v>0.15253917653798199</v>
      </c>
      <c r="AH444" s="4">
        <f t="shared" si="388"/>
        <v>0.10795188737709993</v>
      </c>
      <c r="AI444" s="4">
        <f t="shared" si="388"/>
        <v>7.5176653938091809E-2</v>
      </c>
      <c r="AJ444" s="4">
        <f t="shared" si="388"/>
        <v>5.1742836177502194E-2</v>
      </c>
      <c r="AK444" s="4">
        <f t="shared" si="388"/>
        <v>3.5319190625345942E-2</v>
      </c>
      <c r="AL444" s="4">
        <f t="shared" si="388"/>
        <v>2.3969442072658165E-2</v>
      </c>
      <c r="AM444" s="4">
        <f t="shared" si="388"/>
        <v>1.6202243558389728E-2</v>
      </c>
      <c r="AN444" s="4">
        <f t="shared" si="388"/>
        <v>1.0922240564108399E-2</v>
      </c>
      <c r="AO444" s="4">
        <f t="shared" si="388"/>
        <v>7.3493212906090566E-3</v>
      </c>
      <c r="AP444" s="4">
        <f t="shared" si="388"/>
        <v>4.9390262185057265E-3</v>
      </c>
      <c r="AQ444" s="4">
        <f t="shared" si="388"/>
        <v>3.3164275492956197E-3</v>
      </c>
      <c r="AR444" s="4">
        <f t="shared" si="388"/>
        <v>2.2256362146679809E-3</v>
      </c>
    </row>
    <row r="445" spans="1:44" x14ac:dyDescent="0.25">
      <c r="A445" s="24" t="s">
        <v>52</v>
      </c>
      <c r="B445" s="60">
        <f>'Parameter Input'!L80</f>
        <v>20000</v>
      </c>
      <c r="C445" s="61">
        <f>'Parameter Input'!M80</f>
        <v>20000</v>
      </c>
      <c r="D445" s="1" t="s">
        <v>38</v>
      </c>
      <c r="L445" s="54">
        <f>'Parameter Input'!O80</f>
        <v>12</v>
      </c>
      <c r="M445" s="37">
        <v>0</v>
      </c>
      <c r="N445" s="37">
        <v>1</v>
      </c>
      <c r="O445" s="37">
        <f>'Parameter Input'!P80</f>
        <v>0.9</v>
      </c>
      <c r="P445" s="55">
        <f>'Parameter Input'!Q80</f>
        <v>0.4</v>
      </c>
      <c r="Q445" s="4">
        <f t="shared" si="388"/>
        <v>0.9867978615748374</v>
      </c>
      <c r="R445" s="4">
        <f t="shared" si="388"/>
        <v>0.98114509762858249</v>
      </c>
      <c r="S445" s="4">
        <f t="shared" si="388"/>
        <v>0.97311898315872036</v>
      </c>
      <c r="T445" s="4">
        <f t="shared" si="388"/>
        <v>0.96177484161592774</v>
      </c>
      <c r="U445" s="4">
        <f t="shared" si="388"/>
        <v>0.94584787155511363</v>
      </c>
      <c r="V445" s="4">
        <f t="shared" si="388"/>
        <v>0.92370360150141495</v>
      </c>
      <c r="W445" s="4">
        <f t="shared" si="388"/>
        <v>0.89334463567658451</v>
      </c>
      <c r="X445" s="4">
        <f t="shared" si="388"/>
        <v>0.85254543874327005</v>
      </c>
      <c r="Y445" s="4">
        <f t="shared" si="388"/>
        <v>0.79921300652623883</v>
      </c>
      <c r="Z445" s="4">
        <f t="shared" si="388"/>
        <v>0.73204982249993378</v>
      </c>
      <c r="AA445" s="4">
        <f t="shared" si="388"/>
        <v>0.65145592958786691</v>
      </c>
      <c r="AB445" s="4">
        <f t="shared" si="388"/>
        <v>0.56032247880849573</v>
      </c>
      <c r="AC445" s="4">
        <f t="shared" si="388"/>
        <v>0.46411326873185343</v>
      </c>
      <c r="AD445" s="4">
        <f t="shared" si="388"/>
        <v>0.36979727595523937</v>
      </c>
      <c r="AE445" s="4">
        <f t="shared" si="388"/>
        <v>0.28393948637231203</v>
      </c>
      <c r="AF445" s="4">
        <f t="shared" si="388"/>
        <v>0.21097259161117732</v>
      </c>
      <c r="AG445" s="4">
        <f t="shared" si="388"/>
        <v>0.15253917653798199</v>
      </c>
      <c r="AH445" s="4">
        <f t="shared" si="388"/>
        <v>0.10795188737709993</v>
      </c>
      <c r="AI445" s="4">
        <f t="shared" si="388"/>
        <v>7.5176653938091809E-2</v>
      </c>
      <c r="AJ445" s="4">
        <f t="shared" si="388"/>
        <v>5.1742836177502194E-2</v>
      </c>
      <c r="AK445" s="4">
        <f t="shared" si="388"/>
        <v>3.5319190625345942E-2</v>
      </c>
      <c r="AL445" s="4">
        <f t="shared" si="388"/>
        <v>2.3969442072658165E-2</v>
      </c>
      <c r="AM445" s="4">
        <f t="shared" si="388"/>
        <v>1.6202243558389728E-2</v>
      </c>
      <c r="AN445" s="4">
        <f t="shared" si="388"/>
        <v>1.0922240564108399E-2</v>
      </c>
      <c r="AO445" s="4">
        <f t="shared" si="388"/>
        <v>7.3493212906090566E-3</v>
      </c>
      <c r="AP445" s="4">
        <f t="shared" si="388"/>
        <v>4.9390262185057265E-3</v>
      </c>
      <c r="AQ445" s="4">
        <f t="shared" si="388"/>
        <v>3.3164275492956197E-3</v>
      </c>
      <c r="AR445" s="4">
        <f t="shared" si="388"/>
        <v>2.2256362146679809E-3</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88"/>
        <v>0.9867978615748374</v>
      </c>
      <c r="R446" s="4">
        <f t="shared" si="388"/>
        <v>0.98114509762858249</v>
      </c>
      <c r="S446" s="4">
        <f t="shared" si="388"/>
        <v>0.97311898315872036</v>
      </c>
      <c r="T446" s="4">
        <f t="shared" si="388"/>
        <v>0.96177484161592774</v>
      </c>
      <c r="U446" s="4">
        <f t="shared" si="388"/>
        <v>0.94584787155511363</v>
      </c>
      <c r="V446" s="4">
        <f t="shared" si="388"/>
        <v>0.92370360150141495</v>
      </c>
      <c r="W446" s="4">
        <f t="shared" si="388"/>
        <v>0.89334463567658451</v>
      </c>
      <c r="X446" s="4">
        <f t="shared" si="388"/>
        <v>0.85254543874327005</v>
      </c>
      <c r="Y446" s="4">
        <f t="shared" si="388"/>
        <v>0.79921300652623883</v>
      </c>
      <c r="Z446" s="4">
        <f t="shared" si="388"/>
        <v>0.73204982249993378</v>
      </c>
      <c r="AA446" s="4">
        <f t="shared" si="388"/>
        <v>0.65145592958786691</v>
      </c>
      <c r="AB446" s="4">
        <f t="shared" si="388"/>
        <v>0.56032247880849573</v>
      </c>
      <c r="AC446" s="4">
        <f t="shared" si="388"/>
        <v>0.46411326873185343</v>
      </c>
      <c r="AD446" s="4">
        <f t="shared" si="388"/>
        <v>0.36979727595523937</v>
      </c>
      <c r="AE446" s="4">
        <f t="shared" si="388"/>
        <v>0.28393948637231203</v>
      </c>
      <c r="AF446" s="4">
        <f t="shared" si="388"/>
        <v>0.21097259161117732</v>
      </c>
      <c r="AG446" s="4">
        <f t="shared" si="388"/>
        <v>0.15253917653798199</v>
      </c>
      <c r="AH446" s="4">
        <f t="shared" si="388"/>
        <v>0.10795188737709993</v>
      </c>
      <c r="AI446" s="4">
        <f t="shared" si="388"/>
        <v>7.5176653938091809E-2</v>
      </c>
      <c r="AJ446" s="4">
        <f t="shared" si="388"/>
        <v>5.1742836177502194E-2</v>
      </c>
      <c r="AK446" s="4">
        <f t="shared" si="388"/>
        <v>3.5319190625345942E-2</v>
      </c>
      <c r="AL446" s="4">
        <f t="shared" si="388"/>
        <v>2.3969442072658165E-2</v>
      </c>
      <c r="AM446" s="4">
        <f t="shared" si="388"/>
        <v>1.6202243558389728E-2</v>
      </c>
      <c r="AN446" s="4">
        <f t="shared" si="388"/>
        <v>1.0922240564108399E-2</v>
      </c>
      <c r="AO446" s="4">
        <f t="shared" si="388"/>
        <v>7.3493212906090566E-3</v>
      </c>
      <c r="AP446" s="4">
        <f t="shared" si="388"/>
        <v>4.9390262185057265E-3</v>
      </c>
      <c r="AQ446" s="4">
        <f t="shared" si="388"/>
        <v>3.3164275492956197E-3</v>
      </c>
      <c r="AR446" s="4">
        <f t="shared" si="388"/>
        <v>2.2256362146679809E-3</v>
      </c>
    </row>
    <row r="447" spans="1:44" x14ac:dyDescent="0.25">
      <c r="A447" s="24" t="s">
        <v>59</v>
      </c>
      <c r="B447" s="60">
        <f>'Parameter Input'!L81</f>
        <v>2.9</v>
      </c>
      <c r="C447" s="61">
        <f>'Parameter Input'!M81</f>
        <v>2.4</v>
      </c>
      <c r="D447" s="1" t="s">
        <v>60</v>
      </c>
      <c r="L447" s="54">
        <f>'Parameter Input'!O81</f>
        <v>12</v>
      </c>
      <c r="M447" s="37">
        <v>0</v>
      </c>
      <c r="N447" s="37">
        <v>1</v>
      </c>
      <c r="O447" s="37">
        <f>'Parameter Input'!P81</f>
        <v>0.9</v>
      </c>
      <c r="P447" s="55">
        <f>'Parameter Input'!Q81</f>
        <v>0.4</v>
      </c>
      <c r="Q447" s="4">
        <f t="shared" si="388"/>
        <v>0.9867978615748374</v>
      </c>
      <c r="R447" s="4">
        <f t="shared" si="388"/>
        <v>0.98114509762858249</v>
      </c>
      <c r="S447" s="4">
        <f t="shared" si="388"/>
        <v>0.97311898315872036</v>
      </c>
      <c r="T447" s="4">
        <f t="shared" si="388"/>
        <v>0.96177484161592774</v>
      </c>
      <c r="U447" s="4">
        <f t="shared" si="388"/>
        <v>0.94584787155511363</v>
      </c>
      <c r="V447" s="4">
        <f t="shared" si="388"/>
        <v>0.92370360150141495</v>
      </c>
      <c r="W447" s="4">
        <f t="shared" si="388"/>
        <v>0.89334463567658451</v>
      </c>
      <c r="X447" s="4">
        <f t="shared" si="388"/>
        <v>0.85254543874327005</v>
      </c>
      <c r="Y447" s="4">
        <f t="shared" si="388"/>
        <v>0.79921300652623883</v>
      </c>
      <c r="Z447" s="4">
        <f t="shared" si="388"/>
        <v>0.73204982249993378</v>
      </c>
      <c r="AA447" s="4">
        <f t="shared" si="388"/>
        <v>0.65145592958786691</v>
      </c>
      <c r="AB447" s="4">
        <f t="shared" si="388"/>
        <v>0.56032247880849573</v>
      </c>
      <c r="AC447" s="4">
        <f t="shared" si="388"/>
        <v>0.46411326873185343</v>
      </c>
      <c r="AD447" s="4">
        <f t="shared" si="388"/>
        <v>0.36979727595523937</v>
      </c>
      <c r="AE447" s="4">
        <f t="shared" si="388"/>
        <v>0.28393948637231203</v>
      </c>
      <c r="AF447" s="4">
        <f t="shared" si="388"/>
        <v>0.21097259161117732</v>
      </c>
      <c r="AG447" s="4">
        <f t="shared" si="388"/>
        <v>0.15253917653798199</v>
      </c>
      <c r="AH447" s="4">
        <f t="shared" si="388"/>
        <v>0.10795188737709993</v>
      </c>
      <c r="AI447" s="4">
        <f t="shared" si="388"/>
        <v>7.5176653938091809E-2</v>
      </c>
      <c r="AJ447" s="4">
        <f t="shared" si="388"/>
        <v>5.1742836177502194E-2</v>
      </c>
      <c r="AK447" s="4">
        <f t="shared" si="388"/>
        <v>3.5319190625345942E-2</v>
      </c>
      <c r="AL447" s="4">
        <f t="shared" si="388"/>
        <v>2.3969442072658165E-2</v>
      </c>
      <c r="AM447" s="4">
        <f t="shared" si="388"/>
        <v>1.6202243558389728E-2</v>
      </c>
      <c r="AN447" s="4">
        <f t="shared" si="388"/>
        <v>1.0922240564108399E-2</v>
      </c>
      <c r="AO447" s="4">
        <f t="shared" si="388"/>
        <v>7.3493212906090566E-3</v>
      </c>
      <c r="AP447" s="4">
        <f t="shared" si="388"/>
        <v>4.9390262185057265E-3</v>
      </c>
      <c r="AQ447" s="4">
        <f t="shared" si="388"/>
        <v>3.3164275492956197E-3</v>
      </c>
      <c r="AR447" s="4">
        <f t="shared" si="388"/>
        <v>2.2256362146679809E-3</v>
      </c>
    </row>
    <row r="448" spans="1:44" x14ac:dyDescent="0.25">
      <c r="A448" s="24" t="s">
        <v>67</v>
      </c>
      <c r="B448" s="60">
        <f>'Parameter Input'!L82</f>
        <v>0.1</v>
      </c>
      <c r="C448" s="61">
        <f>'Parameter Input'!M82</f>
        <v>0.1</v>
      </c>
      <c r="D448" s="1" t="s">
        <v>68</v>
      </c>
      <c r="L448" s="54">
        <f>'Parameter Input'!O82</f>
        <v>12</v>
      </c>
      <c r="M448" s="37">
        <v>0</v>
      </c>
      <c r="N448" s="37">
        <v>1</v>
      </c>
      <c r="O448" s="37">
        <f>'Parameter Input'!P82</f>
        <v>0.9</v>
      </c>
      <c r="P448" s="55">
        <f>'Parameter Input'!Q82</f>
        <v>0.4</v>
      </c>
      <c r="Q448" s="4">
        <f t="shared" si="388"/>
        <v>0.9867978615748374</v>
      </c>
      <c r="R448" s="4">
        <f t="shared" si="388"/>
        <v>0.98114509762858249</v>
      </c>
      <c r="S448" s="4">
        <f t="shared" si="388"/>
        <v>0.97311898315872036</v>
      </c>
      <c r="T448" s="4">
        <f t="shared" ref="T448:AI455" si="389">$N448+($M448-$N448)*((1/(1+EXP(-$P448*(T$9-$L448)))^$O448))</f>
        <v>0.96177484161592774</v>
      </c>
      <c r="U448" s="4">
        <f t="shared" si="389"/>
        <v>0.94584787155511363</v>
      </c>
      <c r="V448" s="4">
        <f t="shared" si="389"/>
        <v>0.92370360150141495</v>
      </c>
      <c r="W448" s="4">
        <f t="shared" si="389"/>
        <v>0.89334463567658451</v>
      </c>
      <c r="X448" s="4">
        <f t="shared" si="389"/>
        <v>0.85254543874327005</v>
      </c>
      <c r="Y448" s="4">
        <f t="shared" si="389"/>
        <v>0.79921300652623883</v>
      </c>
      <c r="Z448" s="4">
        <f t="shared" si="389"/>
        <v>0.73204982249993378</v>
      </c>
      <c r="AA448" s="4">
        <f t="shared" si="389"/>
        <v>0.65145592958786691</v>
      </c>
      <c r="AB448" s="4">
        <f t="shared" si="389"/>
        <v>0.56032247880849573</v>
      </c>
      <c r="AC448" s="4">
        <f t="shared" si="389"/>
        <v>0.46411326873185343</v>
      </c>
      <c r="AD448" s="4">
        <f t="shared" si="389"/>
        <v>0.36979727595523937</v>
      </c>
      <c r="AE448" s="4">
        <f t="shared" si="389"/>
        <v>0.28393948637231203</v>
      </c>
      <c r="AF448" s="4">
        <f t="shared" si="389"/>
        <v>0.21097259161117732</v>
      </c>
      <c r="AG448" s="4">
        <f t="shared" si="389"/>
        <v>0.15253917653798199</v>
      </c>
      <c r="AH448" s="4">
        <f t="shared" si="389"/>
        <v>0.10795188737709993</v>
      </c>
      <c r="AI448" s="4">
        <f t="shared" si="389"/>
        <v>7.5176653938091809E-2</v>
      </c>
      <c r="AJ448" s="4">
        <f t="shared" ref="AJ448:AR455" si="390">$N448+($M448-$N448)*((1/(1+EXP(-$P448*(AJ$9-$L448)))^$O448))</f>
        <v>5.1742836177502194E-2</v>
      </c>
      <c r="AK448" s="4">
        <f t="shared" si="390"/>
        <v>3.5319190625345942E-2</v>
      </c>
      <c r="AL448" s="4">
        <f t="shared" si="390"/>
        <v>2.3969442072658165E-2</v>
      </c>
      <c r="AM448" s="4">
        <f t="shared" si="390"/>
        <v>1.6202243558389728E-2</v>
      </c>
      <c r="AN448" s="4">
        <f t="shared" si="390"/>
        <v>1.0922240564108399E-2</v>
      </c>
      <c r="AO448" s="4">
        <f t="shared" si="390"/>
        <v>7.3493212906090566E-3</v>
      </c>
      <c r="AP448" s="4">
        <f t="shared" si="390"/>
        <v>4.9390262185057265E-3</v>
      </c>
      <c r="AQ448" s="4">
        <f t="shared" si="390"/>
        <v>3.3164275492956197E-3</v>
      </c>
      <c r="AR448" s="4">
        <f t="shared" si="390"/>
        <v>2.2256362146679809E-3</v>
      </c>
    </row>
    <row r="449" spans="1:44" x14ac:dyDescent="0.25">
      <c r="A449" s="24" t="s">
        <v>206</v>
      </c>
      <c r="B449" s="45">
        <f>'Parameter Input'!$L$85</f>
        <v>0</v>
      </c>
      <c r="C449" s="46">
        <f>'Parameter Input'!$M$85</f>
        <v>0</v>
      </c>
      <c r="D449" s="1" t="s">
        <v>76</v>
      </c>
      <c r="L449" s="54">
        <f>'Parameter Input'!$O$85</f>
        <v>17</v>
      </c>
      <c r="M449" s="37">
        <v>0</v>
      </c>
      <c r="N449" s="37">
        <v>1</v>
      </c>
      <c r="O449" s="37">
        <f>'Parameter Input'!$P$85</f>
        <v>0.9</v>
      </c>
      <c r="P449" s="55">
        <f>'Parameter Input'!$Q$85</f>
        <v>0.4</v>
      </c>
      <c r="Q449" s="4">
        <f t="shared" ref="Q449:AR449" si="391">$N449+($M449-$N449)*((1/(1+EXP(-$P449*(Q$9-$L449)))^$O449))</f>
        <v>0.99780374543478534</v>
      </c>
      <c r="R449" s="4">
        <f t="shared" si="391"/>
        <v>0.99685359315256394</v>
      </c>
      <c r="S449" s="4">
        <f t="shared" si="391"/>
        <v>0.99549347132349975</v>
      </c>
      <c r="T449" s="4">
        <f t="shared" si="391"/>
        <v>0.99354772139898062</v>
      </c>
      <c r="U449" s="4">
        <f t="shared" si="391"/>
        <v>0.99076681540580536</v>
      </c>
      <c r="V449" s="4">
        <f t="shared" si="391"/>
        <v>0.9867978615748374</v>
      </c>
      <c r="W449" s="4">
        <f t="shared" si="391"/>
        <v>0.98114509762858249</v>
      </c>
      <c r="X449" s="4">
        <f t="shared" si="391"/>
        <v>0.97311898315872036</v>
      </c>
      <c r="Y449" s="4">
        <f t="shared" si="391"/>
        <v>0.96177484161592774</v>
      </c>
      <c r="Z449" s="4">
        <f t="shared" si="391"/>
        <v>0.94584787155511363</v>
      </c>
      <c r="AA449" s="4">
        <f t="shared" si="391"/>
        <v>0.92370360150141495</v>
      </c>
      <c r="AB449" s="4">
        <f t="shared" si="391"/>
        <v>0.89334463567658451</v>
      </c>
      <c r="AC449" s="4">
        <f t="shared" si="391"/>
        <v>0.85254543874327005</v>
      </c>
      <c r="AD449" s="4">
        <f t="shared" si="391"/>
        <v>0.79921300652623883</v>
      </c>
      <c r="AE449" s="4">
        <f t="shared" si="391"/>
        <v>0.73204982249993378</v>
      </c>
      <c r="AF449" s="4">
        <f t="shared" si="391"/>
        <v>0.65145592958786691</v>
      </c>
      <c r="AG449" s="4">
        <f t="shared" si="391"/>
        <v>0.56032247880849573</v>
      </c>
      <c r="AH449" s="4">
        <f t="shared" si="391"/>
        <v>0.46411326873185343</v>
      </c>
      <c r="AI449" s="4">
        <f t="shared" si="391"/>
        <v>0.36979727595523937</v>
      </c>
      <c r="AJ449" s="4">
        <f t="shared" si="391"/>
        <v>0.28393948637231203</v>
      </c>
      <c r="AK449" s="4">
        <f t="shared" si="391"/>
        <v>0.21097259161117732</v>
      </c>
      <c r="AL449" s="4">
        <f t="shared" si="391"/>
        <v>0.15253917653798199</v>
      </c>
      <c r="AM449" s="4">
        <f t="shared" si="391"/>
        <v>0.10795188737709993</v>
      </c>
      <c r="AN449" s="4">
        <f t="shared" si="391"/>
        <v>7.5176653938091809E-2</v>
      </c>
      <c r="AO449" s="4">
        <f t="shared" si="391"/>
        <v>5.1742836177502194E-2</v>
      </c>
      <c r="AP449" s="4">
        <f t="shared" si="391"/>
        <v>3.5319190625345942E-2</v>
      </c>
      <c r="AQ449" s="4">
        <f t="shared" si="391"/>
        <v>2.3969442072658165E-2</v>
      </c>
      <c r="AR449" s="4">
        <f t="shared" si="391"/>
        <v>1.6202243558389728E-2</v>
      </c>
    </row>
    <row r="450" spans="1:44" x14ac:dyDescent="0.25">
      <c r="A450" s="24" t="s">
        <v>41</v>
      </c>
      <c r="B450" s="60">
        <f>'Parameter Input'!L79</f>
        <v>8</v>
      </c>
      <c r="C450" s="61">
        <f>'Parameter Input'!M79</f>
        <v>8</v>
      </c>
      <c r="D450" s="1" t="s">
        <v>42</v>
      </c>
      <c r="L450" s="54">
        <f>'Parameter Input'!O79</f>
        <v>12</v>
      </c>
      <c r="M450" s="37">
        <v>0</v>
      </c>
      <c r="N450" s="37">
        <v>1</v>
      </c>
      <c r="O450" s="37">
        <f>'Parameter Input'!P79</f>
        <v>0.9</v>
      </c>
      <c r="P450" s="55">
        <f>'Parameter Input'!Q79</f>
        <v>0.4</v>
      </c>
      <c r="Q450" s="4">
        <f t="shared" ref="Q450:AF455" si="392">$N450+($M450-$N450)*((1/(1+EXP(-$P450*(Q$9-$L450)))^$O450))</f>
        <v>0.9867978615748374</v>
      </c>
      <c r="R450" s="4">
        <f t="shared" si="392"/>
        <v>0.98114509762858249</v>
      </c>
      <c r="S450" s="4">
        <f t="shared" si="392"/>
        <v>0.97311898315872036</v>
      </c>
      <c r="T450" s="4">
        <f t="shared" si="392"/>
        <v>0.96177484161592774</v>
      </c>
      <c r="U450" s="4">
        <f t="shared" si="392"/>
        <v>0.94584787155511363</v>
      </c>
      <c r="V450" s="4">
        <f t="shared" si="392"/>
        <v>0.92370360150141495</v>
      </c>
      <c r="W450" s="4">
        <f t="shared" si="392"/>
        <v>0.89334463567658451</v>
      </c>
      <c r="X450" s="4">
        <f t="shared" si="392"/>
        <v>0.85254543874327005</v>
      </c>
      <c r="Y450" s="4">
        <f t="shared" si="392"/>
        <v>0.79921300652623883</v>
      </c>
      <c r="Z450" s="4">
        <f t="shared" si="392"/>
        <v>0.73204982249993378</v>
      </c>
      <c r="AA450" s="4">
        <f t="shared" si="392"/>
        <v>0.65145592958786691</v>
      </c>
      <c r="AB450" s="4">
        <f t="shared" si="392"/>
        <v>0.56032247880849573</v>
      </c>
      <c r="AC450" s="4">
        <f t="shared" si="392"/>
        <v>0.46411326873185343</v>
      </c>
      <c r="AD450" s="4">
        <f t="shared" si="392"/>
        <v>0.36979727595523937</v>
      </c>
      <c r="AE450" s="4">
        <f t="shared" si="392"/>
        <v>0.28393948637231203</v>
      </c>
      <c r="AF450" s="4">
        <f t="shared" si="392"/>
        <v>0.21097259161117732</v>
      </c>
      <c r="AG450" s="4">
        <f t="shared" si="389"/>
        <v>0.15253917653798199</v>
      </c>
      <c r="AH450" s="4">
        <f t="shared" si="389"/>
        <v>0.10795188737709993</v>
      </c>
      <c r="AI450" s="4">
        <f t="shared" si="389"/>
        <v>7.5176653938091809E-2</v>
      </c>
      <c r="AJ450" s="4">
        <f t="shared" si="390"/>
        <v>5.1742836177502194E-2</v>
      </c>
      <c r="AK450" s="4">
        <f t="shared" si="390"/>
        <v>3.5319190625345942E-2</v>
      </c>
      <c r="AL450" s="4">
        <f t="shared" si="390"/>
        <v>2.3969442072658165E-2</v>
      </c>
      <c r="AM450" s="4">
        <f t="shared" si="390"/>
        <v>1.6202243558389728E-2</v>
      </c>
      <c r="AN450" s="4">
        <f t="shared" si="390"/>
        <v>1.0922240564108399E-2</v>
      </c>
      <c r="AO450" s="4">
        <f t="shared" si="390"/>
        <v>7.3493212906090566E-3</v>
      </c>
      <c r="AP450" s="4">
        <f t="shared" si="390"/>
        <v>4.9390262185057265E-3</v>
      </c>
      <c r="AQ450" s="4">
        <f t="shared" si="390"/>
        <v>3.3164275492956197E-3</v>
      </c>
      <c r="AR450" s="4">
        <f t="shared" si="390"/>
        <v>2.2256362146679809E-3</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92"/>
        <v>0.9867978615748374</v>
      </c>
      <c r="R451" s="4">
        <f t="shared" si="392"/>
        <v>0.98114509762858249</v>
      </c>
      <c r="S451" s="4">
        <f t="shared" si="392"/>
        <v>0.97311898315872036</v>
      </c>
      <c r="T451" s="4">
        <f t="shared" si="392"/>
        <v>0.96177484161592774</v>
      </c>
      <c r="U451" s="4">
        <f t="shared" si="392"/>
        <v>0.94584787155511363</v>
      </c>
      <c r="V451" s="4">
        <f t="shared" si="392"/>
        <v>0.92370360150141495</v>
      </c>
      <c r="W451" s="4">
        <f t="shared" si="392"/>
        <v>0.89334463567658451</v>
      </c>
      <c r="X451" s="4">
        <f t="shared" si="392"/>
        <v>0.85254543874327005</v>
      </c>
      <c r="Y451" s="4">
        <f t="shared" si="392"/>
        <v>0.79921300652623883</v>
      </c>
      <c r="Z451" s="4">
        <f t="shared" si="392"/>
        <v>0.73204982249993378</v>
      </c>
      <c r="AA451" s="4">
        <f t="shared" si="392"/>
        <v>0.65145592958786691</v>
      </c>
      <c r="AB451" s="4">
        <f t="shared" si="392"/>
        <v>0.56032247880849573</v>
      </c>
      <c r="AC451" s="4">
        <f t="shared" si="392"/>
        <v>0.46411326873185343</v>
      </c>
      <c r="AD451" s="4">
        <f t="shared" si="392"/>
        <v>0.36979727595523937</v>
      </c>
      <c r="AE451" s="4">
        <f t="shared" si="392"/>
        <v>0.28393948637231203</v>
      </c>
      <c r="AF451" s="4">
        <f t="shared" si="392"/>
        <v>0.21097259161117732</v>
      </c>
      <c r="AG451" s="4">
        <f t="shared" si="389"/>
        <v>0.15253917653798199</v>
      </c>
      <c r="AH451" s="4">
        <f t="shared" si="389"/>
        <v>0.10795188737709993</v>
      </c>
      <c r="AI451" s="4">
        <f t="shared" si="389"/>
        <v>7.5176653938091809E-2</v>
      </c>
      <c r="AJ451" s="4">
        <f t="shared" si="390"/>
        <v>5.1742836177502194E-2</v>
      </c>
      <c r="AK451" s="4">
        <f t="shared" si="390"/>
        <v>3.5319190625345942E-2</v>
      </c>
      <c r="AL451" s="4">
        <f t="shared" si="390"/>
        <v>2.3969442072658165E-2</v>
      </c>
      <c r="AM451" s="4">
        <f t="shared" si="390"/>
        <v>1.6202243558389728E-2</v>
      </c>
      <c r="AN451" s="4">
        <f t="shared" si="390"/>
        <v>1.0922240564108399E-2</v>
      </c>
      <c r="AO451" s="4">
        <f t="shared" si="390"/>
        <v>7.3493212906090566E-3</v>
      </c>
      <c r="AP451" s="4">
        <f t="shared" si="390"/>
        <v>4.9390262185057265E-3</v>
      </c>
      <c r="AQ451" s="4">
        <f t="shared" si="390"/>
        <v>3.3164275492956197E-3</v>
      </c>
      <c r="AR451" s="4">
        <f t="shared" si="390"/>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92"/>
        <v>0.9867978615748374</v>
      </c>
      <c r="R452" s="4">
        <f t="shared" si="392"/>
        <v>0.98114509762858249</v>
      </c>
      <c r="S452" s="4">
        <f t="shared" si="392"/>
        <v>0.97311898315872036</v>
      </c>
      <c r="T452" s="4">
        <f t="shared" si="392"/>
        <v>0.96177484161592774</v>
      </c>
      <c r="U452" s="4">
        <f t="shared" si="392"/>
        <v>0.94584787155511363</v>
      </c>
      <c r="V452" s="4">
        <f t="shared" si="392"/>
        <v>0.92370360150141495</v>
      </c>
      <c r="W452" s="4">
        <f t="shared" si="392"/>
        <v>0.89334463567658451</v>
      </c>
      <c r="X452" s="4">
        <f t="shared" si="392"/>
        <v>0.85254543874327005</v>
      </c>
      <c r="Y452" s="4">
        <f t="shared" si="392"/>
        <v>0.79921300652623883</v>
      </c>
      <c r="Z452" s="4">
        <f t="shared" si="392"/>
        <v>0.73204982249993378</v>
      </c>
      <c r="AA452" s="4">
        <f t="shared" si="392"/>
        <v>0.65145592958786691</v>
      </c>
      <c r="AB452" s="4">
        <f t="shared" si="392"/>
        <v>0.56032247880849573</v>
      </c>
      <c r="AC452" s="4">
        <f t="shared" si="392"/>
        <v>0.46411326873185343</v>
      </c>
      <c r="AD452" s="4">
        <f t="shared" si="392"/>
        <v>0.36979727595523937</v>
      </c>
      <c r="AE452" s="4">
        <f t="shared" si="392"/>
        <v>0.28393948637231203</v>
      </c>
      <c r="AF452" s="4">
        <f t="shared" si="392"/>
        <v>0.21097259161117732</v>
      </c>
      <c r="AG452" s="4">
        <f t="shared" si="389"/>
        <v>0.15253917653798199</v>
      </c>
      <c r="AH452" s="4">
        <f t="shared" si="389"/>
        <v>0.10795188737709993</v>
      </c>
      <c r="AI452" s="4">
        <f t="shared" si="389"/>
        <v>7.5176653938091809E-2</v>
      </c>
      <c r="AJ452" s="4">
        <f t="shared" si="390"/>
        <v>5.1742836177502194E-2</v>
      </c>
      <c r="AK452" s="4">
        <f t="shared" si="390"/>
        <v>3.5319190625345942E-2</v>
      </c>
      <c r="AL452" s="4">
        <f t="shared" si="390"/>
        <v>2.3969442072658165E-2</v>
      </c>
      <c r="AM452" s="4">
        <f t="shared" si="390"/>
        <v>1.6202243558389728E-2</v>
      </c>
      <c r="AN452" s="4">
        <f t="shared" si="390"/>
        <v>1.0922240564108399E-2</v>
      </c>
      <c r="AO452" s="4">
        <f t="shared" si="390"/>
        <v>7.3493212906090566E-3</v>
      </c>
      <c r="AP452" s="4">
        <f t="shared" si="390"/>
        <v>4.9390262185057265E-3</v>
      </c>
      <c r="AQ452" s="4">
        <f t="shared" si="390"/>
        <v>3.3164275492956197E-3</v>
      </c>
      <c r="AR452" s="4">
        <f t="shared" si="390"/>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92"/>
        <v>0.9867978615748374</v>
      </c>
      <c r="R453" s="4">
        <f t="shared" si="392"/>
        <v>0.98114509762858249</v>
      </c>
      <c r="S453" s="4">
        <f t="shared" si="392"/>
        <v>0.97311898315872036</v>
      </c>
      <c r="T453" s="4">
        <f t="shared" si="392"/>
        <v>0.96177484161592774</v>
      </c>
      <c r="U453" s="4">
        <f t="shared" si="392"/>
        <v>0.94584787155511363</v>
      </c>
      <c r="V453" s="4">
        <f t="shared" si="392"/>
        <v>0.92370360150141495</v>
      </c>
      <c r="W453" s="4">
        <f t="shared" si="392"/>
        <v>0.89334463567658451</v>
      </c>
      <c r="X453" s="4">
        <f t="shared" si="392"/>
        <v>0.85254543874327005</v>
      </c>
      <c r="Y453" s="4">
        <f t="shared" si="392"/>
        <v>0.79921300652623883</v>
      </c>
      <c r="Z453" s="4">
        <f t="shared" si="392"/>
        <v>0.73204982249993378</v>
      </c>
      <c r="AA453" s="4">
        <f t="shared" si="392"/>
        <v>0.65145592958786691</v>
      </c>
      <c r="AB453" s="4">
        <f t="shared" si="392"/>
        <v>0.56032247880849573</v>
      </c>
      <c r="AC453" s="4">
        <f t="shared" si="392"/>
        <v>0.46411326873185343</v>
      </c>
      <c r="AD453" s="4">
        <f t="shared" si="392"/>
        <v>0.36979727595523937</v>
      </c>
      <c r="AE453" s="4">
        <f t="shared" si="392"/>
        <v>0.28393948637231203</v>
      </c>
      <c r="AF453" s="4">
        <f t="shared" si="392"/>
        <v>0.21097259161117732</v>
      </c>
      <c r="AG453" s="4">
        <f t="shared" si="389"/>
        <v>0.15253917653798199</v>
      </c>
      <c r="AH453" s="4">
        <f t="shared" si="389"/>
        <v>0.10795188737709993</v>
      </c>
      <c r="AI453" s="4">
        <f t="shared" si="389"/>
        <v>7.5176653938091809E-2</v>
      </c>
      <c r="AJ453" s="4">
        <f t="shared" si="390"/>
        <v>5.1742836177502194E-2</v>
      </c>
      <c r="AK453" s="4">
        <f t="shared" si="390"/>
        <v>3.5319190625345942E-2</v>
      </c>
      <c r="AL453" s="4">
        <f t="shared" si="390"/>
        <v>2.3969442072658165E-2</v>
      </c>
      <c r="AM453" s="4">
        <f t="shared" si="390"/>
        <v>1.6202243558389728E-2</v>
      </c>
      <c r="AN453" s="4">
        <f t="shared" si="390"/>
        <v>1.0922240564108399E-2</v>
      </c>
      <c r="AO453" s="4">
        <f t="shared" si="390"/>
        <v>7.3493212906090566E-3</v>
      </c>
      <c r="AP453" s="4">
        <f t="shared" si="390"/>
        <v>4.9390262185057265E-3</v>
      </c>
      <c r="AQ453" s="4">
        <f t="shared" si="390"/>
        <v>3.3164275492956197E-3</v>
      </c>
      <c r="AR453" s="4">
        <f t="shared" si="390"/>
        <v>2.2256362146679809E-3</v>
      </c>
    </row>
    <row r="454" spans="1:44" x14ac:dyDescent="0.25">
      <c r="A454" s="24" t="s">
        <v>73</v>
      </c>
      <c r="B454" s="45">
        <f>'Parameter Input'!L83</f>
        <v>0</v>
      </c>
      <c r="C454" s="46">
        <f>'Parameter Input'!M83</f>
        <v>0</v>
      </c>
      <c r="D454" s="1" t="s">
        <v>57</v>
      </c>
      <c r="L454" s="54">
        <f>'Parameter Input'!O83</f>
        <v>12</v>
      </c>
      <c r="M454" s="37">
        <v>0</v>
      </c>
      <c r="N454" s="37">
        <v>1</v>
      </c>
      <c r="O454" s="37">
        <f>'Parameter Input'!P83</f>
        <v>0.9</v>
      </c>
      <c r="P454" s="55">
        <f>'Parameter Input'!Q83</f>
        <v>0.4</v>
      </c>
      <c r="Q454" s="4">
        <f t="shared" si="392"/>
        <v>0.9867978615748374</v>
      </c>
      <c r="R454" s="4">
        <f t="shared" si="392"/>
        <v>0.98114509762858249</v>
      </c>
      <c r="S454" s="4">
        <f t="shared" si="392"/>
        <v>0.97311898315872036</v>
      </c>
      <c r="T454" s="4">
        <f t="shared" si="392"/>
        <v>0.96177484161592774</v>
      </c>
      <c r="U454" s="4">
        <f t="shared" si="392"/>
        <v>0.94584787155511363</v>
      </c>
      <c r="V454" s="4">
        <f t="shared" si="392"/>
        <v>0.92370360150141495</v>
      </c>
      <c r="W454" s="4">
        <f t="shared" si="392"/>
        <v>0.89334463567658451</v>
      </c>
      <c r="X454" s="4">
        <f t="shared" si="392"/>
        <v>0.85254543874327005</v>
      </c>
      <c r="Y454" s="4">
        <f t="shared" si="392"/>
        <v>0.79921300652623883</v>
      </c>
      <c r="Z454" s="4">
        <f t="shared" si="392"/>
        <v>0.73204982249993378</v>
      </c>
      <c r="AA454" s="4">
        <f t="shared" si="392"/>
        <v>0.65145592958786691</v>
      </c>
      <c r="AB454" s="4">
        <f t="shared" si="392"/>
        <v>0.56032247880849573</v>
      </c>
      <c r="AC454" s="4">
        <f t="shared" si="392"/>
        <v>0.46411326873185343</v>
      </c>
      <c r="AD454" s="4">
        <f t="shared" si="392"/>
        <v>0.36979727595523937</v>
      </c>
      <c r="AE454" s="4">
        <f t="shared" si="392"/>
        <v>0.28393948637231203</v>
      </c>
      <c r="AF454" s="4">
        <f t="shared" si="392"/>
        <v>0.21097259161117732</v>
      </c>
      <c r="AG454" s="4">
        <f t="shared" si="389"/>
        <v>0.15253917653798199</v>
      </c>
      <c r="AH454" s="4">
        <f t="shared" si="389"/>
        <v>0.10795188737709993</v>
      </c>
      <c r="AI454" s="4">
        <f t="shared" si="389"/>
        <v>7.5176653938091809E-2</v>
      </c>
      <c r="AJ454" s="4">
        <f t="shared" si="390"/>
        <v>5.1742836177502194E-2</v>
      </c>
      <c r="AK454" s="4">
        <f t="shared" si="390"/>
        <v>3.5319190625345942E-2</v>
      </c>
      <c r="AL454" s="4">
        <f t="shared" si="390"/>
        <v>2.3969442072658165E-2</v>
      </c>
      <c r="AM454" s="4">
        <f t="shared" si="390"/>
        <v>1.6202243558389728E-2</v>
      </c>
      <c r="AN454" s="4">
        <f t="shared" si="390"/>
        <v>1.0922240564108399E-2</v>
      </c>
      <c r="AO454" s="4">
        <f t="shared" si="390"/>
        <v>7.3493212906090566E-3</v>
      </c>
      <c r="AP454" s="4">
        <f t="shared" si="390"/>
        <v>4.9390262185057265E-3</v>
      </c>
      <c r="AQ454" s="4">
        <f t="shared" si="390"/>
        <v>3.3164275492956197E-3</v>
      </c>
      <c r="AR454" s="4">
        <f t="shared" si="390"/>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92"/>
        <v>0.9867978615748374</v>
      </c>
      <c r="R455" s="4">
        <f t="shared" si="392"/>
        <v>0.98114509762858249</v>
      </c>
      <c r="S455" s="4">
        <f t="shared" si="392"/>
        <v>0.97311898315872036</v>
      </c>
      <c r="T455" s="4">
        <f t="shared" si="392"/>
        <v>0.96177484161592774</v>
      </c>
      <c r="U455" s="4">
        <f t="shared" si="392"/>
        <v>0.94584787155511363</v>
      </c>
      <c r="V455" s="4">
        <f t="shared" si="392"/>
        <v>0.92370360150141495</v>
      </c>
      <c r="W455" s="4">
        <f t="shared" si="392"/>
        <v>0.89334463567658451</v>
      </c>
      <c r="X455" s="4">
        <f t="shared" si="392"/>
        <v>0.85254543874327005</v>
      </c>
      <c r="Y455" s="4">
        <f t="shared" si="392"/>
        <v>0.79921300652623883</v>
      </c>
      <c r="Z455" s="4">
        <f t="shared" si="392"/>
        <v>0.73204982249993378</v>
      </c>
      <c r="AA455" s="4">
        <f t="shared" si="392"/>
        <v>0.65145592958786691</v>
      </c>
      <c r="AB455" s="4">
        <f t="shared" si="392"/>
        <v>0.56032247880849573</v>
      </c>
      <c r="AC455" s="4">
        <f t="shared" si="392"/>
        <v>0.46411326873185343</v>
      </c>
      <c r="AD455" s="4">
        <f t="shared" si="392"/>
        <v>0.36979727595523937</v>
      </c>
      <c r="AE455" s="4">
        <f t="shared" si="392"/>
        <v>0.28393948637231203</v>
      </c>
      <c r="AF455" s="4">
        <f t="shared" si="392"/>
        <v>0.21097259161117732</v>
      </c>
      <c r="AG455" s="4">
        <f t="shared" si="389"/>
        <v>0.15253917653798199</v>
      </c>
      <c r="AH455" s="4">
        <f t="shared" si="389"/>
        <v>0.10795188737709993</v>
      </c>
      <c r="AI455" s="4">
        <f t="shared" si="389"/>
        <v>7.5176653938091809E-2</v>
      </c>
      <c r="AJ455" s="4">
        <f t="shared" si="390"/>
        <v>5.1742836177502194E-2</v>
      </c>
      <c r="AK455" s="4">
        <f t="shared" si="390"/>
        <v>3.5319190625345942E-2</v>
      </c>
      <c r="AL455" s="4">
        <f t="shared" si="390"/>
        <v>2.3969442072658165E-2</v>
      </c>
      <c r="AM455" s="4">
        <f t="shared" si="390"/>
        <v>1.6202243558389728E-2</v>
      </c>
      <c r="AN455" s="4">
        <f t="shared" si="390"/>
        <v>1.0922240564108399E-2</v>
      </c>
      <c r="AO455" s="4">
        <f t="shared" si="390"/>
        <v>7.3493212906090566E-3</v>
      </c>
      <c r="AP455" s="4">
        <f t="shared" si="390"/>
        <v>4.9390262185057265E-3</v>
      </c>
      <c r="AQ455" s="4">
        <f t="shared" si="390"/>
        <v>3.3164275492956197E-3</v>
      </c>
      <c r="AR455" s="4">
        <f t="shared" si="39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3">A439</f>
        <v>Capex vehicle</v>
      </c>
      <c r="B459" s="62">
        <f t="shared" ref="B459:B467" si="394">$B439+($C439-$B439)*(1-Q439)</f>
        <v>105132.02138425162</v>
      </c>
      <c r="C459" s="62">
        <f t="shared" ref="C459:C467" si="395">$B439+($C439-$B439)*(1-R439)</f>
        <v>105188.54902371418</v>
      </c>
      <c r="D459" s="62">
        <f t="shared" ref="D459:D467" si="396">$B439+($C439-$B439)*(1-S439)</f>
        <v>105268.81016841279</v>
      </c>
      <c r="E459" s="62">
        <f t="shared" ref="E459:E467" si="397">$B439+($C439-$B439)*(1-T439)</f>
        <v>105382.25158384073</v>
      </c>
      <c r="F459" s="62">
        <f t="shared" ref="F459:F467" si="398">$B439+($C439-$B439)*(1-U439)</f>
        <v>105541.52128444887</v>
      </c>
      <c r="G459" s="62">
        <f t="shared" ref="G459:G467" si="399">$B439+($C439-$B439)*(1-V439)</f>
        <v>105762.96398498585</v>
      </c>
      <c r="H459" s="62">
        <f t="shared" ref="H459:H467" si="400">$B439+($C439-$B439)*(1-W439)</f>
        <v>106066.55364323416</v>
      </c>
      <c r="I459" s="62">
        <f t="shared" ref="I459:I467" si="401">$B439+($C439-$B439)*(1-X439)</f>
        <v>106474.54561256729</v>
      </c>
      <c r="J459" s="62">
        <f t="shared" ref="J459:J467" si="402">$B439+($C439-$B439)*(1-Y439)</f>
        <v>107007.86993473761</v>
      </c>
      <c r="K459" s="62">
        <f t="shared" ref="K459:K467" si="403">$B439+($C439-$B439)*(1-Z439)</f>
        <v>107679.50177500067</v>
      </c>
      <c r="L459" s="62">
        <f t="shared" ref="L459:L467" si="404">$B439+($C439-$B439)*(1-AA439)</f>
        <v>108485.44070412133</v>
      </c>
      <c r="M459" s="62">
        <f t="shared" ref="M459:M467" si="405">$B439+($C439-$B439)*(1-AB439)</f>
        <v>109396.77521191504</v>
      </c>
      <c r="N459" s="62">
        <f t="shared" ref="N459:N467" si="406">$B439+($C439-$B439)*(1-AC439)</f>
        <v>110358.86731268147</v>
      </c>
      <c r="O459" s="62">
        <f t="shared" ref="O459:O467" si="407">$B439+($C439-$B439)*(1-AD439)</f>
        <v>111302.02724044761</v>
      </c>
      <c r="P459" s="62">
        <f t="shared" ref="P459:P467" si="408">$B439+($C439-$B439)*(1-AE439)</f>
        <v>112160.60513627688</v>
      </c>
      <c r="Q459" s="62">
        <f t="shared" ref="Q459:Q467" si="409">$B439+($C439-$B439)*(1-AF439)</f>
        <v>112890.27408388823</v>
      </c>
      <c r="R459" s="62">
        <f t="shared" ref="R459:R467" si="410">$B439+($C439-$B439)*(1-AG439)</f>
        <v>113474.60823462019</v>
      </c>
      <c r="S459" s="62">
        <f t="shared" ref="S459:S467" si="411">$B439+($C439-$B439)*(1-AH439)</f>
        <v>113920.481126229</v>
      </c>
      <c r="T459" s="62">
        <f t="shared" ref="T459:T467" si="412">$B439+($C439-$B439)*(1-AI439)</f>
        <v>114248.23346061909</v>
      </c>
      <c r="U459" s="62">
        <f t="shared" ref="U459:U467" si="413">$B439+($C439-$B439)*(1-AJ439)</f>
        <v>114482.57163822498</v>
      </c>
      <c r="V459" s="62">
        <f t="shared" ref="V459:V467" si="414">$B439+($C439-$B439)*(1-AK439)</f>
        <v>114646.80809374654</v>
      </c>
      <c r="W459" s="62">
        <f t="shared" ref="W459:W467" si="415">$B439+($C439-$B439)*(1-AL439)</f>
        <v>114760.30557927342</v>
      </c>
      <c r="X459" s="62">
        <f t="shared" ref="X459:X467" si="416">$B439+($C439-$B439)*(1-AM439)</f>
        <v>114837.9775644161</v>
      </c>
      <c r="Y459" s="62">
        <f t="shared" ref="Y459:Y467" si="417">$B439+($C439-$B439)*(1-AN439)</f>
        <v>114890.77759435892</v>
      </c>
      <c r="Z459" s="62">
        <f t="shared" ref="Z459:Z467" si="418">$B439+($C439-$B439)*(1-AO439)</f>
        <v>114926.50678709391</v>
      </c>
      <c r="AA459" s="62">
        <f t="shared" ref="AA459:AA467" si="419">$B439+($C439-$B439)*(1-AP439)</f>
        <v>114950.60973781494</v>
      </c>
      <c r="AB459" s="62">
        <f t="shared" ref="AB459:AB467" si="420">$B439+($C439-$B439)*(1-AQ439)</f>
        <v>114966.83572450705</v>
      </c>
      <c r="AC459" s="62">
        <f t="shared" ref="AC459:AC467" si="421">$B439+($C439-$B439)*(1-AR439)</f>
        <v>114977.74363785332</v>
      </c>
    </row>
    <row r="460" spans="1:44" x14ac:dyDescent="0.25">
      <c r="A460" s="30" t="str">
        <f t="shared" si="393"/>
        <v>Residual value (vehicle)</v>
      </c>
      <c r="B460" s="62">
        <f t="shared" si="394"/>
        <v>-26131.180754173536</v>
      </c>
      <c r="C460" s="62">
        <f t="shared" si="395"/>
        <v>-26080.305878657244</v>
      </c>
      <c r="D460" s="62">
        <f t="shared" si="396"/>
        <v>-26008.070848428484</v>
      </c>
      <c r="E460" s="62">
        <f t="shared" si="397"/>
        <v>-25905.97357454335</v>
      </c>
      <c r="F460" s="62">
        <f t="shared" si="398"/>
        <v>-25762.630843996023</v>
      </c>
      <c r="G460" s="62">
        <f t="shared" si="399"/>
        <v>-25563.332413512733</v>
      </c>
      <c r="H460" s="62">
        <f t="shared" si="400"/>
        <v>-25290.101721089261</v>
      </c>
      <c r="I460" s="62">
        <f t="shared" si="401"/>
        <v>-24922.90894868943</v>
      </c>
      <c r="J460" s="62">
        <f t="shared" si="402"/>
        <v>-24442.917058736151</v>
      </c>
      <c r="K460" s="62">
        <f t="shared" si="403"/>
        <v>-23838.448402499405</v>
      </c>
      <c r="L460" s="62">
        <f t="shared" si="404"/>
        <v>-23113.103366290801</v>
      </c>
      <c r="M460" s="62">
        <f t="shared" si="405"/>
        <v>-22292.902309276462</v>
      </c>
      <c r="N460" s="62">
        <f t="shared" si="406"/>
        <v>-21427.019418586682</v>
      </c>
      <c r="O460" s="62">
        <f t="shared" si="407"/>
        <v>-20578.175483597155</v>
      </c>
      <c r="P460" s="62">
        <f t="shared" si="408"/>
        <v>-19805.455377350809</v>
      </c>
      <c r="Q460" s="62">
        <f t="shared" si="409"/>
        <v>-19148.753324500598</v>
      </c>
      <c r="R460" s="62">
        <f t="shared" si="410"/>
        <v>-18622.852588841837</v>
      </c>
      <c r="S460" s="62">
        <f t="shared" si="411"/>
        <v>-18221.5669863939</v>
      </c>
      <c r="T460" s="62">
        <f t="shared" si="412"/>
        <v>-17926.589885442827</v>
      </c>
      <c r="U460" s="62">
        <f t="shared" si="413"/>
        <v>-17715.685525597521</v>
      </c>
      <c r="V460" s="62">
        <f t="shared" si="414"/>
        <v>-17567.872715628113</v>
      </c>
      <c r="W460" s="62">
        <f t="shared" si="415"/>
        <v>-17465.724978653925</v>
      </c>
      <c r="X460" s="62">
        <f t="shared" si="416"/>
        <v>-17395.820192025509</v>
      </c>
      <c r="Y460" s="62">
        <f t="shared" si="417"/>
        <v>-17348.300165076973</v>
      </c>
      <c r="Z460" s="62">
        <f t="shared" si="418"/>
        <v>-17316.14389161548</v>
      </c>
      <c r="AA460" s="62">
        <f t="shared" si="419"/>
        <v>-17294.451235966553</v>
      </c>
      <c r="AB460" s="62">
        <f t="shared" si="420"/>
        <v>-17279.84784794366</v>
      </c>
      <c r="AC460" s="62">
        <f t="shared" si="421"/>
        <v>-17270.030725932011</v>
      </c>
    </row>
    <row r="461" spans="1:44" x14ac:dyDescent="0.25">
      <c r="A461" s="30" t="str">
        <f t="shared" si="393"/>
        <v>Capex costumization</v>
      </c>
      <c r="B461" s="62">
        <f t="shared" si="394"/>
        <v>35000</v>
      </c>
      <c r="C461" s="62">
        <f t="shared" si="395"/>
        <v>35000</v>
      </c>
      <c r="D461" s="62">
        <f t="shared" si="396"/>
        <v>35000</v>
      </c>
      <c r="E461" s="62">
        <f t="shared" si="397"/>
        <v>35000</v>
      </c>
      <c r="F461" s="62">
        <f t="shared" si="398"/>
        <v>35000</v>
      </c>
      <c r="G461" s="62">
        <f t="shared" si="399"/>
        <v>35000</v>
      </c>
      <c r="H461" s="62">
        <f t="shared" si="400"/>
        <v>35000</v>
      </c>
      <c r="I461" s="62">
        <f t="shared" si="401"/>
        <v>35000</v>
      </c>
      <c r="J461" s="62">
        <f t="shared" si="402"/>
        <v>35000</v>
      </c>
      <c r="K461" s="62">
        <f t="shared" si="403"/>
        <v>35000</v>
      </c>
      <c r="L461" s="62">
        <f t="shared" si="404"/>
        <v>35000</v>
      </c>
      <c r="M461" s="62">
        <f t="shared" si="405"/>
        <v>35000</v>
      </c>
      <c r="N461" s="62">
        <f t="shared" si="406"/>
        <v>35000</v>
      </c>
      <c r="O461" s="62">
        <f t="shared" si="407"/>
        <v>35000</v>
      </c>
      <c r="P461" s="62">
        <f t="shared" si="408"/>
        <v>35000</v>
      </c>
      <c r="Q461" s="62">
        <f t="shared" si="409"/>
        <v>35000</v>
      </c>
      <c r="R461" s="62">
        <f t="shared" si="410"/>
        <v>35000</v>
      </c>
      <c r="S461" s="62">
        <f t="shared" si="411"/>
        <v>35000</v>
      </c>
      <c r="T461" s="62">
        <f t="shared" si="412"/>
        <v>35000</v>
      </c>
      <c r="U461" s="62">
        <f t="shared" si="413"/>
        <v>35000</v>
      </c>
      <c r="V461" s="62">
        <f t="shared" si="414"/>
        <v>35000</v>
      </c>
      <c r="W461" s="62">
        <f t="shared" si="415"/>
        <v>35000</v>
      </c>
      <c r="X461" s="62">
        <f t="shared" si="416"/>
        <v>35000</v>
      </c>
      <c r="Y461" s="62">
        <f t="shared" si="417"/>
        <v>35000</v>
      </c>
      <c r="Z461" s="62">
        <f t="shared" si="418"/>
        <v>35000</v>
      </c>
      <c r="AA461" s="62">
        <f t="shared" si="419"/>
        <v>35000</v>
      </c>
      <c r="AB461" s="62">
        <f t="shared" si="420"/>
        <v>35000</v>
      </c>
      <c r="AC461" s="62">
        <f t="shared" si="421"/>
        <v>35000</v>
      </c>
    </row>
    <row r="462" spans="1:44" x14ac:dyDescent="0.25">
      <c r="A462" s="30" t="str">
        <f t="shared" si="393"/>
        <v>Residual value (costumization)</v>
      </c>
      <c r="B462" s="62">
        <f t="shared" si="394"/>
        <v>-8750</v>
      </c>
      <c r="C462" s="62">
        <f t="shared" si="395"/>
        <v>-8750</v>
      </c>
      <c r="D462" s="62">
        <f t="shared" si="396"/>
        <v>-8750</v>
      </c>
      <c r="E462" s="62">
        <f t="shared" si="397"/>
        <v>-8750</v>
      </c>
      <c r="F462" s="62">
        <f t="shared" si="398"/>
        <v>-8750</v>
      </c>
      <c r="G462" s="62">
        <f t="shared" si="399"/>
        <v>-8750</v>
      </c>
      <c r="H462" s="62">
        <f t="shared" si="400"/>
        <v>-8750</v>
      </c>
      <c r="I462" s="62">
        <f t="shared" si="401"/>
        <v>-8750</v>
      </c>
      <c r="J462" s="62">
        <f t="shared" si="402"/>
        <v>-8750</v>
      </c>
      <c r="K462" s="62">
        <f t="shared" si="403"/>
        <v>-8750</v>
      </c>
      <c r="L462" s="62">
        <f t="shared" si="404"/>
        <v>-8750</v>
      </c>
      <c r="M462" s="62">
        <f t="shared" si="405"/>
        <v>-8750</v>
      </c>
      <c r="N462" s="62">
        <f t="shared" si="406"/>
        <v>-8750</v>
      </c>
      <c r="O462" s="62">
        <f t="shared" si="407"/>
        <v>-8750</v>
      </c>
      <c r="P462" s="62">
        <f t="shared" si="408"/>
        <v>-8750</v>
      </c>
      <c r="Q462" s="62">
        <f t="shared" si="409"/>
        <v>-8750</v>
      </c>
      <c r="R462" s="62">
        <f t="shared" si="410"/>
        <v>-8750</v>
      </c>
      <c r="S462" s="62">
        <f t="shared" si="411"/>
        <v>-8750</v>
      </c>
      <c r="T462" s="62">
        <f t="shared" si="412"/>
        <v>-8750</v>
      </c>
      <c r="U462" s="62">
        <f t="shared" si="413"/>
        <v>-8750</v>
      </c>
      <c r="V462" s="62">
        <f t="shared" si="414"/>
        <v>-8750</v>
      </c>
      <c r="W462" s="62">
        <f t="shared" si="415"/>
        <v>-8750</v>
      </c>
      <c r="X462" s="62">
        <f t="shared" si="416"/>
        <v>-8750</v>
      </c>
      <c r="Y462" s="62">
        <f t="shared" si="417"/>
        <v>-8750</v>
      </c>
      <c r="Z462" s="62">
        <f t="shared" si="418"/>
        <v>-8750</v>
      </c>
      <c r="AA462" s="62">
        <f t="shared" si="419"/>
        <v>-8750</v>
      </c>
      <c r="AB462" s="62">
        <f t="shared" si="420"/>
        <v>-8750</v>
      </c>
      <c r="AC462" s="62">
        <f t="shared" si="421"/>
        <v>-8750</v>
      </c>
    </row>
    <row r="463" spans="1:44" x14ac:dyDescent="0.25">
      <c r="A463" s="30" t="str">
        <f t="shared" si="393"/>
        <v>WACC</v>
      </c>
      <c r="B463" s="62">
        <f t="shared" si="394"/>
        <v>0.06</v>
      </c>
      <c r="C463" s="62">
        <f t="shared" si="395"/>
        <v>0.06</v>
      </c>
      <c r="D463" s="62">
        <f t="shared" si="396"/>
        <v>0.06</v>
      </c>
      <c r="E463" s="62">
        <f t="shared" si="397"/>
        <v>0.06</v>
      </c>
      <c r="F463" s="62">
        <f t="shared" si="398"/>
        <v>0.06</v>
      </c>
      <c r="G463" s="62">
        <f t="shared" si="399"/>
        <v>0.06</v>
      </c>
      <c r="H463" s="62">
        <f t="shared" si="400"/>
        <v>0.06</v>
      </c>
      <c r="I463" s="62">
        <f t="shared" si="401"/>
        <v>0.06</v>
      </c>
      <c r="J463" s="62">
        <f t="shared" si="402"/>
        <v>0.06</v>
      </c>
      <c r="K463" s="62">
        <f t="shared" si="403"/>
        <v>0.06</v>
      </c>
      <c r="L463" s="62">
        <f t="shared" si="404"/>
        <v>0.06</v>
      </c>
      <c r="M463" s="62">
        <f t="shared" si="405"/>
        <v>0.06</v>
      </c>
      <c r="N463" s="62">
        <f t="shared" si="406"/>
        <v>0.06</v>
      </c>
      <c r="O463" s="62">
        <f t="shared" si="407"/>
        <v>0.06</v>
      </c>
      <c r="P463" s="62">
        <f t="shared" si="408"/>
        <v>0.06</v>
      </c>
      <c r="Q463" s="62">
        <f t="shared" si="409"/>
        <v>0.06</v>
      </c>
      <c r="R463" s="62">
        <f t="shared" si="410"/>
        <v>0.06</v>
      </c>
      <c r="S463" s="62">
        <f t="shared" si="411"/>
        <v>0.06</v>
      </c>
      <c r="T463" s="62">
        <f t="shared" si="412"/>
        <v>0.06</v>
      </c>
      <c r="U463" s="62">
        <f t="shared" si="413"/>
        <v>0.06</v>
      </c>
      <c r="V463" s="62">
        <f t="shared" si="414"/>
        <v>0.06</v>
      </c>
      <c r="W463" s="62">
        <f t="shared" si="415"/>
        <v>0.06</v>
      </c>
      <c r="X463" s="62">
        <f t="shared" si="416"/>
        <v>0.06</v>
      </c>
      <c r="Y463" s="62">
        <f t="shared" si="417"/>
        <v>0.06</v>
      </c>
      <c r="Z463" s="62">
        <f t="shared" si="418"/>
        <v>0.06</v>
      </c>
      <c r="AA463" s="62">
        <f t="shared" si="419"/>
        <v>0.06</v>
      </c>
      <c r="AB463" s="62">
        <f t="shared" si="420"/>
        <v>0.06</v>
      </c>
      <c r="AC463" s="62">
        <f t="shared" si="421"/>
        <v>0.06</v>
      </c>
    </row>
    <row r="464" spans="1:44" x14ac:dyDescent="0.25">
      <c r="A464" s="30" t="str">
        <f t="shared" si="393"/>
        <v>Opex fix (admin, crew, insurance)</v>
      </c>
      <c r="B464" s="62">
        <f t="shared" si="394"/>
        <v>70000</v>
      </c>
      <c r="C464" s="62">
        <f t="shared" si="395"/>
        <v>70000</v>
      </c>
      <c r="D464" s="62">
        <f t="shared" si="396"/>
        <v>70000</v>
      </c>
      <c r="E464" s="62">
        <f t="shared" si="397"/>
        <v>70000</v>
      </c>
      <c r="F464" s="62">
        <f t="shared" si="398"/>
        <v>70000</v>
      </c>
      <c r="G464" s="62">
        <f t="shared" si="399"/>
        <v>70000</v>
      </c>
      <c r="H464" s="62">
        <f t="shared" si="400"/>
        <v>70000</v>
      </c>
      <c r="I464" s="62">
        <f t="shared" si="401"/>
        <v>70000</v>
      </c>
      <c r="J464" s="62">
        <f t="shared" si="402"/>
        <v>70000</v>
      </c>
      <c r="K464" s="62">
        <f t="shared" si="403"/>
        <v>70000</v>
      </c>
      <c r="L464" s="62">
        <f t="shared" si="404"/>
        <v>70000</v>
      </c>
      <c r="M464" s="62">
        <f t="shared" si="405"/>
        <v>70000</v>
      </c>
      <c r="N464" s="62">
        <f t="shared" si="406"/>
        <v>70000</v>
      </c>
      <c r="O464" s="62">
        <f t="shared" si="407"/>
        <v>70000</v>
      </c>
      <c r="P464" s="62">
        <f t="shared" si="408"/>
        <v>70000</v>
      </c>
      <c r="Q464" s="62">
        <f t="shared" si="409"/>
        <v>70000</v>
      </c>
      <c r="R464" s="62">
        <f t="shared" si="410"/>
        <v>70000</v>
      </c>
      <c r="S464" s="62">
        <f t="shared" si="411"/>
        <v>70000</v>
      </c>
      <c r="T464" s="62">
        <f t="shared" si="412"/>
        <v>70000</v>
      </c>
      <c r="U464" s="62">
        <f t="shared" si="413"/>
        <v>70000</v>
      </c>
      <c r="V464" s="62">
        <f t="shared" si="414"/>
        <v>70000</v>
      </c>
      <c r="W464" s="62">
        <f t="shared" si="415"/>
        <v>70000</v>
      </c>
      <c r="X464" s="62">
        <f t="shared" si="416"/>
        <v>70000</v>
      </c>
      <c r="Y464" s="62">
        <f t="shared" si="417"/>
        <v>70000</v>
      </c>
      <c r="Z464" s="62">
        <f t="shared" si="418"/>
        <v>70000</v>
      </c>
      <c r="AA464" s="62">
        <f t="shared" si="419"/>
        <v>70000</v>
      </c>
      <c r="AB464" s="62">
        <f t="shared" si="420"/>
        <v>70000</v>
      </c>
      <c r="AC464" s="62">
        <f t="shared" si="421"/>
        <v>70000</v>
      </c>
    </row>
    <row r="465" spans="1:29" x14ac:dyDescent="0.25">
      <c r="A465" s="30" t="str">
        <f t="shared" si="393"/>
        <v>Opex maintenance &amp; repair</v>
      </c>
      <c r="B465" s="62">
        <f t="shared" si="394"/>
        <v>20000</v>
      </c>
      <c r="C465" s="62">
        <f t="shared" si="395"/>
        <v>20000</v>
      </c>
      <c r="D465" s="62">
        <f t="shared" si="396"/>
        <v>20000</v>
      </c>
      <c r="E465" s="62">
        <f t="shared" si="397"/>
        <v>20000</v>
      </c>
      <c r="F465" s="62">
        <f t="shared" si="398"/>
        <v>20000</v>
      </c>
      <c r="G465" s="62">
        <f t="shared" si="399"/>
        <v>20000</v>
      </c>
      <c r="H465" s="62">
        <f t="shared" si="400"/>
        <v>20000</v>
      </c>
      <c r="I465" s="62">
        <f t="shared" si="401"/>
        <v>20000</v>
      </c>
      <c r="J465" s="62">
        <f t="shared" si="402"/>
        <v>20000</v>
      </c>
      <c r="K465" s="62">
        <f t="shared" si="403"/>
        <v>20000</v>
      </c>
      <c r="L465" s="62">
        <f t="shared" si="404"/>
        <v>20000</v>
      </c>
      <c r="M465" s="62">
        <f t="shared" si="405"/>
        <v>20000</v>
      </c>
      <c r="N465" s="62">
        <f t="shared" si="406"/>
        <v>20000</v>
      </c>
      <c r="O465" s="62">
        <f t="shared" si="407"/>
        <v>20000</v>
      </c>
      <c r="P465" s="62">
        <f t="shared" si="408"/>
        <v>20000</v>
      </c>
      <c r="Q465" s="62">
        <f t="shared" si="409"/>
        <v>20000</v>
      </c>
      <c r="R465" s="62">
        <f t="shared" si="410"/>
        <v>20000</v>
      </c>
      <c r="S465" s="62">
        <f t="shared" si="411"/>
        <v>20000</v>
      </c>
      <c r="T465" s="62">
        <f t="shared" si="412"/>
        <v>20000</v>
      </c>
      <c r="U465" s="62">
        <f t="shared" si="413"/>
        <v>20000</v>
      </c>
      <c r="V465" s="62">
        <f t="shared" si="414"/>
        <v>20000</v>
      </c>
      <c r="W465" s="62">
        <f t="shared" si="415"/>
        <v>20000</v>
      </c>
      <c r="X465" s="62">
        <f t="shared" si="416"/>
        <v>20000</v>
      </c>
      <c r="Y465" s="62">
        <f t="shared" si="417"/>
        <v>20000</v>
      </c>
      <c r="Z465" s="62">
        <f t="shared" si="418"/>
        <v>20000</v>
      </c>
      <c r="AA465" s="62">
        <f t="shared" si="419"/>
        <v>20000</v>
      </c>
      <c r="AB465" s="62">
        <f t="shared" si="420"/>
        <v>20000</v>
      </c>
      <c r="AC465" s="62">
        <f t="shared" si="421"/>
        <v>20000</v>
      </c>
    </row>
    <row r="466" spans="1:29" x14ac:dyDescent="0.25">
      <c r="A466" s="30" t="str">
        <f t="shared" si="393"/>
        <v>Opex var (mode-fees)</v>
      </c>
      <c r="B466" s="62">
        <f t="shared" si="394"/>
        <v>0.11</v>
      </c>
      <c r="C466" s="62">
        <f t="shared" si="395"/>
        <v>0.11</v>
      </c>
      <c r="D466" s="62">
        <f t="shared" si="396"/>
        <v>0.11</v>
      </c>
      <c r="E466" s="62">
        <f t="shared" si="397"/>
        <v>0.11</v>
      </c>
      <c r="F466" s="62">
        <f t="shared" si="398"/>
        <v>0.11</v>
      </c>
      <c r="G466" s="62">
        <f t="shared" si="399"/>
        <v>0.11</v>
      </c>
      <c r="H466" s="62">
        <f t="shared" si="400"/>
        <v>0.11</v>
      </c>
      <c r="I466" s="62">
        <f t="shared" si="401"/>
        <v>0.11</v>
      </c>
      <c r="J466" s="62">
        <f t="shared" si="402"/>
        <v>0.11</v>
      </c>
      <c r="K466" s="62">
        <f t="shared" si="403"/>
        <v>0.11</v>
      </c>
      <c r="L466" s="62">
        <f t="shared" si="404"/>
        <v>0.11</v>
      </c>
      <c r="M466" s="62">
        <f t="shared" si="405"/>
        <v>0.11</v>
      </c>
      <c r="N466" s="62">
        <f t="shared" si="406"/>
        <v>0.11</v>
      </c>
      <c r="O466" s="62">
        <f t="shared" si="407"/>
        <v>0.11</v>
      </c>
      <c r="P466" s="62">
        <f t="shared" si="408"/>
        <v>0.11</v>
      </c>
      <c r="Q466" s="62">
        <f t="shared" si="409"/>
        <v>0.11</v>
      </c>
      <c r="R466" s="62">
        <f t="shared" si="410"/>
        <v>0.11</v>
      </c>
      <c r="S466" s="62">
        <f t="shared" si="411"/>
        <v>0.11</v>
      </c>
      <c r="T466" s="62">
        <f t="shared" si="412"/>
        <v>0.11</v>
      </c>
      <c r="U466" s="62">
        <f t="shared" si="413"/>
        <v>0.11</v>
      </c>
      <c r="V466" s="62">
        <f t="shared" si="414"/>
        <v>0.11</v>
      </c>
      <c r="W466" s="62">
        <f t="shared" si="415"/>
        <v>0.11</v>
      </c>
      <c r="X466" s="62">
        <f t="shared" si="416"/>
        <v>0.11</v>
      </c>
      <c r="Y466" s="62">
        <f t="shared" si="417"/>
        <v>0.11</v>
      </c>
      <c r="Z466" s="62">
        <f t="shared" si="418"/>
        <v>0.11</v>
      </c>
      <c r="AA466" s="62">
        <f t="shared" si="419"/>
        <v>0.11</v>
      </c>
      <c r="AB466" s="62">
        <f t="shared" si="420"/>
        <v>0.11</v>
      </c>
      <c r="AC466" s="62">
        <f t="shared" si="421"/>
        <v>0.11</v>
      </c>
    </row>
    <row r="467" spans="1:29" x14ac:dyDescent="0.25">
      <c r="A467" s="30" t="str">
        <f t="shared" si="393"/>
        <v>Fuel Economy</v>
      </c>
      <c r="B467" s="62">
        <f t="shared" si="394"/>
        <v>2.8933989307874186</v>
      </c>
      <c r="C467" s="62">
        <f t="shared" si="395"/>
        <v>2.890572548814291</v>
      </c>
      <c r="D467" s="62">
        <f t="shared" si="396"/>
        <v>2.88655949157936</v>
      </c>
      <c r="E467" s="62">
        <f t="shared" si="397"/>
        <v>2.880887420807964</v>
      </c>
      <c r="F467" s="62">
        <f t="shared" si="398"/>
        <v>2.8729239357775569</v>
      </c>
      <c r="G467" s="62">
        <f t="shared" si="399"/>
        <v>2.8618518007507072</v>
      </c>
      <c r="H467" s="62">
        <f t="shared" si="400"/>
        <v>2.846672317838292</v>
      </c>
      <c r="I467" s="62">
        <f t="shared" si="401"/>
        <v>2.826272719371635</v>
      </c>
      <c r="J467" s="62">
        <f t="shared" si="402"/>
        <v>2.7996065032631194</v>
      </c>
      <c r="K467" s="62">
        <f t="shared" si="403"/>
        <v>2.7660249112499669</v>
      </c>
      <c r="L467" s="62">
        <f t="shared" si="404"/>
        <v>2.7257279647939332</v>
      </c>
      <c r="M467" s="62">
        <f t="shared" si="405"/>
        <v>2.6801612394042476</v>
      </c>
      <c r="N467" s="62">
        <f t="shared" si="406"/>
        <v>2.6320566343659264</v>
      </c>
      <c r="O467" s="62">
        <f t="shared" si="407"/>
        <v>2.5848986379776195</v>
      </c>
      <c r="P467" s="62">
        <f t="shared" si="408"/>
        <v>2.5419697431861561</v>
      </c>
      <c r="Q467" s="62">
        <f t="shared" si="409"/>
        <v>2.5054862958055883</v>
      </c>
      <c r="R467" s="62">
        <f t="shared" si="410"/>
        <v>2.4762695882689911</v>
      </c>
      <c r="S467" s="62">
        <f t="shared" si="411"/>
        <v>2.4539759436885498</v>
      </c>
      <c r="T467" s="62">
        <f t="shared" si="412"/>
        <v>2.4375883269690459</v>
      </c>
      <c r="U467" s="62">
        <f t="shared" si="413"/>
        <v>2.4258714180887511</v>
      </c>
      <c r="V467" s="62">
        <f t="shared" si="414"/>
        <v>2.4176595953126729</v>
      </c>
      <c r="W467" s="62">
        <f t="shared" si="415"/>
        <v>2.4119847210363288</v>
      </c>
      <c r="X467" s="62">
        <f t="shared" si="416"/>
        <v>2.408101121779195</v>
      </c>
      <c r="Y467" s="62">
        <f t="shared" si="417"/>
        <v>2.4054611202820539</v>
      </c>
      <c r="Z467" s="62">
        <f t="shared" si="418"/>
        <v>2.4036746606453043</v>
      </c>
      <c r="AA467" s="62">
        <f t="shared" si="419"/>
        <v>2.4024695131092528</v>
      </c>
      <c r="AB467" s="62">
        <f t="shared" si="420"/>
        <v>2.4016582137746476</v>
      </c>
      <c r="AC467" s="62">
        <f t="shared" si="421"/>
        <v>2.4011128181073338</v>
      </c>
    </row>
    <row r="468" spans="1:29" x14ac:dyDescent="0.25">
      <c r="A468" s="30" t="str">
        <f t="shared" si="393"/>
        <v>Fuel Cost</v>
      </c>
      <c r="B468" s="62">
        <f>'Parameter Input'!J8</f>
        <v>5.7951260504201685E-2</v>
      </c>
      <c r="C468" s="62">
        <f>'Parameter Input'!K8</f>
        <v>5.3954621848739497E-2</v>
      </c>
      <c r="D468" s="62">
        <f>'Parameter Input'!L8</f>
        <v>4.9957983193277315E-2</v>
      </c>
      <c r="E468" s="62">
        <f>'Parameter Input'!M8</f>
        <v>4.5961344537815127E-2</v>
      </c>
      <c r="F468" s="62">
        <f>'Parameter Input'!N8</f>
        <v>4.1964705882352946E-2</v>
      </c>
      <c r="G468" s="62">
        <f>'Parameter Input'!O8</f>
        <v>3.7968067226890764E-2</v>
      </c>
      <c r="H468" s="62">
        <f>'Parameter Input'!P8</f>
        <v>3.3971428571428583E-2</v>
      </c>
      <c r="I468" s="62">
        <f>'Parameter Input'!Q8</f>
        <v>2.9974789915966391E-2</v>
      </c>
      <c r="J468" s="62">
        <f>'Parameter Input'!R8</f>
        <v>2.9368157262905165E-2</v>
      </c>
      <c r="K468" s="62">
        <f>'Parameter Input'!S8</f>
        <v>2.8761524609843939E-2</v>
      </c>
      <c r="L468" s="62">
        <f>'Parameter Input'!T8</f>
        <v>2.8154891956782713E-2</v>
      </c>
      <c r="M468" s="62">
        <f>'Parameter Input'!U8</f>
        <v>2.7548259303721487E-2</v>
      </c>
      <c r="N468" s="62">
        <f>'Parameter Input'!V8</f>
        <v>2.6941626650660268E-2</v>
      </c>
      <c r="O468" s="62">
        <f>'Parameter Input'!W8</f>
        <v>2.6334993997599043E-2</v>
      </c>
      <c r="P468" s="62">
        <f>'Parameter Input'!X8</f>
        <v>2.5728361344537817E-2</v>
      </c>
      <c r="Q468" s="62">
        <f>'Parameter Input'!Y8</f>
        <v>2.5121728691476591E-2</v>
      </c>
      <c r="R468" s="62">
        <f>'Parameter Input'!Z8</f>
        <v>2.4515096038415365E-2</v>
      </c>
      <c r="S468" s="62">
        <f>'Parameter Input'!AA8</f>
        <v>2.3908463385354146E-2</v>
      </c>
      <c r="T468" s="62">
        <f>'Parameter Input'!AB8</f>
        <v>2.330183073229292E-2</v>
      </c>
      <c r="U468" s="62">
        <f>'Parameter Input'!AC8</f>
        <v>2.2695198079231694E-2</v>
      </c>
      <c r="V468" s="62">
        <f>'Parameter Input'!AD8</f>
        <v>2.2088565426170468E-2</v>
      </c>
      <c r="W468" s="62">
        <f>'Parameter Input'!AE8</f>
        <v>2.1481932773109242E-2</v>
      </c>
      <c r="X468" s="62">
        <f>'Parameter Input'!AF8</f>
        <v>2.0875300120048023E-2</v>
      </c>
      <c r="Y468" s="62">
        <f>'Parameter Input'!AG8</f>
        <v>2.0268667466986797E-2</v>
      </c>
      <c r="Z468" s="62">
        <f>'Parameter Input'!AH8</f>
        <v>1.9662034813925571E-2</v>
      </c>
      <c r="AA468" s="62">
        <f>'Parameter Input'!AI8</f>
        <v>1.9055402160864345E-2</v>
      </c>
      <c r="AB468" s="62">
        <f>'Parameter Input'!AJ8</f>
        <v>1.8448769507803119E-2</v>
      </c>
      <c r="AC468" s="62">
        <f>'Parameter Input'!AK8</f>
        <v>1.78421368547419E-2</v>
      </c>
    </row>
    <row r="469" spans="1:29" x14ac:dyDescent="0.25">
      <c r="A469" s="30" t="str">
        <f t="shared" si="393"/>
        <v>Emission Cost</v>
      </c>
      <c r="B469" s="66">
        <f>$B449+($C449-$B449)*(1-Q449)</f>
        <v>0</v>
      </c>
      <c r="C469" s="66">
        <f t="shared" ref="C469:AC469" si="422">$B449+($C449-$B449)*(1-R449)</f>
        <v>0</v>
      </c>
      <c r="D469" s="66">
        <f t="shared" si="422"/>
        <v>0</v>
      </c>
      <c r="E469" s="66">
        <f t="shared" si="422"/>
        <v>0</v>
      </c>
      <c r="F469" s="66">
        <f t="shared" si="422"/>
        <v>0</v>
      </c>
      <c r="G469" s="66">
        <f t="shared" si="422"/>
        <v>0</v>
      </c>
      <c r="H469" s="66">
        <f t="shared" si="422"/>
        <v>0</v>
      </c>
      <c r="I469" s="66">
        <f t="shared" si="422"/>
        <v>0</v>
      </c>
      <c r="J469" s="66">
        <f t="shared" si="422"/>
        <v>0</v>
      </c>
      <c r="K469" s="66">
        <f t="shared" si="422"/>
        <v>0</v>
      </c>
      <c r="L469" s="66">
        <f t="shared" si="422"/>
        <v>0</v>
      </c>
      <c r="M469" s="66">
        <f t="shared" si="422"/>
        <v>0</v>
      </c>
      <c r="N469" s="66">
        <f t="shared" si="422"/>
        <v>0</v>
      </c>
      <c r="O469" s="66">
        <f t="shared" si="422"/>
        <v>0</v>
      </c>
      <c r="P469" s="66">
        <f t="shared" si="422"/>
        <v>0</v>
      </c>
      <c r="Q469" s="66">
        <f t="shared" si="422"/>
        <v>0</v>
      </c>
      <c r="R469" s="66">
        <f t="shared" si="422"/>
        <v>0</v>
      </c>
      <c r="S469" s="66">
        <f t="shared" si="422"/>
        <v>0</v>
      </c>
      <c r="T469" s="66">
        <f t="shared" si="422"/>
        <v>0</v>
      </c>
      <c r="U469" s="66">
        <f t="shared" si="422"/>
        <v>0</v>
      </c>
      <c r="V469" s="66">
        <f t="shared" si="422"/>
        <v>0</v>
      </c>
      <c r="W469" s="66">
        <f t="shared" si="422"/>
        <v>0</v>
      </c>
      <c r="X469" s="66">
        <f t="shared" si="422"/>
        <v>0</v>
      </c>
      <c r="Y469" s="66">
        <f t="shared" si="422"/>
        <v>0</v>
      </c>
      <c r="Z469" s="66">
        <f t="shared" si="422"/>
        <v>0</v>
      </c>
      <c r="AA469" s="66">
        <f t="shared" si="422"/>
        <v>0</v>
      </c>
      <c r="AB469" s="66">
        <f t="shared" si="422"/>
        <v>0</v>
      </c>
      <c r="AC469" s="66">
        <f t="shared" si="422"/>
        <v>0</v>
      </c>
    </row>
    <row r="470" spans="1:29" x14ac:dyDescent="0.25">
      <c r="A470" s="30" t="str">
        <f t="shared" si="393"/>
        <v>Lifetime vehicle</v>
      </c>
      <c r="B470" s="62">
        <f>$B450+($C450-$B450)*(1-Q450)</f>
        <v>8</v>
      </c>
      <c r="C470" s="62">
        <f t="shared" ref="C470:L472" si="423">$B450+($C450-$B450)*(1-R450)</f>
        <v>8</v>
      </c>
      <c r="D470" s="62">
        <f t="shared" si="423"/>
        <v>8</v>
      </c>
      <c r="E470" s="62">
        <f t="shared" si="423"/>
        <v>8</v>
      </c>
      <c r="F470" s="62">
        <f t="shared" si="423"/>
        <v>8</v>
      </c>
      <c r="G470" s="62">
        <f t="shared" si="423"/>
        <v>8</v>
      </c>
      <c r="H470" s="62">
        <f t="shared" si="423"/>
        <v>8</v>
      </c>
      <c r="I470" s="62">
        <f t="shared" si="423"/>
        <v>8</v>
      </c>
      <c r="J470" s="62">
        <f t="shared" si="423"/>
        <v>8</v>
      </c>
      <c r="K470" s="62">
        <f t="shared" si="423"/>
        <v>8</v>
      </c>
      <c r="L470" s="62">
        <f t="shared" si="423"/>
        <v>8</v>
      </c>
      <c r="M470" s="62">
        <f t="shared" ref="M470:V472" si="424">$B450+($C450-$B450)*(1-AB450)</f>
        <v>8</v>
      </c>
      <c r="N470" s="62">
        <f t="shared" si="424"/>
        <v>8</v>
      </c>
      <c r="O470" s="62">
        <f t="shared" si="424"/>
        <v>8</v>
      </c>
      <c r="P470" s="62">
        <f t="shared" si="424"/>
        <v>8</v>
      </c>
      <c r="Q470" s="62">
        <f t="shared" si="424"/>
        <v>8</v>
      </c>
      <c r="R470" s="62">
        <f t="shared" si="424"/>
        <v>8</v>
      </c>
      <c r="S470" s="62">
        <f t="shared" si="424"/>
        <v>8</v>
      </c>
      <c r="T470" s="62">
        <f t="shared" si="424"/>
        <v>8</v>
      </c>
      <c r="U470" s="62">
        <f t="shared" si="424"/>
        <v>8</v>
      </c>
      <c r="V470" s="62">
        <f t="shared" si="424"/>
        <v>8</v>
      </c>
      <c r="W470" s="62">
        <f t="shared" ref="W470:AC472" si="425">$B450+($C450-$B450)*(1-AL450)</f>
        <v>8</v>
      </c>
      <c r="X470" s="62">
        <f t="shared" si="425"/>
        <v>8</v>
      </c>
      <c r="Y470" s="62">
        <f t="shared" si="425"/>
        <v>8</v>
      </c>
      <c r="Z470" s="62">
        <f t="shared" si="425"/>
        <v>8</v>
      </c>
      <c r="AA470" s="62">
        <f t="shared" si="425"/>
        <v>8</v>
      </c>
      <c r="AB470" s="62">
        <f t="shared" si="425"/>
        <v>8</v>
      </c>
      <c r="AC470" s="62">
        <f t="shared" si="425"/>
        <v>8</v>
      </c>
    </row>
    <row r="471" spans="1:29" x14ac:dyDescent="0.25">
      <c r="A471" s="30" t="str">
        <f t="shared" si="393"/>
        <v>Lifetime costumization</v>
      </c>
      <c r="B471" s="62">
        <f>$B451+($C451-$B451)*(1-Q451)</f>
        <v>10</v>
      </c>
      <c r="C471" s="62">
        <f t="shared" si="423"/>
        <v>10</v>
      </c>
      <c r="D471" s="62">
        <f t="shared" si="423"/>
        <v>10</v>
      </c>
      <c r="E471" s="62">
        <f t="shared" si="423"/>
        <v>10</v>
      </c>
      <c r="F471" s="62">
        <f t="shared" si="423"/>
        <v>10</v>
      </c>
      <c r="G471" s="62">
        <f t="shared" si="423"/>
        <v>10</v>
      </c>
      <c r="H471" s="62">
        <f t="shared" si="423"/>
        <v>10</v>
      </c>
      <c r="I471" s="62">
        <f t="shared" si="423"/>
        <v>10</v>
      </c>
      <c r="J471" s="62">
        <f t="shared" si="423"/>
        <v>10</v>
      </c>
      <c r="K471" s="62">
        <f t="shared" si="423"/>
        <v>10</v>
      </c>
      <c r="L471" s="62">
        <f t="shared" si="423"/>
        <v>10</v>
      </c>
      <c r="M471" s="62">
        <f t="shared" si="424"/>
        <v>10</v>
      </c>
      <c r="N471" s="62">
        <f t="shared" si="424"/>
        <v>10</v>
      </c>
      <c r="O471" s="62">
        <f t="shared" si="424"/>
        <v>10</v>
      </c>
      <c r="P471" s="62">
        <f t="shared" si="424"/>
        <v>10</v>
      </c>
      <c r="Q471" s="62">
        <f t="shared" si="424"/>
        <v>10</v>
      </c>
      <c r="R471" s="62">
        <f t="shared" si="424"/>
        <v>10</v>
      </c>
      <c r="S471" s="62">
        <f t="shared" si="424"/>
        <v>10</v>
      </c>
      <c r="T471" s="62">
        <f t="shared" si="424"/>
        <v>10</v>
      </c>
      <c r="U471" s="62">
        <f t="shared" si="424"/>
        <v>10</v>
      </c>
      <c r="V471" s="62">
        <f t="shared" si="424"/>
        <v>10</v>
      </c>
      <c r="W471" s="62">
        <f t="shared" si="425"/>
        <v>10</v>
      </c>
      <c r="X471" s="62">
        <f t="shared" si="425"/>
        <v>10</v>
      </c>
      <c r="Y471" s="62">
        <f t="shared" si="425"/>
        <v>10</v>
      </c>
      <c r="Z471" s="62">
        <f t="shared" si="425"/>
        <v>10</v>
      </c>
      <c r="AA471" s="62">
        <f t="shared" si="425"/>
        <v>10</v>
      </c>
      <c r="AB471" s="62">
        <f t="shared" si="425"/>
        <v>10</v>
      </c>
      <c r="AC471" s="62">
        <f t="shared" si="425"/>
        <v>10</v>
      </c>
    </row>
    <row r="472" spans="1:29" x14ac:dyDescent="0.25">
      <c r="A472" s="30" t="str">
        <f t="shared" si="393"/>
        <v>Tonnage .</v>
      </c>
      <c r="B472" s="62">
        <f>$B452+($C452-$B452)*(1-Q452)</f>
        <v>25</v>
      </c>
      <c r="C472" s="62">
        <f t="shared" si="423"/>
        <v>25</v>
      </c>
      <c r="D472" s="62">
        <f t="shared" si="423"/>
        <v>25</v>
      </c>
      <c r="E472" s="62">
        <f t="shared" si="423"/>
        <v>25</v>
      </c>
      <c r="F472" s="62">
        <f t="shared" si="423"/>
        <v>25</v>
      </c>
      <c r="G472" s="62">
        <f t="shared" si="423"/>
        <v>25</v>
      </c>
      <c r="H472" s="62">
        <f t="shared" si="423"/>
        <v>25</v>
      </c>
      <c r="I472" s="62">
        <f t="shared" si="423"/>
        <v>25</v>
      </c>
      <c r="J472" s="62">
        <f t="shared" si="423"/>
        <v>25</v>
      </c>
      <c r="K472" s="62">
        <f t="shared" si="423"/>
        <v>25</v>
      </c>
      <c r="L472" s="62">
        <f t="shared" si="423"/>
        <v>25</v>
      </c>
      <c r="M472" s="62">
        <f t="shared" si="424"/>
        <v>25</v>
      </c>
      <c r="N472" s="62">
        <f t="shared" si="424"/>
        <v>25</v>
      </c>
      <c r="O472" s="62">
        <f t="shared" si="424"/>
        <v>25</v>
      </c>
      <c r="P472" s="62">
        <f t="shared" si="424"/>
        <v>25</v>
      </c>
      <c r="Q472" s="62">
        <f t="shared" si="424"/>
        <v>25</v>
      </c>
      <c r="R472" s="62">
        <f t="shared" si="424"/>
        <v>25</v>
      </c>
      <c r="S472" s="62">
        <f t="shared" si="424"/>
        <v>25</v>
      </c>
      <c r="T472" s="62">
        <f t="shared" si="424"/>
        <v>25</v>
      </c>
      <c r="U472" s="62">
        <f t="shared" si="424"/>
        <v>25</v>
      </c>
      <c r="V472" s="62">
        <f t="shared" si="424"/>
        <v>25</v>
      </c>
      <c r="W472" s="62">
        <f t="shared" si="425"/>
        <v>25</v>
      </c>
      <c r="X472" s="62">
        <f t="shared" si="425"/>
        <v>25</v>
      </c>
      <c r="Y472" s="62">
        <f t="shared" si="425"/>
        <v>25</v>
      </c>
      <c r="Z472" s="62">
        <f t="shared" si="425"/>
        <v>25</v>
      </c>
      <c r="AA472" s="62">
        <f t="shared" si="425"/>
        <v>25</v>
      </c>
      <c r="AB472" s="62">
        <f t="shared" si="425"/>
        <v>25</v>
      </c>
      <c r="AC472" s="62">
        <f t="shared" si="425"/>
        <v>25</v>
      </c>
    </row>
    <row r="473" spans="1:29" x14ac:dyDescent="0.25">
      <c r="A473" s="30" t="str">
        <f t="shared" si="393"/>
        <v>Market failure (av. utilization)</v>
      </c>
      <c r="B473" s="62">
        <f t="shared" ref="B473:K474" si="426">($B453+($C453-$B453)*(1-Q453))*B$44</f>
        <v>16</v>
      </c>
      <c r="C473" s="62">
        <f t="shared" si="426"/>
        <v>16</v>
      </c>
      <c r="D473" s="62">
        <f t="shared" si="426"/>
        <v>16</v>
      </c>
      <c r="E473" s="62">
        <f t="shared" si="426"/>
        <v>16</v>
      </c>
      <c r="F473" s="62">
        <f t="shared" si="426"/>
        <v>16</v>
      </c>
      <c r="G473" s="62">
        <f t="shared" si="426"/>
        <v>16</v>
      </c>
      <c r="H473" s="62">
        <f t="shared" si="426"/>
        <v>16</v>
      </c>
      <c r="I473" s="62">
        <f t="shared" si="426"/>
        <v>16</v>
      </c>
      <c r="J473" s="62">
        <f t="shared" si="426"/>
        <v>16</v>
      </c>
      <c r="K473" s="62">
        <f t="shared" si="426"/>
        <v>16</v>
      </c>
      <c r="L473" s="62">
        <f t="shared" ref="L473:U474" si="427">($B453+($C453-$B453)*(1-AA453))*L$44</f>
        <v>16</v>
      </c>
      <c r="M473" s="62">
        <f t="shared" si="427"/>
        <v>16</v>
      </c>
      <c r="N473" s="62">
        <f t="shared" si="427"/>
        <v>16</v>
      </c>
      <c r="O473" s="62">
        <f t="shared" si="427"/>
        <v>16</v>
      </c>
      <c r="P473" s="62">
        <f t="shared" si="427"/>
        <v>16</v>
      </c>
      <c r="Q473" s="62">
        <f t="shared" si="427"/>
        <v>16</v>
      </c>
      <c r="R473" s="62">
        <f t="shared" si="427"/>
        <v>16</v>
      </c>
      <c r="S473" s="62">
        <f t="shared" si="427"/>
        <v>16</v>
      </c>
      <c r="T473" s="62">
        <f t="shared" si="427"/>
        <v>16</v>
      </c>
      <c r="U473" s="62">
        <f t="shared" si="427"/>
        <v>16</v>
      </c>
      <c r="V473" s="62">
        <f t="shared" ref="V473:AC474" si="428">($B453+($C453-$B453)*(1-AK453))*V$44</f>
        <v>16</v>
      </c>
      <c r="W473" s="62">
        <f t="shared" si="428"/>
        <v>16</v>
      </c>
      <c r="X473" s="62">
        <f t="shared" si="428"/>
        <v>16</v>
      </c>
      <c r="Y473" s="62">
        <f t="shared" si="428"/>
        <v>16</v>
      </c>
      <c r="Z473" s="62">
        <f t="shared" si="428"/>
        <v>16</v>
      </c>
      <c r="AA473" s="62">
        <f t="shared" si="428"/>
        <v>16</v>
      </c>
      <c r="AB473" s="62">
        <f t="shared" si="428"/>
        <v>16</v>
      </c>
      <c r="AC473" s="62">
        <f t="shared" si="428"/>
        <v>16</v>
      </c>
    </row>
    <row r="474" spans="1:29" x14ac:dyDescent="0.25">
      <c r="A474" s="30" t="s">
        <v>73</v>
      </c>
      <c r="B474" s="62">
        <f t="shared" si="426"/>
        <v>0</v>
      </c>
      <c r="C474" s="62">
        <f t="shared" si="426"/>
        <v>0</v>
      </c>
      <c r="D474" s="62">
        <f t="shared" si="426"/>
        <v>0</v>
      </c>
      <c r="E474" s="62">
        <f t="shared" si="426"/>
        <v>0</v>
      </c>
      <c r="F474" s="62">
        <f t="shared" si="426"/>
        <v>0</v>
      </c>
      <c r="G474" s="62">
        <f t="shared" si="426"/>
        <v>0</v>
      </c>
      <c r="H474" s="62">
        <f t="shared" si="426"/>
        <v>0</v>
      </c>
      <c r="I474" s="62">
        <f t="shared" si="426"/>
        <v>0</v>
      </c>
      <c r="J474" s="62">
        <f t="shared" si="426"/>
        <v>0</v>
      </c>
      <c r="K474" s="62">
        <f t="shared" si="426"/>
        <v>0</v>
      </c>
      <c r="L474" s="62">
        <f t="shared" si="427"/>
        <v>0</v>
      </c>
      <c r="M474" s="62">
        <f t="shared" si="427"/>
        <v>0</v>
      </c>
      <c r="N474" s="62">
        <f t="shared" si="427"/>
        <v>0</v>
      </c>
      <c r="O474" s="62">
        <f t="shared" si="427"/>
        <v>0</v>
      </c>
      <c r="P474" s="62">
        <f t="shared" si="427"/>
        <v>0</v>
      </c>
      <c r="Q474" s="62">
        <f t="shared" si="427"/>
        <v>0</v>
      </c>
      <c r="R474" s="62">
        <f t="shared" si="427"/>
        <v>0</v>
      </c>
      <c r="S474" s="62">
        <f t="shared" si="427"/>
        <v>0</v>
      </c>
      <c r="T474" s="62">
        <f t="shared" si="427"/>
        <v>0</v>
      </c>
      <c r="U474" s="62">
        <f t="shared" si="427"/>
        <v>0</v>
      </c>
      <c r="V474" s="62">
        <f t="shared" si="428"/>
        <v>0</v>
      </c>
      <c r="W474" s="62">
        <f t="shared" si="428"/>
        <v>0</v>
      </c>
      <c r="X474" s="62">
        <f t="shared" si="428"/>
        <v>0</v>
      </c>
      <c r="Y474" s="62">
        <f t="shared" si="428"/>
        <v>0</v>
      </c>
      <c r="Z474" s="62">
        <f t="shared" si="428"/>
        <v>0</v>
      </c>
      <c r="AA474" s="62">
        <f t="shared" si="428"/>
        <v>0</v>
      </c>
      <c r="AB474" s="62">
        <f t="shared" si="428"/>
        <v>0</v>
      </c>
      <c r="AC474" s="62">
        <f t="shared" si="428"/>
        <v>0</v>
      </c>
    </row>
    <row r="475" spans="1:29" x14ac:dyDescent="0.25">
      <c r="A475" s="30" t="str">
        <f>A455</f>
        <v>Annual Mileage</v>
      </c>
      <c r="B475" s="62">
        <f t="shared" ref="B475" si="429">$B455+($C455-$B455)*(1-Q455)</f>
        <v>90000</v>
      </c>
      <c r="C475" s="62">
        <f t="shared" ref="C475" si="430">$B455+($C455-$B455)*(1-R455)</f>
        <v>90000</v>
      </c>
      <c r="D475" s="62">
        <f t="shared" ref="D475" si="431">$B455+($C455-$B455)*(1-S455)</f>
        <v>90000</v>
      </c>
      <c r="E475" s="62">
        <f t="shared" ref="E475" si="432">$B455+($C455-$B455)*(1-T455)</f>
        <v>90000</v>
      </c>
      <c r="F475" s="62">
        <f t="shared" ref="F475" si="433">$B455+($C455-$B455)*(1-U455)</f>
        <v>90000</v>
      </c>
      <c r="G475" s="62">
        <f t="shared" ref="G475" si="434">$B455+($C455-$B455)*(1-V455)</f>
        <v>90000</v>
      </c>
      <c r="H475" s="62">
        <f t="shared" ref="H475" si="435">$B455+($C455-$B455)*(1-W455)</f>
        <v>90000</v>
      </c>
      <c r="I475" s="62">
        <f t="shared" ref="I475" si="436">$B455+($C455-$B455)*(1-X455)</f>
        <v>90000</v>
      </c>
      <c r="J475" s="62">
        <f t="shared" ref="J475" si="437">$B455+($C455-$B455)*(1-Y455)</f>
        <v>90000</v>
      </c>
      <c r="K475" s="62">
        <f t="shared" ref="K475" si="438">$B455+($C455-$B455)*(1-Z455)</f>
        <v>90000</v>
      </c>
      <c r="L475" s="62">
        <f t="shared" ref="L475" si="439">$B455+($C455-$B455)*(1-AA455)</f>
        <v>90000</v>
      </c>
      <c r="M475" s="62">
        <f t="shared" ref="M475" si="440">$B455+($C455-$B455)*(1-AB455)</f>
        <v>90000</v>
      </c>
      <c r="N475" s="62">
        <f t="shared" ref="N475" si="441">$B455+($C455-$B455)*(1-AC455)</f>
        <v>90000</v>
      </c>
      <c r="O475" s="62">
        <f t="shared" ref="O475" si="442">$B455+($C455-$B455)*(1-AD455)</f>
        <v>90000</v>
      </c>
      <c r="P475" s="62">
        <f t="shared" ref="P475" si="443">$B455+($C455-$B455)*(1-AE455)</f>
        <v>90000</v>
      </c>
      <c r="Q475" s="62">
        <f t="shared" ref="Q475" si="444">$B455+($C455-$B455)*(1-AF455)</f>
        <v>90000</v>
      </c>
      <c r="R475" s="62">
        <f t="shared" ref="R475" si="445">$B455+($C455-$B455)*(1-AG455)</f>
        <v>90000</v>
      </c>
      <c r="S475" s="62">
        <f t="shared" ref="S475" si="446">$B455+($C455-$B455)*(1-AH455)</f>
        <v>90000</v>
      </c>
      <c r="T475" s="62">
        <f t="shared" ref="T475" si="447">$B455+($C455-$B455)*(1-AI455)</f>
        <v>90000</v>
      </c>
      <c r="U475" s="62">
        <f t="shared" ref="U475" si="448">$B455+($C455-$B455)*(1-AJ455)</f>
        <v>90000</v>
      </c>
      <c r="V475" s="62">
        <f t="shared" ref="V475" si="449">$B455+($C455-$B455)*(1-AK455)</f>
        <v>90000</v>
      </c>
      <c r="W475" s="62">
        <f t="shared" ref="W475" si="450">$B455+($C455-$B455)*(1-AL455)</f>
        <v>90000</v>
      </c>
      <c r="X475" s="62">
        <f t="shared" ref="X475" si="451">$B455+($C455-$B455)*(1-AM455)</f>
        <v>90000</v>
      </c>
      <c r="Y475" s="62">
        <f t="shared" ref="Y475" si="452">$B455+($C455-$B455)*(1-AN455)</f>
        <v>90000</v>
      </c>
      <c r="Z475" s="62">
        <f t="shared" ref="Z475" si="453">$B455+($C455-$B455)*(1-AO455)</f>
        <v>90000</v>
      </c>
      <c r="AA475" s="62">
        <f t="shared" ref="AA475" si="454">$B455+($C455-$B455)*(1-AP455)</f>
        <v>90000</v>
      </c>
      <c r="AB475" s="62">
        <f t="shared" ref="AB475" si="455">$B455+($C455-$B455)*(1-AQ455)</f>
        <v>90000</v>
      </c>
      <c r="AC475" s="62">
        <f t="shared" ref="AC475" si="456">$B455+($C455-$B455)*(1-AR455)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57">((1+C463)^C470)*C463/(((1+C463)^C470)-1)*(C459)</f>
        <v>16939.137147822737</v>
      </c>
      <c r="D478" s="63">
        <f t="shared" si="457"/>
        <v>16952.062076917297</v>
      </c>
      <c r="E478" s="63">
        <f t="shared" si="457"/>
        <v>16970.330222186072</v>
      </c>
      <c r="F478" s="63">
        <f t="shared" si="457"/>
        <v>16995.97836855879</v>
      </c>
      <c r="G478" s="63">
        <f t="shared" si="457"/>
        <v>17031.638602582309</v>
      </c>
      <c r="H478" s="63">
        <f t="shared" si="457"/>
        <v>17080.52744937655</v>
      </c>
      <c r="I478" s="63">
        <f t="shared" si="457"/>
        <v>17146.228820750977</v>
      </c>
      <c r="J478" s="63">
        <f t="shared" si="457"/>
        <v>17232.113205708847</v>
      </c>
      <c r="K478" s="63">
        <f t="shared" si="457"/>
        <v>17340.270072218107</v>
      </c>
      <c r="L478" s="63">
        <f t="shared" si="457"/>
        <v>17470.055207385878</v>
      </c>
      <c r="M478" s="63">
        <f t="shared" si="457"/>
        <v>17616.812818916205</v>
      </c>
      <c r="N478" s="63">
        <f t="shared" si="457"/>
        <v>17771.744227277446</v>
      </c>
      <c r="O478" s="63">
        <f t="shared" si="457"/>
        <v>17923.62687531321</v>
      </c>
      <c r="P478" s="63">
        <f t="shared" si="457"/>
        <v>18061.888776104923</v>
      </c>
      <c r="Q478" s="63">
        <f t="shared" si="457"/>
        <v>18179.391702904584</v>
      </c>
      <c r="R478" s="63">
        <f t="shared" si="457"/>
        <v>18273.490503689198</v>
      </c>
      <c r="S478" s="63">
        <f t="shared" si="457"/>
        <v>18345.292065090671</v>
      </c>
      <c r="T478" s="63">
        <f t="shared" si="457"/>
        <v>18398.071971214304</v>
      </c>
      <c r="U478" s="63">
        <f t="shared" si="457"/>
        <v>18435.808840543512</v>
      </c>
      <c r="V478" s="63">
        <f t="shared" si="457"/>
        <v>18462.256812975615</v>
      </c>
      <c r="W478" s="63">
        <f t="shared" si="457"/>
        <v>18480.533987545627</v>
      </c>
      <c r="X478" s="63">
        <f t="shared" si="457"/>
        <v>18493.041968890429</v>
      </c>
      <c r="Y478" s="63">
        <f t="shared" si="457"/>
        <v>18501.544671484124</v>
      </c>
      <c r="Z478" s="63">
        <f t="shared" si="457"/>
        <v>18507.298355716259</v>
      </c>
      <c r="AA478" s="63">
        <f t="shared" si="457"/>
        <v>18511.179797106222</v>
      </c>
      <c r="AB478" s="63">
        <f t="shared" si="457"/>
        <v>18513.792764168582</v>
      </c>
      <c r="AC478" s="63">
        <f t="shared" si="457"/>
        <v>18515.549330276619</v>
      </c>
    </row>
    <row r="479" spans="1:29" x14ac:dyDescent="0.25">
      <c r="A479" s="30" t="str">
        <f>A460</f>
        <v>Residual value (vehicle)</v>
      </c>
      <c r="B479" s="62">
        <f>((1+B463)^B470)*B463/(((1+B463)^B470)-1)*(B460)</f>
        <v>-4208.0593252569806</v>
      </c>
      <c r="C479" s="62">
        <f t="shared" ref="C479:AC479" si="458">((1+C463)^C470)*C463/(((1+C463)^C470)-1)*(C460)</f>
        <v>-4199.866641721108</v>
      </c>
      <c r="D479" s="62">
        <f t="shared" si="458"/>
        <v>-4188.2342055360041</v>
      </c>
      <c r="E479" s="62">
        <f t="shared" si="458"/>
        <v>-4171.7928747941069</v>
      </c>
      <c r="F479" s="62">
        <f t="shared" si="458"/>
        <v>-4148.7095430586614</v>
      </c>
      <c r="G479" s="62">
        <f t="shared" si="458"/>
        <v>-4116.6153324374927</v>
      </c>
      <c r="H479" s="62">
        <f t="shared" si="458"/>
        <v>-4072.6153703226773</v>
      </c>
      <c r="I479" s="62">
        <f t="shared" si="458"/>
        <v>-4013.4841360856908</v>
      </c>
      <c r="J479" s="62">
        <f t="shared" si="458"/>
        <v>-3936.1881896236077</v>
      </c>
      <c r="K479" s="62">
        <f t="shared" si="458"/>
        <v>-3838.8470097652757</v>
      </c>
      <c r="L479" s="62">
        <f t="shared" si="458"/>
        <v>-3722.0403881142815</v>
      </c>
      <c r="M479" s="62">
        <f t="shared" si="458"/>
        <v>-3589.9585377369858</v>
      </c>
      <c r="N479" s="62">
        <f t="shared" si="458"/>
        <v>-3450.5202702118704</v>
      </c>
      <c r="O479" s="62">
        <f t="shared" si="458"/>
        <v>-3313.8258869796846</v>
      </c>
      <c r="P479" s="62">
        <f t="shared" si="458"/>
        <v>-3189.3901762671421</v>
      </c>
      <c r="Q479" s="62">
        <f t="shared" si="458"/>
        <v>-3083.6375421474468</v>
      </c>
      <c r="R479" s="62">
        <f t="shared" si="458"/>
        <v>-2998.9486214412941</v>
      </c>
      <c r="S479" s="62">
        <f t="shared" si="458"/>
        <v>-2934.3272161799682</v>
      </c>
      <c r="T479" s="62">
        <f t="shared" si="458"/>
        <v>-2886.8253006686996</v>
      </c>
      <c r="U479" s="62">
        <f t="shared" si="458"/>
        <v>-2852.8621182724105</v>
      </c>
      <c r="V479" s="62">
        <f t="shared" si="458"/>
        <v>-2829.0589430835184</v>
      </c>
      <c r="W479" s="62">
        <f t="shared" si="458"/>
        <v>-2812.6094859705067</v>
      </c>
      <c r="X479" s="62">
        <f t="shared" si="458"/>
        <v>-2801.3523027601836</v>
      </c>
      <c r="Y479" s="62">
        <f t="shared" si="458"/>
        <v>-2793.6998704258613</v>
      </c>
      <c r="Z479" s="62">
        <f t="shared" si="458"/>
        <v>-2788.5215546169388</v>
      </c>
      <c r="AA479" s="62">
        <f t="shared" si="458"/>
        <v>-2785.0282573659729</v>
      </c>
      <c r="AB479" s="62">
        <f t="shared" si="458"/>
        <v>-2782.6765870098498</v>
      </c>
      <c r="AC479" s="62">
        <f t="shared" si="458"/>
        <v>-2781.0956775126119</v>
      </c>
    </row>
    <row r="480" spans="1:29" x14ac:dyDescent="0.25">
      <c r="A480" s="30" t="str">
        <f>A461</f>
        <v>Capex costumization</v>
      </c>
      <c r="B480" s="62">
        <f>((1+B463)^B471)*B463/(((1+B463)^B471)-1)*(B461)</f>
        <v>4755.37853771343</v>
      </c>
      <c r="C480" s="62">
        <f t="shared" ref="C480:AC480" si="459">((1+C463)^C471)*C463/(((1+C463)^C471)-1)*(C461)</f>
        <v>4755.37853771343</v>
      </c>
      <c r="D480" s="62">
        <f t="shared" si="459"/>
        <v>4755.37853771343</v>
      </c>
      <c r="E480" s="62">
        <f t="shared" si="459"/>
        <v>4755.37853771343</v>
      </c>
      <c r="F480" s="62">
        <f t="shared" si="459"/>
        <v>4755.37853771343</v>
      </c>
      <c r="G480" s="62">
        <f t="shared" si="459"/>
        <v>4755.37853771343</v>
      </c>
      <c r="H480" s="62">
        <f t="shared" si="459"/>
        <v>4755.37853771343</v>
      </c>
      <c r="I480" s="62">
        <f t="shared" si="459"/>
        <v>4755.37853771343</v>
      </c>
      <c r="J480" s="62">
        <f t="shared" si="459"/>
        <v>4755.37853771343</v>
      </c>
      <c r="K480" s="62">
        <f t="shared" si="459"/>
        <v>4755.37853771343</v>
      </c>
      <c r="L480" s="62">
        <f t="shared" si="459"/>
        <v>4755.37853771343</v>
      </c>
      <c r="M480" s="62">
        <f t="shared" si="459"/>
        <v>4755.37853771343</v>
      </c>
      <c r="N480" s="62">
        <f t="shared" si="459"/>
        <v>4755.37853771343</v>
      </c>
      <c r="O480" s="62">
        <f t="shared" si="459"/>
        <v>4755.37853771343</v>
      </c>
      <c r="P480" s="62">
        <f t="shared" si="459"/>
        <v>4755.37853771343</v>
      </c>
      <c r="Q480" s="62">
        <f t="shared" si="459"/>
        <v>4755.37853771343</v>
      </c>
      <c r="R480" s="62">
        <f t="shared" si="459"/>
        <v>4755.37853771343</v>
      </c>
      <c r="S480" s="62">
        <f t="shared" si="459"/>
        <v>4755.37853771343</v>
      </c>
      <c r="T480" s="62">
        <f t="shared" si="459"/>
        <v>4755.37853771343</v>
      </c>
      <c r="U480" s="62">
        <f t="shared" si="459"/>
        <v>4755.37853771343</v>
      </c>
      <c r="V480" s="62">
        <f t="shared" si="459"/>
        <v>4755.37853771343</v>
      </c>
      <c r="W480" s="62">
        <f t="shared" si="459"/>
        <v>4755.37853771343</v>
      </c>
      <c r="X480" s="62">
        <f t="shared" si="459"/>
        <v>4755.37853771343</v>
      </c>
      <c r="Y480" s="62">
        <f t="shared" si="459"/>
        <v>4755.37853771343</v>
      </c>
      <c r="Z480" s="62">
        <f t="shared" si="459"/>
        <v>4755.37853771343</v>
      </c>
      <c r="AA480" s="62">
        <f t="shared" si="459"/>
        <v>4755.37853771343</v>
      </c>
      <c r="AB480" s="62">
        <f t="shared" si="459"/>
        <v>4755.37853771343</v>
      </c>
      <c r="AC480" s="62">
        <f t="shared" si="459"/>
        <v>4755.37853771343</v>
      </c>
    </row>
    <row r="481" spans="1:29" x14ac:dyDescent="0.25">
      <c r="A481" s="30" t="str">
        <f>A462</f>
        <v>Residual value (costumization)</v>
      </c>
      <c r="B481" s="62">
        <f>((1+B463)^B471)*B463/(((1+B463)^B471)-1)*(B462)</f>
        <v>-1188.8446344283575</v>
      </c>
      <c r="C481" s="62">
        <f t="shared" ref="C481:AC481" si="460">((1+C463)^C471)*C463/(((1+C463)^C471)-1)*(C462)</f>
        <v>-1188.8446344283575</v>
      </c>
      <c r="D481" s="62">
        <f t="shared" si="460"/>
        <v>-1188.8446344283575</v>
      </c>
      <c r="E481" s="62">
        <f t="shared" si="460"/>
        <v>-1188.8446344283575</v>
      </c>
      <c r="F481" s="62">
        <f t="shared" si="460"/>
        <v>-1188.8446344283575</v>
      </c>
      <c r="G481" s="62">
        <f t="shared" si="460"/>
        <v>-1188.8446344283575</v>
      </c>
      <c r="H481" s="62">
        <f t="shared" si="460"/>
        <v>-1188.8446344283575</v>
      </c>
      <c r="I481" s="62">
        <f t="shared" si="460"/>
        <v>-1188.8446344283575</v>
      </c>
      <c r="J481" s="62">
        <f t="shared" si="460"/>
        <v>-1188.8446344283575</v>
      </c>
      <c r="K481" s="62">
        <f t="shared" si="460"/>
        <v>-1188.8446344283575</v>
      </c>
      <c r="L481" s="62">
        <f t="shared" si="460"/>
        <v>-1188.8446344283575</v>
      </c>
      <c r="M481" s="62">
        <f t="shared" si="460"/>
        <v>-1188.8446344283575</v>
      </c>
      <c r="N481" s="62">
        <f t="shared" si="460"/>
        <v>-1188.8446344283575</v>
      </c>
      <c r="O481" s="62">
        <f t="shared" si="460"/>
        <v>-1188.8446344283575</v>
      </c>
      <c r="P481" s="62">
        <f t="shared" si="460"/>
        <v>-1188.8446344283575</v>
      </c>
      <c r="Q481" s="62">
        <f t="shared" si="460"/>
        <v>-1188.8446344283575</v>
      </c>
      <c r="R481" s="62">
        <f t="shared" si="460"/>
        <v>-1188.8446344283575</v>
      </c>
      <c r="S481" s="62">
        <f t="shared" si="460"/>
        <v>-1188.8446344283575</v>
      </c>
      <c r="T481" s="62">
        <f t="shared" si="460"/>
        <v>-1188.8446344283575</v>
      </c>
      <c r="U481" s="62">
        <f t="shared" si="460"/>
        <v>-1188.8446344283575</v>
      </c>
      <c r="V481" s="62">
        <f t="shared" si="460"/>
        <v>-1188.8446344283575</v>
      </c>
      <c r="W481" s="62">
        <f t="shared" si="460"/>
        <v>-1188.8446344283575</v>
      </c>
      <c r="X481" s="62">
        <f t="shared" si="460"/>
        <v>-1188.8446344283575</v>
      </c>
      <c r="Y481" s="62">
        <f t="shared" si="460"/>
        <v>-1188.8446344283575</v>
      </c>
      <c r="Z481" s="62">
        <f t="shared" si="460"/>
        <v>-1188.8446344283575</v>
      </c>
      <c r="AA481" s="62">
        <f t="shared" si="460"/>
        <v>-1188.8446344283575</v>
      </c>
      <c r="AB481" s="62">
        <f t="shared" si="460"/>
        <v>-1188.8446344283575</v>
      </c>
      <c r="AC481" s="62">
        <f t="shared" si="460"/>
        <v>-1188.8446344283575</v>
      </c>
    </row>
    <row r="482" spans="1:29" x14ac:dyDescent="0.25">
      <c r="A482" s="30" t="str">
        <f>A464</f>
        <v>Opex fix (admin, crew, insurance)</v>
      </c>
      <c r="B482" s="62">
        <f>B464</f>
        <v>70000</v>
      </c>
      <c r="C482" s="62">
        <f t="shared" ref="C482:AC482" si="461">C464</f>
        <v>70000</v>
      </c>
      <c r="D482" s="62">
        <f t="shared" si="461"/>
        <v>70000</v>
      </c>
      <c r="E482" s="62">
        <f t="shared" si="461"/>
        <v>70000</v>
      </c>
      <c r="F482" s="62">
        <f t="shared" si="461"/>
        <v>70000</v>
      </c>
      <c r="G482" s="62">
        <f t="shared" si="461"/>
        <v>70000</v>
      </c>
      <c r="H482" s="62">
        <f t="shared" si="461"/>
        <v>70000</v>
      </c>
      <c r="I482" s="62">
        <f t="shared" si="461"/>
        <v>70000</v>
      </c>
      <c r="J482" s="62">
        <f t="shared" si="461"/>
        <v>70000</v>
      </c>
      <c r="K482" s="62">
        <f t="shared" si="461"/>
        <v>70000</v>
      </c>
      <c r="L482" s="62">
        <f t="shared" si="461"/>
        <v>70000</v>
      </c>
      <c r="M482" s="62">
        <f t="shared" si="461"/>
        <v>70000</v>
      </c>
      <c r="N482" s="62">
        <f t="shared" si="461"/>
        <v>70000</v>
      </c>
      <c r="O482" s="62">
        <f t="shared" si="461"/>
        <v>70000</v>
      </c>
      <c r="P482" s="62">
        <f t="shared" si="461"/>
        <v>70000</v>
      </c>
      <c r="Q482" s="62">
        <f t="shared" si="461"/>
        <v>70000</v>
      </c>
      <c r="R482" s="62">
        <f t="shared" si="461"/>
        <v>70000</v>
      </c>
      <c r="S482" s="62">
        <f t="shared" si="461"/>
        <v>70000</v>
      </c>
      <c r="T482" s="62">
        <f t="shared" si="461"/>
        <v>70000</v>
      </c>
      <c r="U482" s="62">
        <f t="shared" si="461"/>
        <v>70000</v>
      </c>
      <c r="V482" s="62">
        <f t="shared" si="461"/>
        <v>70000</v>
      </c>
      <c r="W482" s="62">
        <f t="shared" si="461"/>
        <v>70000</v>
      </c>
      <c r="X482" s="62">
        <f t="shared" si="461"/>
        <v>70000</v>
      </c>
      <c r="Y482" s="62">
        <f t="shared" si="461"/>
        <v>70000</v>
      </c>
      <c r="Z482" s="62">
        <f t="shared" si="461"/>
        <v>70000</v>
      </c>
      <c r="AA482" s="62">
        <f t="shared" si="461"/>
        <v>70000</v>
      </c>
      <c r="AB482" s="62">
        <f t="shared" si="461"/>
        <v>70000</v>
      </c>
      <c r="AC482" s="62">
        <f t="shared" si="461"/>
        <v>70000</v>
      </c>
    </row>
    <row r="483" spans="1:29" x14ac:dyDescent="0.25">
      <c r="A483" s="30" t="str">
        <f>A465</f>
        <v>Opex maintenance &amp; repair</v>
      </c>
      <c r="B483" s="62">
        <f>B465</f>
        <v>20000</v>
      </c>
      <c r="C483" s="62">
        <f t="shared" ref="C483:AC483" si="462">C465</f>
        <v>20000</v>
      </c>
      <c r="D483" s="62">
        <f t="shared" si="462"/>
        <v>20000</v>
      </c>
      <c r="E483" s="62">
        <f t="shared" si="462"/>
        <v>20000</v>
      </c>
      <c r="F483" s="62">
        <f t="shared" si="462"/>
        <v>20000</v>
      </c>
      <c r="G483" s="62">
        <f t="shared" si="462"/>
        <v>20000</v>
      </c>
      <c r="H483" s="62">
        <f t="shared" si="462"/>
        <v>20000</v>
      </c>
      <c r="I483" s="62">
        <f t="shared" si="462"/>
        <v>20000</v>
      </c>
      <c r="J483" s="62">
        <f t="shared" si="462"/>
        <v>20000</v>
      </c>
      <c r="K483" s="62">
        <f t="shared" si="462"/>
        <v>20000</v>
      </c>
      <c r="L483" s="62">
        <f t="shared" si="462"/>
        <v>20000</v>
      </c>
      <c r="M483" s="62">
        <f t="shared" si="462"/>
        <v>20000</v>
      </c>
      <c r="N483" s="62">
        <f t="shared" si="462"/>
        <v>20000</v>
      </c>
      <c r="O483" s="62">
        <f t="shared" si="462"/>
        <v>20000</v>
      </c>
      <c r="P483" s="62">
        <f t="shared" si="462"/>
        <v>20000</v>
      </c>
      <c r="Q483" s="62">
        <f t="shared" si="462"/>
        <v>20000</v>
      </c>
      <c r="R483" s="62">
        <f t="shared" si="462"/>
        <v>20000</v>
      </c>
      <c r="S483" s="62">
        <f t="shared" si="462"/>
        <v>20000</v>
      </c>
      <c r="T483" s="62">
        <f t="shared" si="462"/>
        <v>20000</v>
      </c>
      <c r="U483" s="62">
        <f t="shared" si="462"/>
        <v>20000</v>
      </c>
      <c r="V483" s="62">
        <f t="shared" si="462"/>
        <v>20000</v>
      </c>
      <c r="W483" s="62">
        <f t="shared" si="462"/>
        <v>20000</v>
      </c>
      <c r="X483" s="62">
        <f t="shared" si="462"/>
        <v>20000</v>
      </c>
      <c r="Y483" s="62">
        <f t="shared" si="462"/>
        <v>20000</v>
      </c>
      <c r="Z483" s="62">
        <f t="shared" si="462"/>
        <v>20000</v>
      </c>
      <c r="AA483" s="62">
        <f t="shared" si="462"/>
        <v>20000</v>
      </c>
      <c r="AB483" s="62">
        <f t="shared" si="462"/>
        <v>20000</v>
      </c>
      <c r="AC483" s="62">
        <f t="shared" si="462"/>
        <v>20000</v>
      </c>
    </row>
    <row r="484" spans="1:29" x14ac:dyDescent="0.25">
      <c r="A484" s="30" t="str">
        <f>A466</f>
        <v>Opex var (mode-fees)</v>
      </c>
      <c r="B484" s="62">
        <f>B466*B475</f>
        <v>9900</v>
      </c>
      <c r="C484" s="62">
        <f t="shared" ref="C484:AC484" si="463">C466*C475</f>
        <v>9900</v>
      </c>
      <c r="D484" s="62">
        <f t="shared" si="463"/>
        <v>9900</v>
      </c>
      <c r="E484" s="62">
        <f t="shared" si="463"/>
        <v>9900</v>
      </c>
      <c r="F484" s="62">
        <f t="shared" si="463"/>
        <v>9900</v>
      </c>
      <c r="G484" s="62">
        <f t="shared" si="463"/>
        <v>9900</v>
      </c>
      <c r="H484" s="62">
        <f t="shared" si="463"/>
        <v>9900</v>
      </c>
      <c r="I484" s="62">
        <f t="shared" si="463"/>
        <v>9900</v>
      </c>
      <c r="J484" s="62">
        <f t="shared" si="463"/>
        <v>9900</v>
      </c>
      <c r="K484" s="62">
        <f t="shared" si="463"/>
        <v>9900</v>
      </c>
      <c r="L484" s="62">
        <f t="shared" si="463"/>
        <v>9900</v>
      </c>
      <c r="M484" s="62">
        <f t="shared" si="463"/>
        <v>9900</v>
      </c>
      <c r="N484" s="62">
        <f t="shared" si="463"/>
        <v>9900</v>
      </c>
      <c r="O484" s="62">
        <f t="shared" si="463"/>
        <v>9900</v>
      </c>
      <c r="P484" s="62">
        <f t="shared" si="463"/>
        <v>9900</v>
      </c>
      <c r="Q484" s="62">
        <f t="shared" si="463"/>
        <v>9900</v>
      </c>
      <c r="R484" s="62">
        <f t="shared" si="463"/>
        <v>9900</v>
      </c>
      <c r="S484" s="62">
        <f t="shared" si="463"/>
        <v>9900</v>
      </c>
      <c r="T484" s="62">
        <f t="shared" si="463"/>
        <v>9900</v>
      </c>
      <c r="U484" s="62">
        <f t="shared" si="463"/>
        <v>9900</v>
      </c>
      <c r="V484" s="62">
        <f t="shared" si="463"/>
        <v>9900</v>
      </c>
      <c r="W484" s="62">
        <f t="shared" si="463"/>
        <v>9900</v>
      </c>
      <c r="X484" s="62">
        <f t="shared" si="463"/>
        <v>9900</v>
      </c>
      <c r="Y484" s="62">
        <f t="shared" si="463"/>
        <v>9900</v>
      </c>
      <c r="Z484" s="62">
        <f t="shared" si="463"/>
        <v>9900</v>
      </c>
      <c r="AA484" s="62">
        <f t="shared" si="463"/>
        <v>9900</v>
      </c>
      <c r="AB484" s="62">
        <f t="shared" si="463"/>
        <v>9900</v>
      </c>
      <c r="AC484" s="62">
        <f t="shared" si="463"/>
        <v>9900</v>
      </c>
    </row>
    <row r="485" spans="1:29" x14ac:dyDescent="0.25">
      <c r="A485" s="30" t="str">
        <f>A468</f>
        <v>Fuel Cost</v>
      </c>
      <c r="B485" s="62">
        <f>B467*B468*B475</f>
        <v>15090.85036625763</v>
      </c>
      <c r="C485" s="62">
        <f t="shared" ref="C485:AC485" si="464">C467*C468*C475</f>
        <v>14036.377391785996</v>
      </c>
      <c r="D485" s="62">
        <f t="shared" si="464"/>
        <v>12978.60215100451</v>
      </c>
      <c r="E485" s="62">
        <f t="shared" si="464"/>
        <v>11916.851339017119</v>
      </c>
      <c r="F485" s="62">
        <f t="shared" si="464"/>
        <v>10850.526718854931</v>
      </c>
      <c r="G485" s="62">
        <f t="shared" si="464"/>
        <v>9779.3083407871127</v>
      </c>
      <c r="H485" s="62">
        <f t="shared" si="464"/>
        <v>8703.4972780535918</v>
      </c>
      <c r="I485" s="62">
        <f t="shared" si="464"/>
        <v>7624.5237907552619</v>
      </c>
      <c r="J485" s="62">
        <f t="shared" si="464"/>
        <v>7399.7355655874981</v>
      </c>
      <c r="K485" s="62">
        <f t="shared" si="464"/>
        <v>7159.9584200721583</v>
      </c>
      <c r="L485" s="62">
        <f t="shared" si="464"/>
        <v>6906.8318717118991</v>
      </c>
      <c r="M485" s="62">
        <f t="shared" si="464"/>
        <v>6645.0399119002595</v>
      </c>
      <c r="N485" s="62">
        <f t="shared" si="464"/>
        <v>6382.0698449832189</v>
      </c>
      <c r="O485" s="62">
        <f t="shared" si="464"/>
        <v>6126.5961103988302</v>
      </c>
      <c r="P485" s="62">
        <f t="shared" si="464"/>
        <v>5886.064447161787</v>
      </c>
      <c r="Q485" s="62">
        <f t="shared" si="464"/>
        <v>5664.7932267096585</v>
      </c>
      <c r="R485" s="62">
        <f t="shared" si="464"/>
        <v>5463.5388096079432</v>
      </c>
      <c r="S485" s="62">
        <f t="shared" si="464"/>
        <v>5280.3714598395818</v>
      </c>
      <c r="T485" s="62">
        <f t="shared" si="464"/>
        <v>5112.0243531041215</v>
      </c>
      <c r="U485" s="62">
        <f t="shared" si="464"/>
        <v>4955.0069113443806</v>
      </c>
      <c r="V485" s="62">
        <f t="shared" si="464"/>
        <v>4806.2368934345513</v>
      </c>
      <c r="W485" s="62">
        <f t="shared" si="464"/>
        <v>4663.2684264362151</v>
      </c>
      <c r="X485" s="62">
        <f t="shared" si="464"/>
        <v>4524.2850272908508</v>
      </c>
      <c r="Y485" s="62">
        <f t="shared" si="464"/>
        <v>4387.994239658623</v>
      </c>
      <c r="Z485" s="62">
        <f t="shared" si="464"/>
        <v>4253.5021373062837</v>
      </c>
      <c r="AA485" s="62">
        <f t="shared" si="464"/>
        <v>4120.2020476361486</v>
      </c>
      <c r="AB485" s="62">
        <f t="shared" si="464"/>
        <v>3987.6874940205562</v>
      </c>
      <c r="AC485" s="62">
        <f t="shared" si="464"/>
        <v>3855.6885153911439</v>
      </c>
    </row>
    <row r="486" spans="1:29" ht="15.75" thickBot="1" x14ac:dyDescent="0.3">
      <c r="A486" s="59" t="str">
        <f>A449</f>
        <v>Emission Cost</v>
      </c>
      <c r="B486" s="62">
        <f>B469*B475</f>
        <v>0</v>
      </c>
      <c r="C486" s="62">
        <f t="shared" ref="C486:AC486" si="465">C469*C475</f>
        <v>0</v>
      </c>
      <c r="D486" s="62">
        <f t="shared" si="465"/>
        <v>0</v>
      </c>
      <c r="E486" s="62">
        <f t="shared" si="465"/>
        <v>0</v>
      </c>
      <c r="F486" s="62">
        <f t="shared" si="465"/>
        <v>0</v>
      </c>
      <c r="G486" s="62">
        <f t="shared" si="465"/>
        <v>0</v>
      </c>
      <c r="H486" s="62">
        <f t="shared" si="465"/>
        <v>0</v>
      </c>
      <c r="I486" s="62">
        <f t="shared" si="465"/>
        <v>0</v>
      </c>
      <c r="J486" s="62">
        <f t="shared" si="465"/>
        <v>0</v>
      </c>
      <c r="K486" s="62">
        <f t="shared" si="465"/>
        <v>0</v>
      </c>
      <c r="L486" s="62">
        <f t="shared" si="465"/>
        <v>0</v>
      </c>
      <c r="M486" s="62">
        <f t="shared" si="465"/>
        <v>0</v>
      </c>
      <c r="N486" s="62">
        <f t="shared" si="465"/>
        <v>0</v>
      </c>
      <c r="O486" s="62">
        <f t="shared" si="465"/>
        <v>0</v>
      </c>
      <c r="P486" s="62">
        <f t="shared" si="465"/>
        <v>0</v>
      </c>
      <c r="Q486" s="62">
        <f t="shared" si="465"/>
        <v>0</v>
      </c>
      <c r="R486" s="62">
        <f t="shared" si="465"/>
        <v>0</v>
      </c>
      <c r="S486" s="62">
        <f t="shared" si="465"/>
        <v>0</v>
      </c>
      <c r="T486" s="62">
        <f t="shared" si="465"/>
        <v>0</v>
      </c>
      <c r="U486" s="62">
        <f t="shared" si="465"/>
        <v>0</v>
      </c>
      <c r="V486" s="62">
        <f t="shared" si="465"/>
        <v>0</v>
      </c>
      <c r="W486" s="62">
        <f t="shared" si="465"/>
        <v>0</v>
      </c>
      <c r="X486" s="62">
        <f t="shared" si="465"/>
        <v>0</v>
      </c>
      <c r="Y486" s="62">
        <f t="shared" si="465"/>
        <v>0</v>
      </c>
      <c r="Z486" s="62">
        <f t="shared" si="465"/>
        <v>0</v>
      </c>
      <c r="AA486" s="62">
        <f t="shared" si="465"/>
        <v>0</v>
      </c>
      <c r="AB486" s="62">
        <f t="shared" si="465"/>
        <v>0</v>
      </c>
      <c r="AC486" s="62">
        <f t="shared" si="465"/>
        <v>0</v>
      </c>
    </row>
    <row r="487" spans="1:29" ht="15.75" thickBot="1" x14ac:dyDescent="0.3">
      <c r="A487" s="31" t="s">
        <v>209</v>
      </c>
      <c r="B487" s="64">
        <f>B478+B479+B480+B481+B482+B483+B484+B485</f>
        <v>131279.35911040194</v>
      </c>
      <c r="C487" s="64">
        <f t="shared" ref="C487:AC487" si="466">C478+C479+C480+C481+C482+C483+C484+C485</f>
        <v>130242.1818011727</v>
      </c>
      <c r="D487" s="64">
        <f t="shared" si="466"/>
        <v>129208.96392567088</v>
      </c>
      <c r="E487" s="64">
        <f t="shared" si="466"/>
        <v>128181.92258969415</v>
      </c>
      <c r="F487" s="64">
        <f t="shared" si="466"/>
        <v>127164.32944764014</v>
      </c>
      <c r="G487" s="64">
        <f t="shared" si="466"/>
        <v>126160.865514217</v>
      </c>
      <c r="H487" s="64">
        <f t="shared" si="466"/>
        <v>125177.94326039254</v>
      </c>
      <c r="I487" s="64">
        <f t="shared" si="466"/>
        <v>124223.80237870563</v>
      </c>
      <c r="J487" s="64">
        <f t="shared" si="466"/>
        <v>124162.19448495781</v>
      </c>
      <c r="K487" s="64">
        <f t="shared" si="466"/>
        <v>124127.91538581006</v>
      </c>
      <c r="L487" s="64">
        <f t="shared" si="466"/>
        <v>124121.38059426857</v>
      </c>
      <c r="M487" s="64">
        <f t="shared" si="466"/>
        <v>124138.42809636454</v>
      </c>
      <c r="N487" s="64">
        <f t="shared" si="466"/>
        <v>124169.82770533387</v>
      </c>
      <c r="O487" s="64">
        <f t="shared" si="466"/>
        <v>124202.93100201743</v>
      </c>
      <c r="P487" s="64">
        <f t="shared" si="466"/>
        <v>124225.09695028464</v>
      </c>
      <c r="Q487" s="64">
        <f t="shared" si="466"/>
        <v>124227.08129075187</v>
      </c>
      <c r="R487" s="64">
        <f t="shared" si="466"/>
        <v>124204.61459514091</v>
      </c>
      <c r="S487" s="64">
        <f t="shared" si="466"/>
        <v>124157.87021203534</v>
      </c>
      <c r="T487" s="64">
        <f t="shared" si="466"/>
        <v>124089.8049269348</v>
      </c>
      <c r="U487" s="64">
        <f t="shared" si="466"/>
        <v>124004.48753690055</v>
      </c>
      <c r="V487" s="64">
        <f t="shared" si="466"/>
        <v>123905.96866661172</v>
      </c>
      <c r="W487" s="64">
        <f t="shared" si="466"/>
        <v>123797.72683129642</v>
      </c>
      <c r="X487" s="64">
        <f t="shared" si="466"/>
        <v>123682.50859670618</v>
      </c>
      <c r="Y487" s="64">
        <f t="shared" si="466"/>
        <v>123562.37294400197</v>
      </c>
      <c r="Z487" s="64">
        <f t="shared" si="466"/>
        <v>123438.81284169067</v>
      </c>
      <c r="AA487" s="64">
        <f t="shared" si="466"/>
        <v>123312.88749066147</v>
      </c>
      <c r="AB487" s="64">
        <f t="shared" si="466"/>
        <v>123185.33757446436</v>
      </c>
      <c r="AC487" s="64">
        <f t="shared" si="466"/>
        <v>123056.67607144022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67">A478</f>
        <v>Capex vehicle</v>
      </c>
      <c r="B490" s="65">
        <f>((1+B463)^B470)*B463/(((1+B463)^B470)-1)*(B459)/B475</f>
        <v>0.18811149073462458</v>
      </c>
      <c r="C490" s="65">
        <f t="shared" ref="C490:AC490" si="468">((1+C463)^C470)*C463/(((1+C463)^C470)-1)*(C459)/C475</f>
        <v>0.1882126349758082</v>
      </c>
      <c r="D490" s="65">
        <f t="shared" si="468"/>
        <v>0.18835624529908107</v>
      </c>
      <c r="E490" s="65">
        <f t="shared" si="468"/>
        <v>0.18855922469095635</v>
      </c>
      <c r="F490" s="65">
        <f t="shared" si="468"/>
        <v>0.18884420409509767</v>
      </c>
      <c r="G490" s="65">
        <f t="shared" si="468"/>
        <v>0.18924042891758119</v>
      </c>
      <c r="H490" s="65">
        <f t="shared" si="468"/>
        <v>0.1897836383264061</v>
      </c>
      <c r="I490" s="65">
        <f t="shared" si="468"/>
        <v>0.19051365356389974</v>
      </c>
      <c r="J490" s="65">
        <f t="shared" si="468"/>
        <v>0.19146792450787609</v>
      </c>
      <c r="K490" s="65">
        <f t="shared" si="468"/>
        <v>0.19266966746909009</v>
      </c>
      <c r="L490" s="65">
        <f t="shared" si="468"/>
        <v>0.19411172452650977</v>
      </c>
      <c r="M490" s="65">
        <f t="shared" si="468"/>
        <v>0.1957423646546245</v>
      </c>
      <c r="N490" s="65">
        <f t="shared" si="468"/>
        <v>0.19746382474752719</v>
      </c>
      <c r="O490" s="65">
        <f t="shared" si="468"/>
        <v>0.19915140972570233</v>
      </c>
      <c r="P490" s="65">
        <f t="shared" si="468"/>
        <v>0.20068765306783248</v>
      </c>
      <c r="Q490" s="65">
        <f t="shared" si="468"/>
        <v>0.20199324114338427</v>
      </c>
      <c r="R490" s="65">
        <f t="shared" si="468"/>
        <v>0.20303878337432443</v>
      </c>
      <c r="S490" s="65">
        <f t="shared" si="468"/>
        <v>0.20383657850100745</v>
      </c>
      <c r="T490" s="65">
        <f t="shared" si="468"/>
        <v>0.20442302190238115</v>
      </c>
      <c r="U490" s="65">
        <f t="shared" si="468"/>
        <v>0.20484232045048348</v>
      </c>
      <c r="V490" s="65">
        <f t="shared" si="468"/>
        <v>0.20513618681084017</v>
      </c>
      <c r="W490" s="65">
        <f t="shared" si="468"/>
        <v>0.20533926652828474</v>
      </c>
      <c r="X490" s="65">
        <f t="shared" si="468"/>
        <v>0.20547824409878254</v>
      </c>
      <c r="Y490" s="65">
        <f t="shared" si="468"/>
        <v>0.20557271857204581</v>
      </c>
      <c r="Z490" s="65">
        <f t="shared" si="468"/>
        <v>0.20563664839684731</v>
      </c>
      <c r="AA490" s="65">
        <f t="shared" si="468"/>
        <v>0.20567977552340247</v>
      </c>
      <c r="AB490" s="65">
        <f t="shared" si="468"/>
        <v>0.20570880849076204</v>
      </c>
      <c r="AC490" s="65">
        <f t="shared" si="468"/>
        <v>0.20572832589196244</v>
      </c>
    </row>
    <row r="491" spans="1:29" x14ac:dyDescent="0.25">
      <c r="A491" s="30" t="str">
        <f t="shared" si="467"/>
        <v>Residual value (vehicle)</v>
      </c>
      <c r="B491" s="66">
        <f>((1+B463)^B470)*B463/(((1+B463)^B470)-1)*(B460)/B475</f>
        <v>-4.6756214725077565E-2</v>
      </c>
      <c r="C491" s="66">
        <f t="shared" ref="C491:AC491" si="469">((1+C463)^C470)*C463/(((1+C463)^C470)-1)*(C460)/C475</f>
        <v>-4.666518490801231E-2</v>
      </c>
      <c r="D491" s="66">
        <f t="shared" si="469"/>
        <v>-4.6535935617066711E-2</v>
      </c>
      <c r="E491" s="66">
        <f t="shared" si="469"/>
        <v>-4.6353254164378965E-2</v>
      </c>
      <c r="F491" s="66">
        <f t="shared" si="469"/>
        <v>-4.6096772700651795E-2</v>
      </c>
      <c r="G491" s="66">
        <f t="shared" si="469"/>
        <v>-4.5740170360416589E-2</v>
      </c>
      <c r="H491" s="66">
        <f t="shared" si="469"/>
        <v>-4.5251281892474196E-2</v>
      </c>
      <c r="I491" s="66">
        <f t="shared" si="469"/>
        <v>-4.4594268178729898E-2</v>
      </c>
      <c r="J491" s="66">
        <f t="shared" si="469"/>
        <v>-4.3735424329151194E-2</v>
      </c>
      <c r="K491" s="66">
        <f t="shared" si="469"/>
        <v>-4.2653855664058618E-2</v>
      </c>
      <c r="L491" s="66">
        <f t="shared" si="469"/>
        <v>-4.1356004312380908E-2</v>
      </c>
      <c r="M491" s="66">
        <f t="shared" si="469"/>
        <v>-3.9888428197077622E-2</v>
      </c>
      <c r="N491" s="66">
        <f t="shared" si="469"/>
        <v>-3.8339114113465224E-2</v>
      </c>
      <c r="O491" s="66">
        <f t="shared" si="469"/>
        <v>-3.6820287633107608E-2</v>
      </c>
      <c r="P491" s="66">
        <f t="shared" si="469"/>
        <v>-3.5437668625190467E-2</v>
      </c>
      <c r="Q491" s="66">
        <f t="shared" si="469"/>
        <v>-3.4262639357193855E-2</v>
      </c>
      <c r="R491" s="66">
        <f t="shared" si="469"/>
        <v>-3.3321651349347711E-2</v>
      </c>
      <c r="S491" s="66">
        <f t="shared" si="469"/>
        <v>-3.2603635735332981E-2</v>
      </c>
      <c r="T491" s="66">
        <f t="shared" si="469"/>
        <v>-3.2075836674096664E-2</v>
      </c>
      <c r="U491" s="66">
        <f t="shared" si="469"/>
        <v>-3.1698467980804564E-2</v>
      </c>
      <c r="V491" s="66">
        <f t="shared" si="469"/>
        <v>-3.1433988256483539E-2</v>
      </c>
      <c r="W491" s="66">
        <f t="shared" si="469"/>
        <v>-3.1251216510783407E-2</v>
      </c>
      <c r="X491" s="66">
        <f t="shared" si="469"/>
        <v>-3.1126136697335372E-2</v>
      </c>
      <c r="Y491" s="66">
        <f t="shared" si="469"/>
        <v>-3.1041109671398458E-2</v>
      </c>
      <c r="Z491" s="66">
        <f t="shared" si="469"/>
        <v>-3.09835728290771E-2</v>
      </c>
      <c r="AA491" s="66">
        <f t="shared" si="469"/>
        <v>-3.0944758415177475E-2</v>
      </c>
      <c r="AB491" s="66">
        <f t="shared" si="469"/>
        <v>-3.0918628744553887E-2</v>
      </c>
      <c r="AC491" s="66">
        <f t="shared" si="469"/>
        <v>-3.0901063083473467E-2</v>
      </c>
    </row>
    <row r="492" spans="1:29" x14ac:dyDescent="0.25">
      <c r="A492" s="30" t="str">
        <f t="shared" si="467"/>
        <v>Capex costumization</v>
      </c>
      <c r="B492" s="66">
        <f>((1+B463)^B471)*B463/(((1+B463)^B471)-1)*(B461)/B475</f>
        <v>5.2837539307926999E-2</v>
      </c>
      <c r="C492" s="66">
        <f t="shared" ref="C492:AC492" si="470">((1+C463)^C471)*C463/(((1+C463)^C471)-1)*(C461)/C475</f>
        <v>5.2837539307926999E-2</v>
      </c>
      <c r="D492" s="66">
        <f t="shared" si="470"/>
        <v>5.2837539307926999E-2</v>
      </c>
      <c r="E492" s="66">
        <f t="shared" si="470"/>
        <v>5.2837539307926999E-2</v>
      </c>
      <c r="F492" s="66">
        <f t="shared" si="470"/>
        <v>5.2837539307926999E-2</v>
      </c>
      <c r="G492" s="66">
        <f t="shared" si="470"/>
        <v>5.2837539307926999E-2</v>
      </c>
      <c r="H492" s="66">
        <f t="shared" si="470"/>
        <v>5.2837539307926999E-2</v>
      </c>
      <c r="I492" s="66">
        <f t="shared" si="470"/>
        <v>5.2837539307926999E-2</v>
      </c>
      <c r="J492" s="66">
        <f t="shared" si="470"/>
        <v>5.2837539307926999E-2</v>
      </c>
      <c r="K492" s="66">
        <f t="shared" si="470"/>
        <v>5.2837539307926999E-2</v>
      </c>
      <c r="L492" s="66">
        <f t="shared" si="470"/>
        <v>5.2837539307926999E-2</v>
      </c>
      <c r="M492" s="66">
        <f t="shared" si="470"/>
        <v>5.2837539307926999E-2</v>
      </c>
      <c r="N492" s="66">
        <f t="shared" si="470"/>
        <v>5.2837539307926999E-2</v>
      </c>
      <c r="O492" s="66">
        <f t="shared" si="470"/>
        <v>5.2837539307926999E-2</v>
      </c>
      <c r="P492" s="66">
        <f t="shared" si="470"/>
        <v>5.2837539307926999E-2</v>
      </c>
      <c r="Q492" s="66">
        <f t="shared" si="470"/>
        <v>5.2837539307926999E-2</v>
      </c>
      <c r="R492" s="66">
        <f t="shared" si="470"/>
        <v>5.2837539307926999E-2</v>
      </c>
      <c r="S492" s="66">
        <f t="shared" si="470"/>
        <v>5.2837539307926999E-2</v>
      </c>
      <c r="T492" s="66">
        <f t="shared" si="470"/>
        <v>5.2837539307926999E-2</v>
      </c>
      <c r="U492" s="66">
        <f t="shared" si="470"/>
        <v>5.2837539307926999E-2</v>
      </c>
      <c r="V492" s="66">
        <f t="shared" si="470"/>
        <v>5.2837539307926999E-2</v>
      </c>
      <c r="W492" s="66">
        <f t="shared" si="470"/>
        <v>5.2837539307926999E-2</v>
      </c>
      <c r="X492" s="66">
        <f t="shared" si="470"/>
        <v>5.2837539307926999E-2</v>
      </c>
      <c r="Y492" s="66">
        <f t="shared" si="470"/>
        <v>5.2837539307926999E-2</v>
      </c>
      <c r="Z492" s="66">
        <f t="shared" si="470"/>
        <v>5.2837539307926999E-2</v>
      </c>
      <c r="AA492" s="66">
        <f t="shared" si="470"/>
        <v>5.2837539307926999E-2</v>
      </c>
      <c r="AB492" s="66">
        <f t="shared" si="470"/>
        <v>5.2837539307926999E-2</v>
      </c>
      <c r="AC492" s="66">
        <f t="shared" si="470"/>
        <v>5.2837539307926999E-2</v>
      </c>
    </row>
    <row r="493" spans="1:29" x14ac:dyDescent="0.25">
      <c r="A493" s="30" t="str">
        <f t="shared" si="467"/>
        <v>Residual value (costumization)</v>
      </c>
      <c r="B493" s="66">
        <f>((1+B463)^B471)*B463/(((1+B463)^B471)-1)*(B462)/B475</f>
        <v>-1.320938482698175E-2</v>
      </c>
      <c r="C493" s="66">
        <f t="shared" ref="C493:AC493" si="471">((1+C463)^C471)*C463/(((1+C463)^C471)-1)*(C462)/C475</f>
        <v>-1.320938482698175E-2</v>
      </c>
      <c r="D493" s="66">
        <f t="shared" si="471"/>
        <v>-1.320938482698175E-2</v>
      </c>
      <c r="E493" s="66">
        <f t="shared" si="471"/>
        <v>-1.320938482698175E-2</v>
      </c>
      <c r="F493" s="66">
        <f t="shared" si="471"/>
        <v>-1.320938482698175E-2</v>
      </c>
      <c r="G493" s="66">
        <f t="shared" si="471"/>
        <v>-1.320938482698175E-2</v>
      </c>
      <c r="H493" s="66">
        <f t="shared" si="471"/>
        <v>-1.320938482698175E-2</v>
      </c>
      <c r="I493" s="66">
        <f t="shared" si="471"/>
        <v>-1.320938482698175E-2</v>
      </c>
      <c r="J493" s="66">
        <f t="shared" si="471"/>
        <v>-1.320938482698175E-2</v>
      </c>
      <c r="K493" s="66">
        <f t="shared" si="471"/>
        <v>-1.320938482698175E-2</v>
      </c>
      <c r="L493" s="66">
        <f t="shared" si="471"/>
        <v>-1.320938482698175E-2</v>
      </c>
      <c r="M493" s="66">
        <f t="shared" si="471"/>
        <v>-1.320938482698175E-2</v>
      </c>
      <c r="N493" s="66">
        <f t="shared" si="471"/>
        <v>-1.320938482698175E-2</v>
      </c>
      <c r="O493" s="66">
        <f t="shared" si="471"/>
        <v>-1.320938482698175E-2</v>
      </c>
      <c r="P493" s="66">
        <f t="shared" si="471"/>
        <v>-1.320938482698175E-2</v>
      </c>
      <c r="Q493" s="66">
        <f t="shared" si="471"/>
        <v>-1.320938482698175E-2</v>
      </c>
      <c r="R493" s="66">
        <f t="shared" si="471"/>
        <v>-1.320938482698175E-2</v>
      </c>
      <c r="S493" s="66">
        <f t="shared" si="471"/>
        <v>-1.320938482698175E-2</v>
      </c>
      <c r="T493" s="66">
        <f t="shared" si="471"/>
        <v>-1.320938482698175E-2</v>
      </c>
      <c r="U493" s="66">
        <f t="shared" si="471"/>
        <v>-1.320938482698175E-2</v>
      </c>
      <c r="V493" s="66">
        <f t="shared" si="471"/>
        <v>-1.320938482698175E-2</v>
      </c>
      <c r="W493" s="66">
        <f t="shared" si="471"/>
        <v>-1.320938482698175E-2</v>
      </c>
      <c r="X493" s="66">
        <f t="shared" si="471"/>
        <v>-1.320938482698175E-2</v>
      </c>
      <c r="Y493" s="66">
        <f t="shared" si="471"/>
        <v>-1.320938482698175E-2</v>
      </c>
      <c r="Z493" s="66">
        <f t="shared" si="471"/>
        <v>-1.320938482698175E-2</v>
      </c>
      <c r="AA493" s="66">
        <f t="shared" si="471"/>
        <v>-1.320938482698175E-2</v>
      </c>
      <c r="AB493" s="66">
        <f t="shared" si="471"/>
        <v>-1.320938482698175E-2</v>
      </c>
      <c r="AC493" s="66">
        <f t="shared" si="471"/>
        <v>-1.320938482698175E-2</v>
      </c>
    </row>
    <row r="494" spans="1:29" x14ac:dyDescent="0.25">
      <c r="A494" s="30" t="str">
        <f t="shared" si="467"/>
        <v>Opex fix (admin, crew, insurance)</v>
      </c>
      <c r="B494" s="66">
        <f>B464/B475</f>
        <v>0.77777777777777779</v>
      </c>
      <c r="C494" s="66">
        <f t="shared" ref="C494:AC494" si="472">C464/C475</f>
        <v>0.77777777777777779</v>
      </c>
      <c r="D494" s="66">
        <f t="shared" si="472"/>
        <v>0.77777777777777779</v>
      </c>
      <c r="E494" s="66">
        <f t="shared" si="472"/>
        <v>0.77777777777777779</v>
      </c>
      <c r="F494" s="66">
        <f t="shared" si="472"/>
        <v>0.77777777777777779</v>
      </c>
      <c r="G494" s="66">
        <f t="shared" si="472"/>
        <v>0.77777777777777779</v>
      </c>
      <c r="H494" s="66">
        <f t="shared" si="472"/>
        <v>0.77777777777777779</v>
      </c>
      <c r="I494" s="66">
        <f t="shared" si="472"/>
        <v>0.77777777777777779</v>
      </c>
      <c r="J494" s="66">
        <f t="shared" si="472"/>
        <v>0.77777777777777779</v>
      </c>
      <c r="K494" s="66">
        <f t="shared" si="472"/>
        <v>0.77777777777777779</v>
      </c>
      <c r="L494" s="66">
        <f t="shared" si="472"/>
        <v>0.77777777777777779</v>
      </c>
      <c r="M494" s="66">
        <f t="shared" si="472"/>
        <v>0.77777777777777779</v>
      </c>
      <c r="N494" s="66">
        <f t="shared" si="472"/>
        <v>0.77777777777777779</v>
      </c>
      <c r="O494" s="66">
        <f t="shared" si="472"/>
        <v>0.77777777777777779</v>
      </c>
      <c r="P494" s="66">
        <f t="shared" si="472"/>
        <v>0.77777777777777779</v>
      </c>
      <c r="Q494" s="66">
        <f t="shared" si="472"/>
        <v>0.77777777777777779</v>
      </c>
      <c r="R494" s="66">
        <f t="shared" si="472"/>
        <v>0.77777777777777779</v>
      </c>
      <c r="S494" s="66">
        <f t="shared" si="472"/>
        <v>0.77777777777777779</v>
      </c>
      <c r="T494" s="66">
        <f t="shared" si="472"/>
        <v>0.77777777777777779</v>
      </c>
      <c r="U494" s="66">
        <f t="shared" si="472"/>
        <v>0.77777777777777779</v>
      </c>
      <c r="V494" s="66">
        <f t="shared" si="472"/>
        <v>0.77777777777777779</v>
      </c>
      <c r="W494" s="66">
        <f t="shared" si="472"/>
        <v>0.77777777777777779</v>
      </c>
      <c r="X494" s="66">
        <f t="shared" si="472"/>
        <v>0.77777777777777779</v>
      </c>
      <c r="Y494" s="66">
        <f t="shared" si="472"/>
        <v>0.77777777777777779</v>
      </c>
      <c r="Z494" s="66">
        <f t="shared" si="472"/>
        <v>0.77777777777777779</v>
      </c>
      <c r="AA494" s="66">
        <f t="shared" si="472"/>
        <v>0.77777777777777779</v>
      </c>
      <c r="AB494" s="66">
        <f t="shared" si="472"/>
        <v>0.77777777777777779</v>
      </c>
      <c r="AC494" s="66">
        <f t="shared" si="472"/>
        <v>0.77777777777777779</v>
      </c>
    </row>
    <row r="495" spans="1:29" x14ac:dyDescent="0.25">
      <c r="A495" s="30" t="str">
        <f t="shared" si="467"/>
        <v>Opex maintenance &amp; repair</v>
      </c>
      <c r="B495" s="66">
        <f>B465/B475</f>
        <v>0.22222222222222221</v>
      </c>
      <c r="C495" s="66">
        <f t="shared" ref="C495:AC495" si="473">C465/C475</f>
        <v>0.22222222222222221</v>
      </c>
      <c r="D495" s="66">
        <f t="shared" si="473"/>
        <v>0.22222222222222221</v>
      </c>
      <c r="E495" s="66">
        <f t="shared" si="473"/>
        <v>0.22222222222222221</v>
      </c>
      <c r="F495" s="66">
        <f t="shared" si="473"/>
        <v>0.22222222222222221</v>
      </c>
      <c r="G495" s="66">
        <f t="shared" si="473"/>
        <v>0.22222222222222221</v>
      </c>
      <c r="H495" s="66">
        <f t="shared" si="473"/>
        <v>0.22222222222222221</v>
      </c>
      <c r="I495" s="66">
        <f t="shared" si="473"/>
        <v>0.22222222222222221</v>
      </c>
      <c r="J495" s="66">
        <f t="shared" si="473"/>
        <v>0.22222222222222221</v>
      </c>
      <c r="K495" s="66">
        <f t="shared" si="473"/>
        <v>0.22222222222222221</v>
      </c>
      <c r="L495" s="66">
        <f t="shared" si="473"/>
        <v>0.22222222222222221</v>
      </c>
      <c r="M495" s="66">
        <f t="shared" si="473"/>
        <v>0.22222222222222221</v>
      </c>
      <c r="N495" s="66">
        <f t="shared" si="473"/>
        <v>0.22222222222222221</v>
      </c>
      <c r="O495" s="66">
        <f t="shared" si="473"/>
        <v>0.22222222222222221</v>
      </c>
      <c r="P495" s="66">
        <f t="shared" si="473"/>
        <v>0.22222222222222221</v>
      </c>
      <c r="Q495" s="66">
        <f t="shared" si="473"/>
        <v>0.22222222222222221</v>
      </c>
      <c r="R495" s="66">
        <f t="shared" si="473"/>
        <v>0.22222222222222221</v>
      </c>
      <c r="S495" s="66">
        <f t="shared" si="473"/>
        <v>0.22222222222222221</v>
      </c>
      <c r="T495" s="66">
        <f t="shared" si="473"/>
        <v>0.22222222222222221</v>
      </c>
      <c r="U495" s="66">
        <f t="shared" si="473"/>
        <v>0.22222222222222221</v>
      </c>
      <c r="V495" s="66">
        <f t="shared" si="473"/>
        <v>0.22222222222222221</v>
      </c>
      <c r="W495" s="66">
        <f t="shared" si="473"/>
        <v>0.22222222222222221</v>
      </c>
      <c r="X495" s="66">
        <f t="shared" si="473"/>
        <v>0.22222222222222221</v>
      </c>
      <c r="Y495" s="66">
        <f t="shared" si="473"/>
        <v>0.22222222222222221</v>
      </c>
      <c r="Z495" s="66">
        <f t="shared" si="473"/>
        <v>0.22222222222222221</v>
      </c>
      <c r="AA495" s="66">
        <f t="shared" si="473"/>
        <v>0.22222222222222221</v>
      </c>
      <c r="AB495" s="66">
        <f t="shared" si="473"/>
        <v>0.22222222222222221</v>
      </c>
      <c r="AC495" s="66">
        <f t="shared" si="473"/>
        <v>0.22222222222222221</v>
      </c>
    </row>
    <row r="496" spans="1:29" x14ac:dyDescent="0.25">
      <c r="A496" s="30" t="str">
        <f t="shared" si="467"/>
        <v>Opex var (mode-fees)</v>
      </c>
      <c r="B496" s="66">
        <f>B466*B475/B475</f>
        <v>0.11</v>
      </c>
      <c r="C496" s="66">
        <f t="shared" ref="C496:AC496" si="474">C466*C475/C475</f>
        <v>0.11</v>
      </c>
      <c r="D496" s="66">
        <f t="shared" si="474"/>
        <v>0.11</v>
      </c>
      <c r="E496" s="66">
        <f t="shared" si="474"/>
        <v>0.11</v>
      </c>
      <c r="F496" s="66">
        <f t="shared" si="474"/>
        <v>0.11</v>
      </c>
      <c r="G496" s="66">
        <f t="shared" si="474"/>
        <v>0.11</v>
      </c>
      <c r="H496" s="66">
        <f t="shared" si="474"/>
        <v>0.11</v>
      </c>
      <c r="I496" s="66">
        <f t="shared" si="474"/>
        <v>0.11</v>
      </c>
      <c r="J496" s="66">
        <f t="shared" si="474"/>
        <v>0.11</v>
      </c>
      <c r="K496" s="66">
        <f t="shared" si="474"/>
        <v>0.11</v>
      </c>
      <c r="L496" s="66">
        <f t="shared" si="474"/>
        <v>0.11</v>
      </c>
      <c r="M496" s="66">
        <f t="shared" si="474"/>
        <v>0.11</v>
      </c>
      <c r="N496" s="66">
        <f t="shared" si="474"/>
        <v>0.11</v>
      </c>
      <c r="O496" s="66">
        <f t="shared" si="474"/>
        <v>0.11</v>
      </c>
      <c r="P496" s="66">
        <f t="shared" si="474"/>
        <v>0.11</v>
      </c>
      <c r="Q496" s="66">
        <f t="shared" si="474"/>
        <v>0.11</v>
      </c>
      <c r="R496" s="66">
        <f t="shared" si="474"/>
        <v>0.11</v>
      </c>
      <c r="S496" s="66">
        <f t="shared" si="474"/>
        <v>0.11</v>
      </c>
      <c r="T496" s="66">
        <f t="shared" si="474"/>
        <v>0.11</v>
      </c>
      <c r="U496" s="66">
        <f t="shared" si="474"/>
        <v>0.11</v>
      </c>
      <c r="V496" s="66">
        <f t="shared" si="474"/>
        <v>0.11</v>
      </c>
      <c r="W496" s="66">
        <f t="shared" si="474"/>
        <v>0.11</v>
      </c>
      <c r="X496" s="66">
        <f t="shared" si="474"/>
        <v>0.11</v>
      </c>
      <c r="Y496" s="66">
        <f t="shared" si="474"/>
        <v>0.11</v>
      </c>
      <c r="Z496" s="66">
        <f t="shared" si="474"/>
        <v>0.11</v>
      </c>
      <c r="AA496" s="66">
        <f t="shared" si="474"/>
        <v>0.11</v>
      </c>
      <c r="AB496" s="66">
        <f t="shared" si="474"/>
        <v>0.11</v>
      </c>
      <c r="AC496" s="66">
        <f t="shared" si="474"/>
        <v>0.11</v>
      </c>
    </row>
    <row r="497" spans="1:29" x14ac:dyDescent="0.25">
      <c r="A497" s="30" t="str">
        <f t="shared" si="467"/>
        <v>Fuel Cost</v>
      </c>
      <c r="B497" s="66">
        <f>B467*B468*B475/B475</f>
        <v>0.16767611518064032</v>
      </c>
      <c r="C497" s="66">
        <f t="shared" ref="C497:AC497" si="475">C467*C468*C475/C475</f>
        <v>0.15595974879762217</v>
      </c>
      <c r="D497" s="66">
        <f t="shared" si="475"/>
        <v>0.14420669056671678</v>
      </c>
      <c r="E497" s="66">
        <f t="shared" si="475"/>
        <v>0.13240945932241244</v>
      </c>
      <c r="F497" s="66">
        <f t="shared" si="475"/>
        <v>0.12056140798727702</v>
      </c>
      <c r="G497" s="66">
        <f t="shared" si="475"/>
        <v>0.10865898156430125</v>
      </c>
      <c r="H497" s="66">
        <f t="shared" si="475"/>
        <v>9.6705525311706578E-2</v>
      </c>
      <c r="I497" s="66">
        <f t="shared" si="475"/>
        <v>8.4716931008391796E-2</v>
      </c>
      <c r="J497" s="66">
        <f t="shared" si="475"/>
        <v>8.2219284062083314E-2</v>
      </c>
      <c r="K497" s="66">
        <f t="shared" si="475"/>
        <v>7.9555093556357315E-2</v>
      </c>
      <c r="L497" s="66">
        <f t="shared" si="475"/>
        <v>7.674257635235443E-2</v>
      </c>
      <c r="M497" s="66">
        <f t="shared" si="475"/>
        <v>7.3833776798891776E-2</v>
      </c>
      <c r="N497" s="66">
        <f t="shared" si="475"/>
        <v>7.0911887166480211E-2</v>
      </c>
      <c r="O497" s="66">
        <f t="shared" si="475"/>
        <v>6.8073290115542556E-2</v>
      </c>
      <c r="P497" s="66">
        <f t="shared" si="475"/>
        <v>6.5400716079575413E-2</v>
      </c>
      <c r="Q497" s="66">
        <f t="shared" si="475"/>
        <v>6.2942146963440651E-2</v>
      </c>
      <c r="R497" s="66">
        <f t="shared" si="475"/>
        <v>6.0705986773421594E-2</v>
      </c>
      <c r="S497" s="66">
        <f t="shared" si="475"/>
        <v>5.8670793998217577E-2</v>
      </c>
      <c r="T497" s="66">
        <f t="shared" si="475"/>
        <v>5.6800270590045797E-2</v>
      </c>
      <c r="U497" s="66">
        <f t="shared" si="475"/>
        <v>5.5055632348270898E-2</v>
      </c>
      <c r="V497" s="66">
        <f t="shared" si="475"/>
        <v>5.3402632149272794E-2</v>
      </c>
      <c r="W497" s="66">
        <f t="shared" si="475"/>
        <v>5.1814093627069055E-2</v>
      </c>
      <c r="X497" s="66">
        <f t="shared" si="475"/>
        <v>5.0269833636565009E-2</v>
      </c>
      <c r="Y497" s="66">
        <f t="shared" si="475"/>
        <v>4.8755491551762481E-2</v>
      </c>
      <c r="Z497" s="66">
        <f t="shared" si="475"/>
        <v>4.7261134858958706E-2</v>
      </c>
      <c r="AA497" s="66">
        <f t="shared" si="475"/>
        <v>4.5780022751512758E-2</v>
      </c>
      <c r="AB497" s="66">
        <f t="shared" si="475"/>
        <v>4.4307638822450625E-2</v>
      </c>
      <c r="AC497" s="66">
        <f t="shared" si="475"/>
        <v>4.2840983504346043E-2</v>
      </c>
    </row>
    <row r="498" spans="1:29" ht="15.75" thickBot="1" x14ac:dyDescent="0.3">
      <c r="A498" s="59" t="str">
        <f>A449</f>
        <v>Emission Cost</v>
      </c>
      <c r="B498" s="66">
        <f>B469</f>
        <v>0</v>
      </c>
      <c r="C498" s="66">
        <f t="shared" ref="C498:AC498" si="476">C469</f>
        <v>0</v>
      </c>
      <c r="D498" s="66">
        <f t="shared" si="476"/>
        <v>0</v>
      </c>
      <c r="E498" s="66">
        <f t="shared" si="476"/>
        <v>0</v>
      </c>
      <c r="F498" s="66">
        <f t="shared" si="476"/>
        <v>0</v>
      </c>
      <c r="G498" s="66">
        <f t="shared" si="476"/>
        <v>0</v>
      </c>
      <c r="H498" s="66">
        <f t="shared" si="476"/>
        <v>0</v>
      </c>
      <c r="I498" s="66">
        <f t="shared" si="476"/>
        <v>0</v>
      </c>
      <c r="J498" s="66">
        <f t="shared" si="476"/>
        <v>0</v>
      </c>
      <c r="K498" s="66">
        <f t="shared" si="476"/>
        <v>0</v>
      </c>
      <c r="L498" s="66">
        <f t="shared" si="476"/>
        <v>0</v>
      </c>
      <c r="M498" s="66">
        <f t="shared" si="476"/>
        <v>0</v>
      </c>
      <c r="N498" s="66">
        <f t="shared" si="476"/>
        <v>0</v>
      </c>
      <c r="O498" s="66">
        <f t="shared" si="476"/>
        <v>0</v>
      </c>
      <c r="P498" s="66">
        <f t="shared" si="476"/>
        <v>0</v>
      </c>
      <c r="Q498" s="66">
        <f t="shared" si="476"/>
        <v>0</v>
      </c>
      <c r="R498" s="66">
        <f t="shared" si="476"/>
        <v>0</v>
      </c>
      <c r="S498" s="66">
        <f t="shared" si="476"/>
        <v>0</v>
      </c>
      <c r="T498" s="66">
        <f t="shared" si="476"/>
        <v>0</v>
      </c>
      <c r="U498" s="66">
        <f t="shared" si="476"/>
        <v>0</v>
      </c>
      <c r="V498" s="66">
        <f t="shared" si="476"/>
        <v>0</v>
      </c>
      <c r="W498" s="66">
        <f t="shared" si="476"/>
        <v>0</v>
      </c>
      <c r="X498" s="66">
        <f t="shared" si="476"/>
        <v>0</v>
      </c>
      <c r="Y498" s="66">
        <f t="shared" si="476"/>
        <v>0</v>
      </c>
      <c r="Z498" s="66">
        <f t="shared" si="476"/>
        <v>0</v>
      </c>
      <c r="AA498" s="66">
        <f t="shared" si="476"/>
        <v>0</v>
      </c>
      <c r="AB498" s="66">
        <f t="shared" si="476"/>
        <v>0</v>
      </c>
      <c r="AC498" s="66">
        <f t="shared" si="476"/>
        <v>0</v>
      </c>
    </row>
    <row r="499" spans="1:29" ht="15.75" thickBot="1" x14ac:dyDescent="0.3">
      <c r="A499" s="31" t="s">
        <v>63</v>
      </c>
      <c r="B499" s="76">
        <f>B490+B491+B492-B493+B494+B495+B496+B497</f>
        <v>1.4850783153250962</v>
      </c>
      <c r="C499" s="67">
        <f t="shared" ref="C499:AC499" si="477">C490+C491+C492-C493+C494+C495+C496+C497</f>
        <v>1.4735541230003268</v>
      </c>
      <c r="D499" s="67">
        <f t="shared" si="477"/>
        <v>1.4620739243836398</v>
      </c>
      <c r="E499" s="67">
        <f t="shared" si="477"/>
        <v>1.4506623539838985</v>
      </c>
      <c r="F499" s="67">
        <f t="shared" si="477"/>
        <v>1.4393557635166316</v>
      </c>
      <c r="G499" s="67">
        <f t="shared" si="477"/>
        <v>1.4282061642563748</v>
      </c>
      <c r="H499" s="67">
        <f t="shared" si="477"/>
        <v>1.4172848058805474</v>
      </c>
      <c r="I499" s="67">
        <f t="shared" si="477"/>
        <v>1.4066832405284706</v>
      </c>
      <c r="J499" s="67">
        <f t="shared" si="477"/>
        <v>1.4059987083757171</v>
      </c>
      <c r="K499" s="67">
        <f t="shared" si="477"/>
        <v>1.4056178294962975</v>
      </c>
      <c r="L499" s="67">
        <f t="shared" si="477"/>
        <v>1.4055452207013921</v>
      </c>
      <c r="M499" s="67">
        <f t="shared" si="477"/>
        <v>1.4057346373913475</v>
      </c>
      <c r="N499" s="67">
        <f t="shared" si="477"/>
        <v>1.4060835219354511</v>
      </c>
      <c r="O499" s="67">
        <f t="shared" si="477"/>
        <v>1.406451336343046</v>
      </c>
      <c r="P499" s="67">
        <f t="shared" si="477"/>
        <v>1.4066976246571263</v>
      </c>
      <c r="Q499" s="67">
        <f t="shared" si="477"/>
        <v>1.4067196728845397</v>
      </c>
      <c r="R499" s="67">
        <f t="shared" si="477"/>
        <v>1.4064700429333075</v>
      </c>
      <c r="S499" s="67">
        <f t="shared" si="477"/>
        <v>1.4059506608988011</v>
      </c>
      <c r="T499" s="67">
        <f t="shared" si="477"/>
        <v>1.4051943799532391</v>
      </c>
      <c r="U499" s="67">
        <f t="shared" si="477"/>
        <v>1.4042464089528586</v>
      </c>
      <c r="V499" s="67">
        <f t="shared" si="477"/>
        <v>1.4031517548385386</v>
      </c>
      <c r="W499" s="67">
        <f t="shared" si="477"/>
        <v>1.4019490677794793</v>
      </c>
      <c r="X499" s="67">
        <f t="shared" si="477"/>
        <v>1.4006688651729209</v>
      </c>
      <c r="Y499" s="67">
        <f t="shared" si="477"/>
        <v>1.3993340245873189</v>
      </c>
      <c r="Z499" s="67">
        <f t="shared" si="477"/>
        <v>1.3979611345616378</v>
      </c>
      <c r="AA499" s="67">
        <f t="shared" si="477"/>
        <v>1.3965619639946467</v>
      </c>
      <c r="AB499" s="67">
        <f t="shared" si="477"/>
        <v>1.3951447427035677</v>
      </c>
      <c r="AC499" s="67">
        <f t="shared" si="477"/>
        <v>1.393715170447744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78">A478</f>
        <v>Capex vehicle</v>
      </c>
      <c r="B502" s="65">
        <f>((1+B463)^B470)*B463/(((1+B463)^B470)-1)*(B459)/B475/(B472)</f>
        <v>7.5244596293849832E-3</v>
      </c>
      <c r="C502" s="65">
        <f t="shared" ref="C502:AC502" si="479">((1+C463)^C470)*C463/(((1+C463)^C470)-1)*(C459)/C475/(C472)</f>
        <v>7.5285053990323285E-3</v>
      </c>
      <c r="D502" s="65">
        <f t="shared" si="479"/>
        <v>7.534249811963243E-3</v>
      </c>
      <c r="E502" s="65">
        <f t="shared" si="479"/>
        <v>7.542368987638254E-3</v>
      </c>
      <c r="F502" s="65">
        <f t="shared" si="479"/>
        <v>7.5537681638039068E-3</v>
      </c>
      <c r="G502" s="65">
        <f t="shared" si="479"/>
        <v>7.5696171567032474E-3</v>
      </c>
      <c r="H502" s="65">
        <f t="shared" si="479"/>
        <v>7.5913455330562443E-3</v>
      </c>
      <c r="I502" s="65">
        <f t="shared" si="479"/>
        <v>7.6205461425559893E-3</v>
      </c>
      <c r="J502" s="65">
        <f t="shared" si="479"/>
        <v>7.6587169803150439E-3</v>
      </c>
      <c r="K502" s="65">
        <f t="shared" si="479"/>
        <v>7.7067866987636036E-3</v>
      </c>
      <c r="L502" s="65">
        <f t="shared" si="479"/>
        <v>7.764468981060391E-3</v>
      </c>
      <c r="M502" s="65">
        <f t="shared" si="479"/>
        <v>7.8296945861849807E-3</v>
      </c>
      <c r="N502" s="65">
        <f t="shared" si="479"/>
        <v>7.8985529899010878E-3</v>
      </c>
      <c r="O502" s="65">
        <f t="shared" si="479"/>
        <v>7.9660563890280936E-3</v>
      </c>
      <c r="P502" s="65">
        <f t="shared" si="479"/>
        <v>8.0275061227132998E-3</v>
      </c>
      <c r="Q502" s="65">
        <f t="shared" si="479"/>
        <v>8.0797296457353705E-3</v>
      </c>
      <c r="R502" s="65">
        <f t="shared" si="479"/>
        <v>8.1215513349729776E-3</v>
      </c>
      <c r="S502" s="65">
        <f t="shared" si="479"/>
        <v>8.1534631400402985E-3</v>
      </c>
      <c r="T502" s="65">
        <f t="shared" si="479"/>
        <v>8.1769208760952457E-3</v>
      </c>
      <c r="U502" s="65">
        <f t="shared" si="479"/>
        <v>8.1936928180193387E-3</v>
      </c>
      <c r="V502" s="65">
        <f t="shared" si="479"/>
        <v>8.2054474724336073E-3</v>
      </c>
      <c r="W502" s="65">
        <f t="shared" si="479"/>
        <v>8.2135706611313891E-3</v>
      </c>
      <c r="X502" s="65">
        <f t="shared" si="479"/>
        <v>8.2191297639513019E-3</v>
      </c>
      <c r="Y502" s="65">
        <f t="shared" si="479"/>
        <v>8.2229087428818334E-3</v>
      </c>
      <c r="Z502" s="65">
        <f t="shared" si="479"/>
        <v>8.2254659358738918E-3</v>
      </c>
      <c r="AA502" s="65">
        <f t="shared" si="479"/>
        <v>8.2271910209360984E-3</v>
      </c>
      <c r="AB502" s="65">
        <f t="shared" si="479"/>
        <v>8.2283523396304813E-3</v>
      </c>
      <c r="AC502" s="65">
        <f t="shared" si="479"/>
        <v>8.2291330356784979E-3</v>
      </c>
    </row>
    <row r="503" spans="1:29" x14ac:dyDescent="0.25">
      <c r="A503" s="30" t="str">
        <f t="shared" si="478"/>
        <v>Residual value (vehicle)</v>
      </c>
      <c r="B503" s="68">
        <f>((1+B463)^B470)*B463/(((1+B463)^B470)-1)*(B460)/B475/(B472)</f>
        <v>-1.8702485890031025E-3</v>
      </c>
      <c r="C503" s="68">
        <f t="shared" ref="C503:AC503" si="480">((1+C463)^C470)*C463/(((1+C463)^C470)-1)*(C460)/C475/(C472)</f>
        <v>-1.8666073963204924E-3</v>
      </c>
      <c r="D503" s="68">
        <f t="shared" si="480"/>
        <v>-1.8614374246826684E-3</v>
      </c>
      <c r="E503" s="68">
        <f t="shared" si="480"/>
        <v>-1.8541301665751587E-3</v>
      </c>
      <c r="F503" s="68">
        <f t="shared" si="480"/>
        <v>-1.8438709080260717E-3</v>
      </c>
      <c r="G503" s="68">
        <f t="shared" si="480"/>
        <v>-1.8296068144166636E-3</v>
      </c>
      <c r="H503" s="68">
        <f t="shared" si="480"/>
        <v>-1.8100512756989678E-3</v>
      </c>
      <c r="I503" s="68">
        <f t="shared" si="480"/>
        <v>-1.783770727149196E-3</v>
      </c>
      <c r="J503" s="68">
        <f t="shared" si="480"/>
        <v>-1.7494169731660477E-3</v>
      </c>
      <c r="K503" s="68">
        <f t="shared" si="480"/>
        <v>-1.7061542265623447E-3</v>
      </c>
      <c r="L503" s="68">
        <f t="shared" si="480"/>
        <v>-1.6542401724952364E-3</v>
      </c>
      <c r="M503" s="68">
        <f t="shared" si="480"/>
        <v>-1.5955371278831049E-3</v>
      </c>
      <c r="N503" s="68">
        <f t="shared" si="480"/>
        <v>-1.5335645645386089E-3</v>
      </c>
      <c r="O503" s="68">
        <f t="shared" si="480"/>
        <v>-1.4728115053243044E-3</v>
      </c>
      <c r="P503" s="68">
        <f t="shared" si="480"/>
        <v>-1.4175067450076188E-3</v>
      </c>
      <c r="Q503" s="68">
        <f t="shared" si="480"/>
        <v>-1.3705055742877542E-3</v>
      </c>
      <c r="R503" s="68">
        <f t="shared" si="480"/>
        <v>-1.3328660539739085E-3</v>
      </c>
      <c r="S503" s="68">
        <f t="shared" si="480"/>
        <v>-1.3041454294133192E-3</v>
      </c>
      <c r="T503" s="68">
        <f t="shared" si="480"/>
        <v>-1.2830334669638665E-3</v>
      </c>
      <c r="U503" s="68">
        <f t="shared" si="480"/>
        <v>-1.2679387192321826E-3</v>
      </c>
      <c r="V503" s="68">
        <f t="shared" si="480"/>
        <v>-1.2573595302593416E-3</v>
      </c>
      <c r="W503" s="68">
        <f t="shared" si="480"/>
        <v>-1.2500486604313363E-3</v>
      </c>
      <c r="X503" s="68">
        <f t="shared" si="480"/>
        <v>-1.2450454678934149E-3</v>
      </c>
      <c r="Y503" s="68">
        <f t="shared" si="480"/>
        <v>-1.2416443868559384E-3</v>
      </c>
      <c r="Z503" s="68">
        <f t="shared" si="480"/>
        <v>-1.239342913163084E-3</v>
      </c>
      <c r="AA503" s="68">
        <f t="shared" si="480"/>
        <v>-1.2377903366070991E-3</v>
      </c>
      <c r="AB503" s="68">
        <f t="shared" si="480"/>
        <v>-1.2367451497821555E-3</v>
      </c>
      <c r="AC503" s="68">
        <f t="shared" si="480"/>
        <v>-1.2360425233389387E-3</v>
      </c>
    </row>
    <row r="504" spans="1:29" x14ac:dyDescent="0.25">
      <c r="A504" s="30" t="str">
        <f t="shared" si="478"/>
        <v>Capex costumization</v>
      </c>
      <c r="B504" s="66">
        <f>((1+B463)^B471)*B463/(((1+B463)^B471)-1)*(B461)/B475/(B472)</f>
        <v>2.1135015723170798E-3</v>
      </c>
      <c r="C504" s="66">
        <f t="shared" ref="C504:AC504" si="481">((1+C463)^C471)*C463/(((1+C463)^C471)-1)*(C461)/C475/(C472)</f>
        <v>2.1135015723170798E-3</v>
      </c>
      <c r="D504" s="66">
        <f t="shared" si="481"/>
        <v>2.1135015723170798E-3</v>
      </c>
      <c r="E504" s="66">
        <f t="shared" si="481"/>
        <v>2.1135015723170798E-3</v>
      </c>
      <c r="F504" s="66">
        <f t="shared" si="481"/>
        <v>2.1135015723170798E-3</v>
      </c>
      <c r="G504" s="66">
        <f t="shared" si="481"/>
        <v>2.1135015723170798E-3</v>
      </c>
      <c r="H504" s="66">
        <f t="shared" si="481"/>
        <v>2.1135015723170798E-3</v>
      </c>
      <c r="I504" s="66">
        <f t="shared" si="481"/>
        <v>2.1135015723170798E-3</v>
      </c>
      <c r="J504" s="66">
        <f t="shared" si="481"/>
        <v>2.1135015723170798E-3</v>
      </c>
      <c r="K504" s="66">
        <f t="shared" si="481"/>
        <v>2.1135015723170798E-3</v>
      </c>
      <c r="L504" s="66">
        <f t="shared" si="481"/>
        <v>2.1135015723170798E-3</v>
      </c>
      <c r="M504" s="66">
        <f t="shared" si="481"/>
        <v>2.1135015723170798E-3</v>
      </c>
      <c r="N504" s="66">
        <f t="shared" si="481"/>
        <v>2.1135015723170798E-3</v>
      </c>
      <c r="O504" s="66">
        <f t="shared" si="481"/>
        <v>2.1135015723170798E-3</v>
      </c>
      <c r="P504" s="66">
        <f t="shared" si="481"/>
        <v>2.1135015723170798E-3</v>
      </c>
      <c r="Q504" s="66">
        <f t="shared" si="481"/>
        <v>2.1135015723170798E-3</v>
      </c>
      <c r="R504" s="66">
        <f t="shared" si="481"/>
        <v>2.1135015723170798E-3</v>
      </c>
      <c r="S504" s="66">
        <f t="shared" si="481"/>
        <v>2.1135015723170798E-3</v>
      </c>
      <c r="T504" s="66">
        <f t="shared" si="481"/>
        <v>2.1135015723170798E-3</v>
      </c>
      <c r="U504" s="66">
        <f t="shared" si="481"/>
        <v>2.1135015723170798E-3</v>
      </c>
      <c r="V504" s="66">
        <f t="shared" si="481"/>
        <v>2.1135015723170798E-3</v>
      </c>
      <c r="W504" s="66">
        <f t="shared" si="481"/>
        <v>2.1135015723170798E-3</v>
      </c>
      <c r="X504" s="66">
        <f t="shared" si="481"/>
        <v>2.1135015723170798E-3</v>
      </c>
      <c r="Y504" s="66">
        <f t="shared" si="481"/>
        <v>2.1135015723170798E-3</v>
      </c>
      <c r="Z504" s="66">
        <f t="shared" si="481"/>
        <v>2.1135015723170798E-3</v>
      </c>
      <c r="AA504" s="66">
        <f t="shared" si="481"/>
        <v>2.1135015723170798E-3</v>
      </c>
      <c r="AB504" s="66">
        <f t="shared" si="481"/>
        <v>2.1135015723170798E-3</v>
      </c>
      <c r="AC504" s="66">
        <f t="shared" si="481"/>
        <v>2.1135015723170798E-3</v>
      </c>
    </row>
    <row r="505" spans="1:29" x14ac:dyDescent="0.25">
      <c r="A505" s="30" t="str">
        <f t="shared" si="478"/>
        <v>Residual value (costumization)</v>
      </c>
      <c r="B505" s="69">
        <f>((1+B463)^B471)*B463/(((1+B463)^B471)-1)*(B462)/B475/(B472)</f>
        <v>-5.2837539307926996E-4</v>
      </c>
      <c r="C505" s="69">
        <f t="shared" ref="C505:AC505" si="482">((1+C463)^C471)*C463/(((1+C463)^C471)-1)*(C462)/C475/(C472)</f>
        <v>-5.2837539307926996E-4</v>
      </c>
      <c r="D505" s="69">
        <f t="shared" si="482"/>
        <v>-5.2837539307926996E-4</v>
      </c>
      <c r="E505" s="69">
        <f t="shared" si="482"/>
        <v>-5.2837539307926996E-4</v>
      </c>
      <c r="F505" s="69">
        <f t="shared" si="482"/>
        <v>-5.2837539307926996E-4</v>
      </c>
      <c r="G505" s="69">
        <f t="shared" si="482"/>
        <v>-5.2837539307926996E-4</v>
      </c>
      <c r="H505" s="69">
        <f t="shared" si="482"/>
        <v>-5.2837539307926996E-4</v>
      </c>
      <c r="I505" s="69">
        <f t="shared" si="482"/>
        <v>-5.2837539307926996E-4</v>
      </c>
      <c r="J505" s="69">
        <f t="shared" si="482"/>
        <v>-5.2837539307926996E-4</v>
      </c>
      <c r="K505" s="69">
        <f t="shared" si="482"/>
        <v>-5.2837539307926996E-4</v>
      </c>
      <c r="L505" s="69">
        <f t="shared" si="482"/>
        <v>-5.2837539307926996E-4</v>
      </c>
      <c r="M505" s="69">
        <f t="shared" si="482"/>
        <v>-5.2837539307926996E-4</v>
      </c>
      <c r="N505" s="69">
        <f t="shared" si="482"/>
        <v>-5.2837539307926996E-4</v>
      </c>
      <c r="O505" s="69">
        <f t="shared" si="482"/>
        <v>-5.2837539307926996E-4</v>
      </c>
      <c r="P505" s="69">
        <f t="shared" si="482"/>
        <v>-5.2837539307926996E-4</v>
      </c>
      <c r="Q505" s="69">
        <f t="shared" si="482"/>
        <v>-5.2837539307926996E-4</v>
      </c>
      <c r="R505" s="69">
        <f t="shared" si="482"/>
        <v>-5.2837539307926996E-4</v>
      </c>
      <c r="S505" s="69">
        <f t="shared" si="482"/>
        <v>-5.2837539307926996E-4</v>
      </c>
      <c r="T505" s="69">
        <f t="shared" si="482"/>
        <v>-5.2837539307926996E-4</v>
      </c>
      <c r="U505" s="69">
        <f t="shared" si="482"/>
        <v>-5.2837539307926996E-4</v>
      </c>
      <c r="V505" s="69">
        <f t="shared" si="482"/>
        <v>-5.2837539307926996E-4</v>
      </c>
      <c r="W505" s="69">
        <f t="shared" si="482"/>
        <v>-5.2837539307926996E-4</v>
      </c>
      <c r="X505" s="69">
        <f t="shared" si="482"/>
        <v>-5.2837539307926996E-4</v>
      </c>
      <c r="Y505" s="69">
        <f t="shared" si="482"/>
        <v>-5.2837539307926996E-4</v>
      </c>
      <c r="Z505" s="69">
        <f t="shared" si="482"/>
        <v>-5.2837539307926996E-4</v>
      </c>
      <c r="AA505" s="69">
        <f t="shared" si="482"/>
        <v>-5.2837539307926996E-4</v>
      </c>
      <c r="AB505" s="69">
        <f t="shared" si="482"/>
        <v>-5.2837539307926996E-4</v>
      </c>
      <c r="AC505" s="69">
        <f t="shared" si="482"/>
        <v>-5.2837539307926996E-4</v>
      </c>
    </row>
    <row r="506" spans="1:29" x14ac:dyDescent="0.25">
      <c r="A506" s="30" t="str">
        <f t="shared" si="478"/>
        <v>Opex fix (admin, crew, insurance)</v>
      </c>
      <c r="B506" s="66">
        <f>B464/B475/(B472)</f>
        <v>3.111111111111111E-2</v>
      </c>
      <c r="C506" s="66">
        <f t="shared" ref="C506:AC506" si="483">C464/C475/(C472)</f>
        <v>3.111111111111111E-2</v>
      </c>
      <c r="D506" s="66">
        <f t="shared" si="483"/>
        <v>3.111111111111111E-2</v>
      </c>
      <c r="E506" s="66">
        <f t="shared" si="483"/>
        <v>3.111111111111111E-2</v>
      </c>
      <c r="F506" s="66">
        <f t="shared" si="483"/>
        <v>3.111111111111111E-2</v>
      </c>
      <c r="G506" s="66">
        <f t="shared" si="483"/>
        <v>3.111111111111111E-2</v>
      </c>
      <c r="H506" s="66">
        <f t="shared" si="483"/>
        <v>3.111111111111111E-2</v>
      </c>
      <c r="I506" s="66">
        <f t="shared" si="483"/>
        <v>3.111111111111111E-2</v>
      </c>
      <c r="J506" s="66">
        <f t="shared" si="483"/>
        <v>3.111111111111111E-2</v>
      </c>
      <c r="K506" s="66">
        <f t="shared" si="483"/>
        <v>3.111111111111111E-2</v>
      </c>
      <c r="L506" s="66">
        <f t="shared" si="483"/>
        <v>3.111111111111111E-2</v>
      </c>
      <c r="M506" s="66">
        <f t="shared" si="483"/>
        <v>3.111111111111111E-2</v>
      </c>
      <c r="N506" s="66">
        <f t="shared" si="483"/>
        <v>3.111111111111111E-2</v>
      </c>
      <c r="O506" s="66">
        <f t="shared" si="483"/>
        <v>3.111111111111111E-2</v>
      </c>
      <c r="P506" s="66">
        <f t="shared" si="483"/>
        <v>3.111111111111111E-2</v>
      </c>
      <c r="Q506" s="66">
        <f t="shared" si="483"/>
        <v>3.111111111111111E-2</v>
      </c>
      <c r="R506" s="66">
        <f t="shared" si="483"/>
        <v>3.111111111111111E-2</v>
      </c>
      <c r="S506" s="66">
        <f t="shared" si="483"/>
        <v>3.111111111111111E-2</v>
      </c>
      <c r="T506" s="66">
        <f t="shared" si="483"/>
        <v>3.111111111111111E-2</v>
      </c>
      <c r="U506" s="66">
        <f t="shared" si="483"/>
        <v>3.111111111111111E-2</v>
      </c>
      <c r="V506" s="66">
        <f t="shared" si="483"/>
        <v>3.111111111111111E-2</v>
      </c>
      <c r="W506" s="66">
        <f t="shared" si="483"/>
        <v>3.111111111111111E-2</v>
      </c>
      <c r="X506" s="66">
        <f t="shared" si="483"/>
        <v>3.111111111111111E-2</v>
      </c>
      <c r="Y506" s="66">
        <f t="shared" si="483"/>
        <v>3.111111111111111E-2</v>
      </c>
      <c r="Z506" s="66">
        <f t="shared" si="483"/>
        <v>3.111111111111111E-2</v>
      </c>
      <c r="AA506" s="66">
        <f t="shared" si="483"/>
        <v>3.111111111111111E-2</v>
      </c>
      <c r="AB506" s="66">
        <f t="shared" si="483"/>
        <v>3.111111111111111E-2</v>
      </c>
      <c r="AC506" s="66">
        <f t="shared" si="483"/>
        <v>3.111111111111111E-2</v>
      </c>
    </row>
    <row r="507" spans="1:29" x14ac:dyDescent="0.25">
      <c r="A507" s="30" t="str">
        <f t="shared" si="478"/>
        <v>Opex maintenance &amp; repair</v>
      </c>
      <c r="B507" s="66">
        <f>B465/B475/(B472)</f>
        <v>8.8888888888888889E-3</v>
      </c>
      <c r="C507" s="66">
        <f t="shared" ref="C507:AC507" si="484">C465/C475/(C472)</f>
        <v>8.8888888888888889E-3</v>
      </c>
      <c r="D507" s="66">
        <f t="shared" si="484"/>
        <v>8.8888888888888889E-3</v>
      </c>
      <c r="E507" s="66">
        <f t="shared" si="484"/>
        <v>8.8888888888888889E-3</v>
      </c>
      <c r="F507" s="66">
        <f t="shared" si="484"/>
        <v>8.8888888888888889E-3</v>
      </c>
      <c r="G507" s="66">
        <f t="shared" si="484"/>
        <v>8.8888888888888889E-3</v>
      </c>
      <c r="H507" s="66">
        <f t="shared" si="484"/>
        <v>8.8888888888888889E-3</v>
      </c>
      <c r="I507" s="66">
        <f t="shared" si="484"/>
        <v>8.8888888888888889E-3</v>
      </c>
      <c r="J507" s="66">
        <f t="shared" si="484"/>
        <v>8.8888888888888889E-3</v>
      </c>
      <c r="K507" s="66">
        <f t="shared" si="484"/>
        <v>8.8888888888888889E-3</v>
      </c>
      <c r="L507" s="66">
        <f t="shared" si="484"/>
        <v>8.8888888888888889E-3</v>
      </c>
      <c r="M507" s="66">
        <f t="shared" si="484"/>
        <v>8.8888888888888889E-3</v>
      </c>
      <c r="N507" s="66">
        <f t="shared" si="484"/>
        <v>8.8888888888888889E-3</v>
      </c>
      <c r="O507" s="66">
        <f t="shared" si="484"/>
        <v>8.8888888888888889E-3</v>
      </c>
      <c r="P507" s="66">
        <f t="shared" si="484"/>
        <v>8.8888888888888889E-3</v>
      </c>
      <c r="Q507" s="66">
        <f t="shared" si="484"/>
        <v>8.8888888888888889E-3</v>
      </c>
      <c r="R507" s="66">
        <f t="shared" si="484"/>
        <v>8.8888888888888889E-3</v>
      </c>
      <c r="S507" s="66">
        <f t="shared" si="484"/>
        <v>8.8888888888888889E-3</v>
      </c>
      <c r="T507" s="66">
        <f t="shared" si="484"/>
        <v>8.8888888888888889E-3</v>
      </c>
      <c r="U507" s="66">
        <f t="shared" si="484"/>
        <v>8.8888888888888889E-3</v>
      </c>
      <c r="V507" s="66">
        <f t="shared" si="484"/>
        <v>8.8888888888888889E-3</v>
      </c>
      <c r="W507" s="66">
        <f t="shared" si="484"/>
        <v>8.8888888888888889E-3</v>
      </c>
      <c r="X507" s="66">
        <f t="shared" si="484"/>
        <v>8.8888888888888889E-3</v>
      </c>
      <c r="Y507" s="66">
        <f t="shared" si="484"/>
        <v>8.8888888888888889E-3</v>
      </c>
      <c r="Z507" s="66">
        <f t="shared" si="484"/>
        <v>8.8888888888888889E-3</v>
      </c>
      <c r="AA507" s="66">
        <f t="shared" si="484"/>
        <v>8.8888888888888889E-3</v>
      </c>
      <c r="AB507" s="66">
        <f t="shared" si="484"/>
        <v>8.8888888888888889E-3</v>
      </c>
      <c r="AC507" s="66">
        <f t="shared" si="484"/>
        <v>8.8888888888888889E-3</v>
      </c>
    </row>
    <row r="508" spans="1:29" x14ac:dyDescent="0.25">
      <c r="A508" s="30" t="str">
        <f t="shared" si="478"/>
        <v>Opex var (mode-fees)</v>
      </c>
      <c r="B508" s="66">
        <f>B466*B475/B475/(B472)</f>
        <v>4.4000000000000003E-3</v>
      </c>
      <c r="C508" s="66">
        <f t="shared" ref="C508:AC508" si="485">C466*C475/C475/(C472)</f>
        <v>4.4000000000000003E-3</v>
      </c>
      <c r="D508" s="66">
        <f t="shared" si="485"/>
        <v>4.4000000000000003E-3</v>
      </c>
      <c r="E508" s="66">
        <f t="shared" si="485"/>
        <v>4.4000000000000003E-3</v>
      </c>
      <c r="F508" s="66">
        <f t="shared" si="485"/>
        <v>4.4000000000000003E-3</v>
      </c>
      <c r="G508" s="66">
        <f t="shared" si="485"/>
        <v>4.4000000000000003E-3</v>
      </c>
      <c r="H508" s="66">
        <f t="shared" si="485"/>
        <v>4.4000000000000003E-3</v>
      </c>
      <c r="I508" s="66">
        <f t="shared" si="485"/>
        <v>4.4000000000000003E-3</v>
      </c>
      <c r="J508" s="66">
        <f t="shared" si="485"/>
        <v>4.4000000000000003E-3</v>
      </c>
      <c r="K508" s="66">
        <f t="shared" si="485"/>
        <v>4.4000000000000003E-3</v>
      </c>
      <c r="L508" s="66">
        <f t="shared" si="485"/>
        <v>4.4000000000000003E-3</v>
      </c>
      <c r="M508" s="66">
        <f t="shared" si="485"/>
        <v>4.4000000000000003E-3</v>
      </c>
      <c r="N508" s="66">
        <f t="shared" si="485"/>
        <v>4.4000000000000003E-3</v>
      </c>
      <c r="O508" s="66">
        <f t="shared" si="485"/>
        <v>4.4000000000000003E-3</v>
      </c>
      <c r="P508" s="66">
        <f t="shared" si="485"/>
        <v>4.4000000000000003E-3</v>
      </c>
      <c r="Q508" s="66">
        <f t="shared" si="485"/>
        <v>4.4000000000000003E-3</v>
      </c>
      <c r="R508" s="66">
        <f t="shared" si="485"/>
        <v>4.4000000000000003E-3</v>
      </c>
      <c r="S508" s="66">
        <f t="shared" si="485"/>
        <v>4.4000000000000003E-3</v>
      </c>
      <c r="T508" s="66">
        <f t="shared" si="485"/>
        <v>4.4000000000000003E-3</v>
      </c>
      <c r="U508" s="66">
        <f t="shared" si="485"/>
        <v>4.4000000000000003E-3</v>
      </c>
      <c r="V508" s="66">
        <f t="shared" si="485"/>
        <v>4.4000000000000003E-3</v>
      </c>
      <c r="W508" s="66">
        <f t="shared" si="485"/>
        <v>4.4000000000000003E-3</v>
      </c>
      <c r="X508" s="66">
        <f t="shared" si="485"/>
        <v>4.4000000000000003E-3</v>
      </c>
      <c r="Y508" s="66">
        <f t="shared" si="485"/>
        <v>4.4000000000000003E-3</v>
      </c>
      <c r="Z508" s="66">
        <f t="shared" si="485"/>
        <v>4.4000000000000003E-3</v>
      </c>
      <c r="AA508" s="66">
        <f t="shared" si="485"/>
        <v>4.4000000000000003E-3</v>
      </c>
      <c r="AB508" s="66">
        <f t="shared" si="485"/>
        <v>4.4000000000000003E-3</v>
      </c>
      <c r="AC508" s="66">
        <f t="shared" si="485"/>
        <v>4.4000000000000003E-3</v>
      </c>
    </row>
    <row r="509" spans="1:29" x14ac:dyDescent="0.25">
      <c r="A509" s="30" t="str">
        <f t="shared" si="478"/>
        <v>Fuel Cost</v>
      </c>
      <c r="B509" s="66">
        <f>B467*B468*B475/B475/(B472)</f>
        <v>6.7070446072256132E-3</v>
      </c>
      <c r="C509" s="66">
        <f t="shared" ref="C509:AC509" si="486">C467*C468*C475/C475/(C472)</f>
        <v>6.2383899519048869E-3</v>
      </c>
      <c r="D509" s="66">
        <f t="shared" si="486"/>
        <v>5.7682676226686715E-3</v>
      </c>
      <c r="E509" s="66">
        <f t="shared" si="486"/>
        <v>5.2963783728964976E-3</v>
      </c>
      <c r="F509" s="66">
        <f t="shared" si="486"/>
        <v>4.8224563194910804E-3</v>
      </c>
      <c r="G509" s="66">
        <f t="shared" si="486"/>
        <v>4.3463592625720502E-3</v>
      </c>
      <c r="H509" s="66">
        <f t="shared" si="486"/>
        <v>3.8682210124682632E-3</v>
      </c>
      <c r="I509" s="66">
        <f t="shared" si="486"/>
        <v>3.388677240335672E-3</v>
      </c>
      <c r="J509" s="66">
        <f t="shared" si="486"/>
        <v>3.2887713624833326E-3</v>
      </c>
      <c r="K509" s="66">
        <f t="shared" si="486"/>
        <v>3.1822037422542925E-3</v>
      </c>
      <c r="L509" s="66">
        <f t="shared" si="486"/>
        <v>3.0697030540941771E-3</v>
      </c>
      <c r="M509" s="66">
        <f t="shared" si="486"/>
        <v>2.9533510719556709E-3</v>
      </c>
      <c r="N509" s="66">
        <f t="shared" si="486"/>
        <v>2.8364754866592084E-3</v>
      </c>
      <c r="O509" s="66">
        <f t="shared" si="486"/>
        <v>2.7229316046217021E-3</v>
      </c>
      <c r="P509" s="66">
        <f t="shared" si="486"/>
        <v>2.6160286431830167E-3</v>
      </c>
      <c r="Q509" s="66">
        <f t="shared" si="486"/>
        <v>2.5176858785376259E-3</v>
      </c>
      <c r="R509" s="66">
        <f t="shared" si="486"/>
        <v>2.4282394709368637E-3</v>
      </c>
      <c r="S509" s="66">
        <f t="shared" si="486"/>
        <v>2.346831759928703E-3</v>
      </c>
      <c r="T509" s="66">
        <f t="shared" si="486"/>
        <v>2.2720108236018318E-3</v>
      </c>
      <c r="U509" s="66">
        <f t="shared" si="486"/>
        <v>2.2022252939308358E-3</v>
      </c>
      <c r="V509" s="66">
        <f t="shared" si="486"/>
        <v>2.1361052859709116E-3</v>
      </c>
      <c r="W509" s="66">
        <f t="shared" si="486"/>
        <v>2.0725637450827623E-3</v>
      </c>
      <c r="X509" s="66">
        <f t="shared" si="486"/>
        <v>2.0107933454626002E-3</v>
      </c>
      <c r="Y509" s="66">
        <f t="shared" si="486"/>
        <v>1.9502196620704993E-3</v>
      </c>
      <c r="Z509" s="66">
        <f t="shared" si="486"/>
        <v>1.8904453943583482E-3</v>
      </c>
      <c r="AA509" s="66">
        <f t="shared" si="486"/>
        <v>1.8312009100605103E-3</v>
      </c>
      <c r="AB509" s="66">
        <f t="shared" si="486"/>
        <v>1.772305552898025E-3</v>
      </c>
      <c r="AC509" s="66">
        <f t="shared" si="486"/>
        <v>1.7136393401738417E-3</v>
      </c>
    </row>
    <row r="510" spans="1:29" x14ac:dyDescent="0.25">
      <c r="A510" s="59" t="str">
        <f>A473</f>
        <v>Market failure (av. utilization)</v>
      </c>
      <c r="B510" s="66">
        <f t="shared" ref="B510:AC510" si="487">B499/B473-B499/B472</f>
        <v>3.3414262094814663E-2</v>
      </c>
      <c r="C510" s="66">
        <f t="shared" si="487"/>
        <v>3.3154967767507357E-2</v>
      </c>
      <c r="D510" s="66">
        <f t="shared" si="487"/>
        <v>3.2896663298631897E-2</v>
      </c>
      <c r="E510" s="66">
        <f t="shared" si="487"/>
        <v>3.2639902964637715E-2</v>
      </c>
      <c r="F510" s="66">
        <f t="shared" si="487"/>
        <v>3.2385504679124211E-2</v>
      </c>
      <c r="G510" s="66">
        <f t="shared" si="487"/>
        <v>3.2134638695768436E-2</v>
      </c>
      <c r="H510" s="66">
        <f t="shared" si="487"/>
        <v>3.1888908132312314E-2</v>
      </c>
      <c r="I510" s="66">
        <f t="shared" si="487"/>
        <v>3.1650372911890587E-2</v>
      </c>
      <c r="J510" s="66">
        <f t="shared" si="487"/>
        <v>3.1634970938453633E-2</v>
      </c>
      <c r="K510" s="66">
        <f t="shared" si="487"/>
        <v>3.1626401163666697E-2</v>
      </c>
      <c r="L510" s="66">
        <f t="shared" si="487"/>
        <v>3.1624767465781321E-2</v>
      </c>
      <c r="M510" s="66">
        <f t="shared" si="487"/>
        <v>3.162902934130532E-2</v>
      </c>
      <c r="N510" s="66">
        <f t="shared" si="487"/>
        <v>3.1636879243547647E-2</v>
      </c>
      <c r="O510" s="66">
        <f t="shared" si="487"/>
        <v>3.1645155067718533E-2</v>
      </c>
      <c r="P510" s="66">
        <f t="shared" si="487"/>
        <v>3.1650696554785342E-2</v>
      </c>
      <c r="Q510" s="66">
        <f t="shared" si="487"/>
        <v>3.165119263990214E-2</v>
      </c>
      <c r="R510" s="66">
        <f t="shared" si="487"/>
        <v>3.1645575965999415E-2</v>
      </c>
      <c r="S510" s="66">
        <f t="shared" si="487"/>
        <v>3.1633889870223024E-2</v>
      </c>
      <c r="T510" s="66">
        <f t="shared" si="487"/>
        <v>3.1616873548947884E-2</v>
      </c>
      <c r="U510" s="66">
        <f t="shared" si="487"/>
        <v>3.159554420143932E-2</v>
      </c>
      <c r="V510" s="66">
        <f t="shared" si="487"/>
        <v>3.1570914483867119E-2</v>
      </c>
      <c r="W510" s="66">
        <f t="shared" si="487"/>
        <v>3.154385402503828E-2</v>
      </c>
      <c r="X510" s="66">
        <f t="shared" si="487"/>
        <v>3.1515049466390721E-2</v>
      </c>
      <c r="Y510" s="66">
        <f t="shared" si="487"/>
        <v>3.1485015553214674E-2</v>
      </c>
      <c r="Z510" s="66">
        <f t="shared" si="487"/>
        <v>3.145412552763685E-2</v>
      </c>
      <c r="AA510" s="66">
        <f t="shared" si="487"/>
        <v>3.1422644189879549E-2</v>
      </c>
      <c r="AB510" s="66">
        <f t="shared" si="487"/>
        <v>3.1390756710830275E-2</v>
      </c>
      <c r="AC510" s="66">
        <f t="shared" si="487"/>
        <v>3.1358591335074237E-2</v>
      </c>
    </row>
    <row r="511" spans="1:29" x14ac:dyDescent="0.25">
      <c r="A511" s="59" t="str">
        <f>A474</f>
        <v>Payload loss (fuel)</v>
      </c>
      <c r="B511" s="66">
        <f>B499/(B472-B474)-B499/B472</f>
        <v>0</v>
      </c>
      <c r="C511" s="66">
        <f t="shared" ref="C511:AC511" si="488">C499/(C472-C474)-C499/C472</f>
        <v>0</v>
      </c>
      <c r="D511" s="66">
        <f t="shared" si="488"/>
        <v>0</v>
      </c>
      <c r="E511" s="66">
        <f t="shared" si="488"/>
        <v>0</v>
      </c>
      <c r="F511" s="66">
        <f t="shared" si="488"/>
        <v>0</v>
      </c>
      <c r="G511" s="66">
        <f t="shared" si="488"/>
        <v>0</v>
      </c>
      <c r="H511" s="66">
        <f t="shared" si="488"/>
        <v>0</v>
      </c>
      <c r="I511" s="66">
        <f t="shared" si="488"/>
        <v>0</v>
      </c>
      <c r="J511" s="66">
        <f t="shared" si="488"/>
        <v>0</v>
      </c>
      <c r="K511" s="66">
        <f t="shared" si="488"/>
        <v>0</v>
      </c>
      <c r="L511" s="66">
        <f t="shared" si="488"/>
        <v>0</v>
      </c>
      <c r="M511" s="66">
        <f t="shared" si="488"/>
        <v>0</v>
      </c>
      <c r="N511" s="66">
        <f t="shared" si="488"/>
        <v>0</v>
      </c>
      <c r="O511" s="66">
        <f t="shared" si="488"/>
        <v>0</v>
      </c>
      <c r="P511" s="66">
        <f t="shared" si="488"/>
        <v>0</v>
      </c>
      <c r="Q511" s="66">
        <f t="shared" si="488"/>
        <v>0</v>
      </c>
      <c r="R511" s="66">
        <f t="shared" si="488"/>
        <v>0</v>
      </c>
      <c r="S511" s="66">
        <f t="shared" si="488"/>
        <v>0</v>
      </c>
      <c r="T511" s="66">
        <f t="shared" si="488"/>
        <v>0</v>
      </c>
      <c r="U511" s="66">
        <f t="shared" si="488"/>
        <v>0</v>
      </c>
      <c r="V511" s="66">
        <f t="shared" si="488"/>
        <v>0</v>
      </c>
      <c r="W511" s="66">
        <f t="shared" si="488"/>
        <v>0</v>
      </c>
      <c r="X511" s="66">
        <f t="shared" si="488"/>
        <v>0</v>
      </c>
      <c r="Y511" s="66">
        <f t="shared" si="488"/>
        <v>0</v>
      </c>
      <c r="Z511" s="66">
        <f t="shared" si="488"/>
        <v>0</v>
      </c>
      <c r="AA511" s="66">
        <f t="shared" si="488"/>
        <v>0</v>
      </c>
      <c r="AB511" s="66">
        <f t="shared" si="488"/>
        <v>0</v>
      </c>
      <c r="AC511" s="66">
        <f t="shared" si="488"/>
        <v>0</v>
      </c>
    </row>
    <row r="512" spans="1:29" ht="15.75" thickBot="1" x14ac:dyDescent="0.3">
      <c r="A512" s="59" t="str">
        <f>A449</f>
        <v>Emission Cost</v>
      </c>
      <c r="B512" s="68">
        <f>B469*B475/B475/(B472)</f>
        <v>0</v>
      </c>
      <c r="C512" s="68">
        <f t="shared" ref="C512:AC512" si="489">C469*C475/C475/(C472)</f>
        <v>0</v>
      </c>
      <c r="D512" s="68">
        <f t="shared" si="489"/>
        <v>0</v>
      </c>
      <c r="E512" s="68">
        <f t="shared" si="489"/>
        <v>0</v>
      </c>
      <c r="F512" s="68">
        <f t="shared" si="489"/>
        <v>0</v>
      </c>
      <c r="G512" s="68">
        <f t="shared" si="489"/>
        <v>0</v>
      </c>
      <c r="H512" s="68">
        <f t="shared" si="489"/>
        <v>0</v>
      </c>
      <c r="I512" s="68">
        <f t="shared" si="489"/>
        <v>0</v>
      </c>
      <c r="J512" s="68">
        <f t="shared" si="489"/>
        <v>0</v>
      </c>
      <c r="K512" s="68">
        <f t="shared" si="489"/>
        <v>0</v>
      </c>
      <c r="L512" s="68">
        <f t="shared" si="489"/>
        <v>0</v>
      </c>
      <c r="M512" s="68">
        <f t="shared" si="489"/>
        <v>0</v>
      </c>
      <c r="N512" s="68">
        <f t="shared" si="489"/>
        <v>0</v>
      </c>
      <c r="O512" s="68">
        <f t="shared" si="489"/>
        <v>0</v>
      </c>
      <c r="P512" s="68">
        <f t="shared" si="489"/>
        <v>0</v>
      </c>
      <c r="Q512" s="68">
        <f t="shared" si="489"/>
        <v>0</v>
      </c>
      <c r="R512" s="68">
        <f t="shared" si="489"/>
        <v>0</v>
      </c>
      <c r="S512" s="68">
        <f t="shared" si="489"/>
        <v>0</v>
      </c>
      <c r="T512" s="68">
        <f t="shared" si="489"/>
        <v>0</v>
      </c>
      <c r="U512" s="68">
        <f t="shared" si="489"/>
        <v>0</v>
      </c>
      <c r="V512" s="68">
        <f t="shared" si="489"/>
        <v>0</v>
      </c>
      <c r="W512" s="68">
        <f t="shared" si="489"/>
        <v>0</v>
      </c>
      <c r="X512" s="68">
        <f t="shared" si="489"/>
        <v>0</v>
      </c>
      <c r="Y512" s="68">
        <f t="shared" si="489"/>
        <v>0</v>
      </c>
      <c r="Z512" s="68">
        <f t="shared" si="489"/>
        <v>0</v>
      </c>
      <c r="AA512" s="68">
        <f t="shared" si="489"/>
        <v>0</v>
      </c>
      <c r="AB512" s="68">
        <f t="shared" si="489"/>
        <v>0</v>
      </c>
      <c r="AC512" s="68">
        <f t="shared" si="489"/>
        <v>0</v>
      </c>
    </row>
    <row r="513" spans="1:29" ht="15.75" thickBot="1" x14ac:dyDescent="0.3">
      <c r="A513" s="31" t="s">
        <v>210</v>
      </c>
      <c r="B513" s="67">
        <f>B502+B503+B504+B505+B506+B507+B508+B509+B510+B511</f>
        <v>9.1760643921659973E-2</v>
      </c>
      <c r="C513" s="67">
        <f t="shared" ref="C513:D513" si="490">C502+C503+C504+C505+C506+C507+C508+C509+C510+C511</f>
        <v>9.1040381901361891E-2</v>
      </c>
      <c r="D513" s="67">
        <f t="shared" si="490"/>
        <v>9.0322869487818952E-2</v>
      </c>
      <c r="E513" s="67">
        <f t="shared" ref="E513:AC513" si="491">E502+E503+E504-E505+E506+E507+E508+E509+E510+E511</f>
        <v>9.0666397123993658E-2</v>
      </c>
      <c r="F513" s="67">
        <f t="shared" si="491"/>
        <v>8.9959735219789477E-2</v>
      </c>
      <c r="G513" s="67">
        <f t="shared" si="491"/>
        <v>8.9262885266023412E-2</v>
      </c>
      <c r="H513" s="67">
        <f t="shared" si="491"/>
        <v>8.8580300367534198E-2</v>
      </c>
      <c r="I513" s="67">
        <f t="shared" si="491"/>
        <v>8.7917702533029413E-2</v>
      </c>
      <c r="J513" s="67">
        <f t="shared" si="491"/>
        <v>8.7874919273482316E-2</v>
      </c>
      <c r="K513" s="67">
        <f t="shared" si="491"/>
        <v>8.785111434351861E-2</v>
      </c>
      <c r="L513" s="67">
        <f t="shared" si="491"/>
        <v>8.7846576293836992E-2</v>
      </c>
      <c r="M513" s="67">
        <f t="shared" si="491"/>
        <v>8.785841483695922E-2</v>
      </c>
      <c r="N513" s="67">
        <f t="shared" si="491"/>
        <v>8.7880220120965691E-2</v>
      </c>
      <c r="O513" s="67">
        <f t="shared" si="491"/>
        <v>8.7903208521440374E-2</v>
      </c>
      <c r="P513" s="67">
        <f t="shared" si="491"/>
        <v>8.7918601541070396E-2</v>
      </c>
      <c r="Q513" s="67">
        <f t="shared" si="491"/>
        <v>8.7919979555283731E-2</v>
      </c>
      <c r="R513" s="67">
        <f t="shared" si="491"/>
        <v>8.7904377683331703E-2</v>
      </c>
      <c r="S513" s="67">
        <f t="shared" si="491"/>
        <v>8.7871916306175052E-2</v>
      </c>
      <c r="T513" s="67">
        <f t="shared" si="491"/>
        <v>8.7824648747077447E-2</v>
      </c>
      <c r="U513" s="67">
        <f t="shared" si="491"/>
        <v>8.7765400559553661E-2</v>
      </c>
      <c r="V513" s="67">
        <f t="shared" si="491"/>
        <v>8.7696984677408649E-2</v>
      </c>
      <c r="W513" s="67">
        <f t="shared" si="491"/>
        <v>8.7621816736217439E-2</v>
      </c>
      <c r="X513" s="67">
        <f t="shared" si="491"/>
        <v>8.7541804073307555E-2</v>
      </c>
      <c r="Y513" s="67">
        <f t="shared" si="491"/>
        <v>8.7458376536707419E-2</v>
      </c>
      <c r="Z513" s="67">
        <f t="shared" si="491"/>
        <v>8.7372570910102365E-2</v>
      </c>
      <c r="AA513" s="67">
        <f t="shared" si="491"/>
        <v>8.7285122749665406E-2</v>
      </c>
      <c r="AB513" s="67">
        <f t="shared" si="491"/>
        <v>8.7196546418972981E-2</v>
      </c>
      <c r="AC513" s="67">
        <f t="shared" si="491"/>
        <v>8.7107198152983983E-2</v>
      </c>
    </row>
    <row r="515" spans="1:29" x14ac:dyDescent="0.25">
      <c r="B515" s="40"/>
    </row>
  </sheetData>
  <conditionalFormatting sqref="Q11:AR27">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17:AR126 Q128:AR133">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505"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Input'!$L$89</f>
        <v>400000</v>
      </c>
      <c r="C11" s="42">
        <f>'Parameter Input'!$M$89</f>
        <v>145000</v>
      </c>
      <c r="D11" s="1" t="s">
        <v>15</v>
      </c>
      <c r="L11" s="51">
        <f>'Parameter Input'!$O$89</f>
        <v>8</v>
      </c>
      <c r="M11" s="52">
        <v>0</v>
      </c>
      <c r="N11" s="52">
        <v>1</v>
      </c>
      <c r="O11" s="52">
        <f>'Parameter Input'!$P$89</f>
        <v>0.9</v>
      </c>
      <c r="P11" s="53">
        <f>'Parameter Input'!$Q$89</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Input'!$L$90</f>
        <v>-60000</v>
      </c>
      <c r="C12" s="61">
        <f>'Parameter Input'!$M$90</f>
        <v>-36250</v>
      </c>
      <c r="D12" s="1" t="s">
        <v>15</v>
      </c>
      <c r="L12" s="54">
        <f>'Parameter Input'!$O$90</f>
        <v>8</v>
      </c>
      <c r="M12" s="37">
        <v>0</v>
      </c>
      <c r="N12" s="37">
        <v>1</v>
      </c>
      <c r="O12" s="37">
        <f>'Parameter Input'!$P$90</f>
        <v>0.9</v>
      </c>
      <c r="P12" s="55">
        <f>'Parameter Input'!$Q$90</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Input'!$L$96</f>
        <v>0.06</v>
      </c>
      <c r="C15" s="46">
        <f>'Parameter Input'!$M$96</f>
        <v>0.06</v>
      </c>
      <c r="D15" s="1" t="s">
        <v>57</v>
      </c>
      <c r="L15" s="54">
        <f>'Parameter Input'!$O$96</f>
        <v>12</v>
      </c>
      <c r="M15" s="37">
        <v>0</v>
      </c>
      <c r="N15" s="37">
        <v>1</v>
      </c>
      <c r="O15" s="37">
        <f>'Parameter Input'!$P$96</f>
        <v>0.9</v>
      </c>
      <c r="P15" s="55">
        <f>'Parameter Input'!$Q$96</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Input'!$L$92</f>
        <v>15000</v>
      </c>
      <c r="C17" s="44">
        <f>'Parameter Input'!$M$92</f>
        <v>15000</v>
      </c>
      <c r="D17" s="1" t="s">
        <v>38</v>
      </c>
      <c r="L17" s="54">
        <f>'Parameter Input'!$O$92</f>
        <v>8</v>
      </c>
      <c r="M17" s="37">
        <v>0</v>
      </c>
      <c r="N17" s="37">
        <v>1</v>
      </c>
      <c r="O17" s="37">
        <f>'Parameter Input'!$P$92</f>
        <v>0.9</v>
      </c>
      <c r="P17" s="55">
        <f>'Parameter Input'!$Q$92</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Input'!$L$93</f>
        <v>1.52</v>
      </c>
      <c r="C19" s="48">
        <f>'Parameter Input'!$M$93</f>
        <v>1.1499999999999999</v>
      </c>
      <c r="D19" s="1" t="s">
        <v>60</v>
      </c>
      <c r="L19" s="54">
        <f>'Parameter Input'!$O$93</f>
        <v>8</v>
      </c>
      <c r="M19" s="37">
        <v>0</v>
      </c>
      <c r="N19" s="37">
        <v>1</v>
      </c>
      <c r="O19" s="37">
        <f>'Parameter Input'!$P$93</f>
        <v>0.9</v>
      </c>
      <c r="P19" s="55">
        <f>'Parameter Input'!$Q$93</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Input'!$L$94</f>
        <v>0.13371034051801745</v>
      </c>
      <c r="C20" s="46">
        <f>'Parameter Input'!$M$94</f>
        <v>8.7585019329602734E-2</v>
      </c>
      <c r="D20" s="1" t="s">
        <v>68</v>
      </c>
      <c r="L20" s="54">
        <f>'Parameter Input'!$O$94</f>
        <v>12</v>
      </c>
      <c r="M20" s="37">
        <v>0</v>
      </c>
      <c r="N20" s="37">
        <v>1</v>
      </c>
      <c r="O20" s="37">
        <f>'Parameter Input'!$P$94</f>
        <v>0.9</v>
      </c>
      <c r="P20" s="55">
        <f>'Parameter Input'!$Q$94</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Input'!$L$97</f>
        <v>0</v>
      </c>
      <c r="C21" s="116">
        <f>'Parameter Input'!$M$97</f>
        <v>0</v>
      </c>
      <c r="D21" s="1" t="s">
        <v>76</v>
      </c>
      <c r="L21" s="54">
        <f>'Parameter Input'!$O$97</f>
        <v>17</v>
      </c>
      <c r="M21" s="37">
        <v>0</v>
      </c>
      <c r="N21" s="37">
        <v>1</v>
      </c>
      <c r="O21" s="37">
        <f>'Parameter Input'!$P$97</f>
        <v>0.9</v>
      </c>
      <c r="P21" s="55">
        <f>'Parameter Input'!$Q$97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Input'!$L$91</f>
        <v>8</v>
      </c>
      <c r="C22" s="44">
        <f>'Parameter Input'!$M$91</f>
        <v>8</v>
      </c>
      <c r="D22" s="1" t="s">
        <v>42</v>
      </c>
      <c r="L22" s="54">
        <f>'Parameter Input'!$O$91</f>
        <v>8</v>
      </c>
      <c r="M22" s="37">
        <v>0</v>
      </c>
      <c r="N22" s="37">
        <v>1</v>
      </c>
      <c r="O22" s="37">
        <f>'Parameter Input'!$P$91</f>
        <v>0.9</v>
      </c>
      <c r="P22" s="55">
        <f>'Parameter Input'!$Q$91</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Input'!L95</f>
        <v>0.1</v>
      </c>
      <c r="C26" s="73">
        <f>'Parameter Input'!M95</f>
        <v>0.05</v>
      </c>
      <c r="D26" s="1" t="s">
        <v>57</v>
      </c>
      <c r="L26" s="54">
        <f>'Parameter Input'!O95</f>
        <v>12</v>
      </c>
      <c r="M26" s="37">
        <v>0</v>
      </c>
      <c r="N26" s="37">
        <v>1</v>
      </c>
      <c r="O26" s="37">
        <f>'Parameter Input'!P95</f>
        <v>0.9</v>
      </c>
      <c r="P26" s="55">
        <f>'Parameter Input'!Q95</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'Parameter Input'!J4</f>
        <v>9.4166661249999992E-2</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174">
        <f>$B21+($C21-$B21)*(1-Q21)</f>
        <v>0</v>
      </c>
      <c r="C41" s="174">
        <f t="shared" ref="C41:AC41" si="35">$B21+($C21-$B21)*(1-R21)</f>
        <v>0</v>
      </c>
      <c r="D41" s="174">
        <f t="shared" si="35"/>
        <v>0</v>
      </c>
      <c r="E41" s="174">
        <f t="shared" si="35"/>
        <v>0</v>
      </c>
      <c r="F41" s="174">
        <f t="shared" si="35"/>
        <v>0</v>
      </c>
      <c r="G41" s="174">
        <f t="shared" si="35"/>
        <v>0</v>
      </c>
      <c r="H41" s="174">
        <f t="shared" si="35"/>
        <v>0</v>
      </c>
      <c r="I41" s="174">
        <f t="shared" si="35"/>
        <v>0</v>
      </c>
      <c r="J41" s="174">
        <f t="shared" si="35"/>
        <v>0</v>
      </c>
      <c r="K41" s="174">
        <f t="shared" si="35"/>
        <v>0</v>
      </c>
      <c r="L41" s="174">
        <f t="shared" si="35"/>
        <v>0</v>
      </c>
      <c r="M41" s="174">
        <f t="shared" si="35"/>
        <v>0</v>
      </c>
      <c r="N41" s="174">
        <f t="shared" si="35"/>
        <v>0</v>
      </c>
      <c r="O41" s="174">
        <f t="shared" si="35"/>
        <v>0</v>
      </c>
      <c r="P41" s="174">
        <f t="shared" si="35"/>
        <v>0</v>
      </c>
      <c r="Q41" s="174">
        <f t="shared" si="35"/>
        <v>0</v>
      </c>
      <c r="R41" s="174">
        <f t="shared" si="35"/>
        <v>0</v>
      </c>
      <c r="S41" s="174">
        <f t="shared" si="35"/>
        <v>0</v>
      </c>
      <c r="T41" s="174">
        <f t="shared" si="35"/>
        <v>0</v>
      </c>
      <c r="U41" s="174">
        <f t="shared" si="35"/>
        <v>0</v>
      </c>
      <c r="V41" s="174">
        <f t="shared" si="35"/>
        <v>0</v>
      </c>
      <c r="W41" s="174">
        <f t="shared" si="35"/>
        <v>0</v>
      </c>
      <c r="X41" s="174">
        <f t="shared" si="35"/>
        <v>0</v>
      </c>
      <c r="Y41" s="174">
        <f t="shared" si="35"/>
        <v>0</v>
      </c>
      <c r="Z41" s="174">
        <f t="shared" si="35"/>
        <v>0</v>
      </c>
      <c r="AA41" s="174">
        <f t="shared" si="35"/>
        <v>0</v>
      </c>
      <c r="AB41" s="174">
        <f t="shared" si="35"/>
        <v>0</v>
      </c>
      <c r="AC41" s="174">
        <f t="shared" si="35"/>
        <v>0</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7768.5616139979438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0</v>
      </c>
      <c r="C58" s="62">
        <f t="shared" ref="C58:AC58" si="51">C41*C47</f>
        <v>0</v>
      </c>
      <c r="D58" s="62">
        <f t="shared" si="51"/>
        <v>0</v>
      </c>
      <c r="E58" s="62">
        <f t="shared" si="51"/>
        <v>0</v>
      </c>
      <c r="F58" s="62">
        <f t="shared" si="51"/>
        <v>0</v>
      </c>
      <c r="G58" s="62">
        <f t="shared" si="51"/>
        <v>0</v>
      </c>
      <c r="H58" s="62">
        <f t="shared" si="51"/>
        <v>0</v>
      </c>
      <c r="I58" s="62">
        <f t="shared" si="51"/>
        <v>0</v>
      </c>
      <c r="J58" s="62">
        <f t="shared" si="51"/>
        <v>0</v>
      </c>
      <c r="K58" s="62">
        <f t="shared" si="51"/>
        <v>0</v>
      </c>
      <c r="L58" s="62">
        <f t="shared" si="51"/>
        <v>0</v>
      </c>
      <c r="M58" s="62">
        <f t="shared" si="51"/>
        <v>0</v>
      </c>
      <c r="N58" s="62">
        <f t="shared" si="51"/>
        <v>0</v>
      </c>
      <c r="O58" s="62">
        <f t="shared" si="51"/>
        <v>0</v>
      </c>
      <c r="P58" s="62">
        <f t="shared" si="51"/>
        <v>0</v>
      </c>
      <c r="Q58" s="62">
        <f t="shared" si="51"/>
        <v>0</v>
      </c>
      <c r="R58" s="62">
        <f t="shared" si="51"/>
        <v>0</v>
      </c>
      <c r="S58" s="62">
        <f t="shared" si="51"/>
        <v>0</v>
      </c>
      <c r="T58" s="62">
        <f t="shared" si="51"/>
        <v>0</v>
      </c>
      <c r="U58" s="62">
        <f t="shared" si="51"/>
        <v>0</v>
      </c>
      <c r="V58" s="62">
        <f t="shared" si="51"/>
        <v>0</v>
      </c>
      <c r="W58" s="62">
        <f t="shared" si="51"/>
        <v>0</v>
      </c>
      <c r="X58" s="62">
        <f t="shared" si="51"/>
        <v>0</v>
      </c>
      <c r="Y58" s="62">
        <f t="shared" si="51"/>
        <v>0</v>
      </c>
      <c r="Z58" s="62">
        <f t="shared" si="51"/>
        <v>0</v>
      </c>
      <c r="AA58" s="62">
        <f t="shared" si="51"/>
        <v>0</v>
      </c>
      <c r="AB58" s="62">
        <f t="shared" si="51"/>
        <v>0</v>
      </c>
      <c r="AC58" s="62">
        <f t="shared" si="51"/>
        <v>0</v>
      </c>
    </row>
    <row r="59" spans="1:29" ht="15.75" thickBot="1" x14ac:dyDescent="0.3">
      <c r="A59" s="31" t="s">
        <v>209</v>
      </c>
      <c r="B59" s="64">
        <f>B50+B51+B52+B53+B54+B55+B56+B57+B58</f>
        <v>155630.21933053943</v>
      </c>
      <c r="C59" s="64">
        <f t="shared" ref="C59:AC59" si="52">C50+C51+C52+C53+C54+C55+C56+C57+C58</f>
        <v>157936.24071074621</v>
      </c>
      <c r="D59" s="64">
        <f t="shared" si="52"/>
        <v>156693.47071247097</v>
      </c>
      <c r="E59" s="64">
        <f t="shared" si="52"/>
        <v>155021.96734462323</v>
      </c>
      <c r="F59" s="64">
        <f t="shared" si="52"/>
        <v>152834.27279136199</v>
      </c>
      <c r="G59" s="64">
        <f t="shared" si="52"/>
        <v>150073.98729526429</v>
      </c>
      <c r="H59" s="64">
        <f t="shared" si="52"/>
        <v>146752.04717123983</v>
      </c>
      <c r="I59" s="64">
        <f t="shared" si="52"/>
        <v>142978.93947999598</v>
      </c>
      <c r="J59" s="64">
        <f t="shared" si="52"/>
        <v>138968.85383049678</v>
      </c>
      <c r="K59" s="64">
        <f t="shared" si="52"/>
        <v>134998.45219377126</v>
      </c>
      <c r="L59" s="64">
        <f t="shared" si="52"/>
        <v>131332.51380985964</v>
      </c>
      <c r="M59" s="64">
        <f t="shared" si="52"/>
        <v>128156.66497196215</v>
      </c>
      <c r="N59" s="64">
        <f t="shared" si="52"/>
        <v>125551.28960443697</v>
      </c>
      <c r="O59" s="64">
        <f t="shared" si="52"/>
        <v>123507.26716919302</v>
      </c>
      <c r="P59" s="64">
        <f t="shared" si="52"/>
        <v>121960.39579677669</v>
      </c>
      <c r="Q59" s="64">
        <f t="shared" si="52"/>
        <v>120823.29828509632</v>
      </c>
      <c r="R59" s="64">
        <f t="shared" si="52"/>
        <v>120006.75138390495</v>
      </c>
      <c r="S59" s="64">
        <f t="shared" si="52"/>
        <v>119431.15406369689</v>
      </c>
      <c r="T59" s="64">
        <f t="shared" si="52"/>
        <v>119031.15825552627</v>
      </c>
      <c r="U59" s="64">
        <f t="shared" si="52"/>
        <v>118756.14314651259</v>
      </c>
      <c r="V59" s="64">
        <f t="shared" si="52"/>
        <v>118568.51937912231</v>
      </c>
      <c r="W59" s="64">
        <f t="shared" si="52"/>
        <v>118441.22046259209</v>
      </c>
      <c r="X59" s="64">
        <f t="shared" si="52"/>
        <v>118355.182635163</v>
      </c>
      <c r="Y59" s="64">
        <f t="shared" si="52"/>
        <v>118297.18622592931</v>
      </c>
      <c r="Z59" s="64">
        <f t="shared" si="52"/>
        <v>118258.16285988144</v>
      </c>
      <c r="AA59" s="64">
        <f t="shared" si="52"/>
        <v>118231.93800478717</v>
      </c>
      <c r="AB59" s="64">
        <f t="shared" si="52"/>
        <v>118214.32881143817</v>
      </c>
      <c r="AC59" s="64">
        <f t="shared" si="52"/>
        <v>118202.51141775603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0.14124657479996261</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0</v>
      </c>
      <c r="C70" s="66">
        <f t="shared" ref="C70:AC70" si="63">C41</f>
        <v>0</v>
      </c>
      <c r="D70" s="66">
        <f t="shared" si="63"/>
        <v>0</v>
      </c>
      <c r="E70" s="66">
        <f t="shared" si="63"/>
        <v>0</v>
      </c>
      <c r="F70" s="66">
        <f t="shared" si="63"/>
        <v>0</v>
      </c>
      <c r="G70" s="66">
        <f t="shared" si="63"/>
        <v>0</v>
      </c>
      <c r="H70" s="66">
        <f t="shared" si="63"/>
        <v>0</v>
      </c>
      <c r="I70" s="66">
        <f t="shared" si="63"/>
        <v>0</v>
      </c>
      <c r="J70" s="66">
        <f t="shared" si="63"/>
        <v>0</v>
      </c>
      <c r="K70" s="66">
        <f t="shared" si="63"/>
        <v>0</v>
      </c>
      <c r="L70" s="66">
        <f t="shared" si="63"/>
        <v>0</v>
      </c>
      <c r="M70" s="66">
        <f t="shared" si="63"/>
        <v>0</v>
      </c>
      <c r="N70" s="66">
        <f t="shared" si="63"/>
        <v>0</v>
      </c>
      <c r="O70" s="66">
        <f t="shared" si="63"/>
        <v>0</v>
      </c>
      <c r="P70" s="66">
        <f t="shared" si="63"/>
        <v>0</v>
      </c>
      <c r="Q70" s="66">
        <f t="shared" si="63"/>
        <v>0</v>
      </c>
      <c r="R70" s="66">
        <f t="shared" si="63"/>
        <v>0</v>
      </c>
      <c r="S70" s="66">
        <f t="shared" si="63"/>
        <v>0</v>
      </c>
      <c r="T70" s="66">
        <f t="shared" si="63"/>
        <v>0</v>
      </c>
      <c r="U70" s="66">
        <f t="shared" si="63"/>
        <v>0</v>
      </c>
      <c r="V70" s="66">
        <f t="shared" si="63"/>
        <v>0</v>
      </c>
      <c r="W70" s="66">
        <f t="shared" si="63"/>
        <v>0</v>
      </c>
      <c r="X70" s="66">
        <f t="shared" si="63"/>
        <v>0</v>
      </c>
      <c r="Y70" s="66">
        <f t="shared" si="63"/>
        <v>0</v>
      </c>
      <c r="Z70" s="66">
        <f t="shared" si="63"/>
        <v>0</v>
      </c>
      <c r="AA70" s="66">
        <f t="shared" si="63"/>
        <v>0</v>
      </c>
      <c r="AB70" s="66">
        <f t="shared" si="63"/>
        <v>0</v>
      </c>
      <c r="AC70" s="66">
        <f t="shared" si="63"/>
        <v>0</v>
      </c>
    </row>
    <row r="71" spans="1:29" ht="15.75" thickBot="1" x14ac:dyDescent="0.3">
      <c r="A71" s="31" t="s">
        <v>63</v>
      </c>
      <c r="B71" s="76">
        <f>B62+B63+B64-B65+B66+B67+B68+B69+B70</f>
        <v>2.8790468817263104</v>
      </c>
      <c r="C71" s="76">
        <f t="shared" ref="C71:AC71" si="64">C62+C63+C64-C65+C66+C67+C68+C69+C70</f>
        <v>2.9209745431846157</v>
      </c>
      <c r="D71" s="76">
        <f t="shared" si="64"/>
        <v>2.8983787250341573</v>
      </c>
      <c r="E71" s="76">
        <f t="shared" si="64"/>
        <v>2.8679877547096533</v>
      </c>
      <c r="F71" s="76">
        <f t="shared" si="64"/>
        <v>2.8282114901049034</v>
      </c>
      <c r="G71" s="76">
        <f t="shared" si="64"/>
        <v>2.7780244810849446</v>
      </c>
      <c r="H71" s="76">
        <f t="shared" si="64"/>
        <v>2.7176255697390452</v>
      </c>
      <c r="I71" s="76">
        <f t="shared" si="64"/>
        <v>2.6490236117164296</v>
      </c>
      <c r="J71" s="76">
        <f t="shared" si="64"/>
        <v>2.5761129635437174</v>
      </c>
      <c r="K71" s="76">
        <f t="shared" si="64"/>
        <v>2.5039238428759805</v>
      </c>
      <c r="L71" s="76">
        <f t="shared" si="64"/>
        <v>2.4372704177139513</v>
      </c>
      <c r="M71" s="76">
        <f t="shared" si="64"/>
        <v>2.3795277115703604</v>
      </c>
      <c r="N71" s="76">
        <f t="shared" si="64"/>
        <v>2.3321572503426298</v>
      </c>
      <c r="O71" s="76">
        <f t="shared" si="64"/>
        <v>2.2949932060654668</v>
      </c>
      <c r="P71" s="76">
        <f t="shared" si="64"/>
        <v>2.2668682720215334</v>
      </c>
      <c r="Q71" s="76">
        <f t="shared" si="64"/>
        <v>2.2461937718091631</v>
      </c>
      <c r="R71" s="76">
        <f t="shared" si="64"/>
        <v>2.2313474645147751</v>
      </c>
      <c r="S71" s="76">
        <f t="shared" si="64"/>
        <v>2.2208820586928102</v>
      </c>
      <c r="T71" s="76">
        <f t="shared" si="64"/>
        <v>2.2136094076351625</v>
      </c>
      <c r="U71" s="76">
        <f t="shared" si="64"/>
        <v>2.2086091329258228</v>
      </c>
      <c r="V71" s="76">
        <f t="shared" si="64"/>
        <v>2.2051977917005452</v>
      </c>
      <c r="W71" s="76">
        <f t="shared" si="64"/>
        <v>2.20288326594545</v>
      </c>
      <c r="X71" s="76">
        <f t="shared" si="64"/>
        <v>2.201318941810376</v>
      </c>
      <c r="Y71" s="76">
        <f t="shared" si="64"/>
        <v>2.2002644616424907</v>
      </c>
      <c r="Z71" s="76">
        <f t="shared" si="64"/>
        <v>2.1995549458961658</v>
      </c>
      <c r="AA71" s="76">
        <f t="shared" si="64"/>
        <v>2.199078130348997</v>
      </c>
      <c r="AB71" s="76">
        <f t="shared" si="64"/>
        <v>2.1987579631971972</v>
      </c>
      <c r="AC71" s="76">
        <f t="shared" si="64"/>
        <v>2.1985431014938857</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5.6498629919985045E-3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9.0484330568541216E-2</v>
      </c>
      <c r="C82" s="66">
        <f t="shared" ref="C82:AC82" si="74">C71/C45-C71/C44</f>
        <v>9.1802057071516507E-2</v>
      </c>
      <c r="D82" s="66">
        <f t="shared" si="74"/>
        <v>9.1091902786787818E-2</v>
      </c>
      <c r="E82" s="66">
        <f t="shared" si="74"/>
        <v>9.013675800516055E-2</v>
      </c>
      <c r="F82" s="66">
        <f t="shared" si="74"/>
        <v>8.8886646831868407E-2</v>
      </c>
      <c r="G82" s="66">
        <f t="shared" si="74"/>
        <v>8.7309340834098276E-2</v>
      </c>
      <c r="H82" s="66">
        <f t="shared" si="74"/>
        <v>8.5411089334655729E-2</v>
      </c>
      <c r="I82" s="66">
        <f t="shared" si="74"/>
        <v>8.3255027796802092E-2</v>
      </c>
      <c r="J82" s="66">
        <f t="shared" si="74"/>
        <v>8.0963550282802554E-2</v>
      </c>
      <c r="K82" s="66">
        <f t="shared" si="74"/>
        <v>7.8694749347530846E-2</v>
      </c>
      <c r="L82" s="66">
        <f t="shared" si="74"/>
        <v>7.6599927413867064E-2</v>
      </c>
      <c r="M82" s="66">
        <f t="shared" si="74"/>
        <v>7.4785156649354201E-2</v>
      </c>
      <c r="N82" s="66">
        <f t="shared" si="74"/>
        <v>7.32963707250541E-2</v>
      </c>
      <c r="O82" s="66">
        <f t="shared" si="74"/>
        <v>7.2128357904914675E-2</v>
      </c>
      <c r="P82" s="66">
        <f t="shared" si="74"/>
        <v>7.1244431406391057E-2</v>
      </c>
      <c r="Q82" s="66">
        <f t="shared" si="74"/>
        <v>7.0594661399716582E-2</v>
      </c>
      <c r="R82" s="66">
        <f t="shared" si="74"/>
        <v>7.0128063170464369E-2</v>
      </c>
      <c r="S82" s="66">
        <f t="shared" si="74"/>
        <v>6.9799150416059774E-2</v>
      </c>
      <c r="T82" s="66">
        <f t="shared" si="74"/>
        <v>6.9570581382819421E-2</v>
      </c>
      <c r="U82" s="66">
        <f t="shared" si="74"/>
        <v>6.9413429891954453E-2</v>
      </c>
      <c r="V82" s="66">
        <f t="shared" si="74"/>
        <v>6.9306216310588586E-2</v>
      </c>
      <c r="W82" s="66">
        <f t="shared" si="74"/>
        <v>6.9233474072571313E-2</v>
      </c>
      <c r="X82" s="66">
        <f t="shared" si="74"/>
        <v>6.9184309599754704E-2</v>
      </c>
      <c r="Y82" s="66">
        <f t="shared" si="74"/>
        <v>6.9151168794478302E-2</v>
      </c>
      <c r="Z82" s="66">
        <f t="shared" si="74"/>
        <v>6.9128869728165218E-2</v>
      </c>
      <c r="AA82" s="66">
        <f t="shared" si="74"/>
        <v>6.9113884096682787E-2</v>
      </c>
      <c r="AB82" s="66">
        <f t="shared" si="74"/>
        <v>6.9103821700483362E-2</v>
      </c>
      <c r="AC82" s="66">
        <f t="shared" si="74"/>
        <v>6.9097068904093562E-2</v>
      </c>
    </row>
    <row r="83" spans="1:29" x14ac:dyDescent="0.25">
      <c r="A83" s="59" t="str">
        <f>A46</f>
        <v>Payload loss (fuel)</v>
      </c>
      <c r="B83" s="66">
        <f>B71/(B44-B46)-B71/B44</f>
        <v>1.2701981899788134E-2</v>
      </c>
      <c r="C83" s="66">
        <f t="shared" ref="C83:AC83" si="75">C71/(C44-C46)-C71/C44</f>
        <v>1.2846264488797193E-2</v>
      </c>
      <c r="D83" s="66">
        <f t="shared" si="75"/>
        <v>1.2689596336505557E-2</v>
      </c>
      <c r="E83" s="66">
        <f t="shared" si="75"/>
        <v>1.2476496271334875E-2</v>
      </c>
      <c r="F83" s="66">
        <f t="shared" si="75"/>
        <v>1.2192805885705968E-2</v>
      </c>
      <c r="G83" s="66">
        <f t="shared" si="75"/>
        <v>1.1825643000113878E-2</v>
      </c>
      <c r="H83" s="66">
        <f t="shared" si="75"/>
        <v>1.1366874092895649E-2</v>
      </c>
      <c r="I83" s="66">
        <f t="shared" si="75"/>
        <v>1.0816804290526699E-2</v>
      </c>
      <c r="J83" s="66">
        <f t="shared" si="75"/>
        <v>1.018631985957677E-2</v>
      </c>
      <c r="K83" s="66">
        <f t="shared" si="75"/>
        <v>9.4962397104592783E-3</v>
      </c>
      <c r="L83" s="66">
        <f t="shared" si="75"/>
        <v>8.7746355632289386E-3</v>
      </c>
      <c r="M83" s="66">
        <f t="shared" si="75"/>
        <v>8.054003272115931E-3</v>
      </c>
      <c r="N83" s="66">
        <f t="shared" si="75"/>
        <v>7.3685007348169712E-3</v>
      </c>
      <c r="O83" s="66">
        <f t="shared" si="75"/>
        <v>6.7496322795176505E-3</v>
      </c>
      <c r="P83" s="66">
        <f t="shared" si="75"/>
        <v>6.220372460825907E-3</v>
      </c>
      <c r="Q83" s="66">
        <f t="shared" si="75"/>
        <v>5.7907821069954485E-3</v>
      </c>
      <c r="R83" s="66">
        <f t="shared" si="75"/>
        <v>5.457956153161192E-3</v>
      </c>
      <c r="S83" s="66">
        <f t="shared" si="75"/>
        <v>5.2098755072014641E-3</v>
      </c>
      <c r="T83" s="66">
        <f t="shared" si="75"/>
        <v>5.0304747632369667E-3</v>
      </c>
      <c r="U83" s="66">
        <f t="shared" si="75"/>
        <v>4.9036464164228938E-3</v>
      </c>
      <c r="V83" s="66">
        <f t="shared" si="75"/>
        <v>4.8154432248469631E-3</v>
      </c>
      <c r="W83" s="66">
        <f t="shared" si="75"/>
        <v>4.7548092671868825E-3</v>
      </c>
      <c r="X83" s="66">
        <f t="shared" si="75"/>
        <v>4.7134620293691892E-3</v>
      </c>
      <c r="Y83" s="66">
        <f t="shared" si="75"/>
        <v>4.6854224466839761E-3</v>
      </c>
      <c r="Z83" s="66">
        <f t="shared" si="75"/>
        <v>4.666479091038539E-3</v>
      </c>
      <c r="AA83" s="66">
        <f t="shared" si="75"/>
        <v>4.6537138005330325E-3</v>
      </c>
      <c r="AB83" s="66">
        <f t="shared" si="75"/>
        <v>4.6451265585743112E-3</v>
      </c>
      <c r="AC83" s="66">
        <f t="shared" si="75"/>
        <v>4.6393566245115647E-3</v>
      </c>
    </row>
    <row r="84" spans="1:29" ht="15.75" thickBot="1" x14ac:dyDescent="0.3">
      <c r="A84" s="59" t="str">
        <f>A21</f>
        <v>Emission Cost</v>
      </c>
      <c r="B84" s="66">
        <f>B41*B47/B47/(B44)</f>
        <v>0</v>
      </c>
      <c r="C84" s="68">
        <f t="shared" ref="C84:AC84" si="76">C41*C47/C47/(C44)</f>
        <v>0</v>
      </c>
      <c r="D84" s="68">
        <f t="shared" si="76"/>
        <v>0</v>
      </c>
      <c r="E84" s="68">
        <f t="shared" si="76"/>
        <v>0</v>
      </c>
      <c r="F84" s="68">
        <f t="shared" si="76"/>
        <v>0</v>
      </c>
      <c r="G84" s="68">
        <f t="shared" si="76"/>
        <v>0</v>
      </c>
      <c r="H84" s="68">
        <f t="shared" si="76"/>
        <v>0</v>
      </c>
      <c r="I84" s="68">
        <f t="shared" si="76"/>
        <v>0</v>
      </c>
      <c r="J84" s="68">
        <f t="shared" si="76"/>
        <v>0</v>
      </c>
      <c r="K84" s="68">
        <f t="shared" si="76"/>
        <v>0</v>
      </c>
      <c r="L84" s="68">
        <f t="shared" si="76"/>
        <v>0</v>
      </c>
      <c r="M84" s="68">
        <f t="shared" si="76"/>
        <v>0</v>
      </c>
      <c r="N84" s="68">
        <f t="shared" si="76"/>
        <v>0</v>
      </c>
      <c r="O84" s="68">
        <f t="shared" si="76"/>
        <v>0</v>
      </c>
      <c r="P84" s="68">
        <f t="shared" si="76"/>
        <v>0</v>
      </c>
      <c r="Q84" s="68">
        <f t="shared" si="76"/>
        <v>0</v>
      </c>
      <c r="R84" s="68">
        <f t="shared" si="76"/>
        <v>0</v>
      </c>
      <c r="S84" s="68">
        <f t="shared" si="76"/>
        <v>0</v>
      </c>
      <c r="T84" s="68">
        <f t="shared" si="76"/>
        <v>0</v>
      </c>
      <c r="U84" s="68">
        <f t="shared" si="76"/>
        <v>0</v>
      </c>
      <c r="V84" s="68">
        <f t="shared" si="76"/>
        <v>0</v>
      </c>
      <c r="W84" s="68">
        <f t="shared" si="76"/>
        <v>0</v>
      </c>
      <c r="X84" s="68">
        <f t="shared" si="76"/>
        <v>0</v>
      </c>
      <c r="Y84" s="68">
        <f t="shared" si="76"/>
        <v>0</v>
      </c>
      <c r="Z84" s="68">
        <f t="shared" si="76"/>
        <v>0</v>
      </c>
      <c r="AA84" s="68">
        <f t="shared" si="76"/>
        <v>0</v>
      </c>
      <c r="AB84" s="68">
        <f t="shared" si="76"/>
        <v>0</v>
      </c>
      <c r="AC84" s="68">
        <f t="shared" si="76"/>
        <v>0</v>
      </c>
    </row>
    <row r="85" spans="1:29" ht="15.75" thickBot="1" x14ac:dyDescent="0.3">
      <c r="A85" s="31" t="s">
        <v>210</v>
      </c>
      <c r="B85" s="67">
        <f>B74+B75+B76+B77+B78+B79+B80+B81+B82+B83+B84</f>
        <v>0.21637192652690349</v>
      </c>
      <c r="C85" s="67">
        <f t="shared" ref="C85:AC85" si="77">C74+C75+C76+C77+C78+C79+C80+C81+C82+C83+C84</f>
        <v>0.21951104207722003</v>
      </c>
      <c r="D85" s="67">
        <f t="shared" si="77"/>
        <v>0.21774038691418135</v>
      </c>
      <c r="E85" s="67">
        <f t="shared" si="77"/>
        <v>0.21535650325440328</v>
      </c>
      <c r="F85" s="67">
        <f t="shared" si="77"/>
        <v>0.21223165111129222</v>
      </c>
      <c r="G85" s="67">
        <f t="shared" si="77"/>
        <v>0.20827970186713166</v>
      </c>
      <c r="H85" s="67">
        <f t="shared" si="77"/>
        <v>0.20350672500663491</v>
      </c>
      <c r="I85" s="67">
        <f t="shared" si="77"/>
        <v>0.19805651534550769</v>
      </c>
      <c r="J85" s="67">
        <f t="shared" si="77"/>
        <v>0.19221812747364972</v>
      </c>
      <c r="K85" s="67">
        <f t="shared" si="77"/>
        <v>0.18637168156255102</v>
      </c>
      <c r="L85" s="67">
        <f t="shared" si="77"/>
        <v>0.18088911847517575</v>
      </c>
      <c r="M85" s="67">
        <f t="shared" si="77"/>
        <v>0.17604400717380625</v>
      </c>
      <c r="N85" s="67">
        <f t="shared" si="77"/>
        <v>0.17197490026309797</v>
      </c>
      <c r="O85" s="67">
        <f t="shared" si="77"/>
        <v>0.1687014572165727</v>
      </c>
      <c r="P85" s="67">
        <f t="shared" si="77"/>
        <v>0.16616327353760002</v>
      </c>
      <c r="Q85" s="67">
        <f t="shared" si="77"/>
        <v>0.16425693316860029</v>
      </c>
      <c r="R85" s="67">
        <f t="shared" si="77"/>
        <v>0.16286365669373826</v>
      </c>
      <c r="S85" s="67">
        <f t="shared" si="77"/>
        <v>0.16186804706049535</v>
      </c>
      <c r="T85" s="67">
        <f t="shared" si="77"/>
        <v>0.16116917124098462</v>
      </c>
      <c r="U85" s="67">
        <f t="shared" si="77"/>
        <v>0.16068518041493196</v>
      </c>
      <c r="V85" s="67">
        <f t="shared" si="77"/>
        <v>0.16035330999297903</v>
      </c>
      <c r="W85" s="67">
        <f t="shared" si="77"/>
        <v>0.16012735276709789</v>
      </c>
      <c r="X85" s="67">
        <f t="shared" si="77"/>
        <v>0.15997426809106063</v>
      </c>
      <c r="Y85" s="67">
        <f t="shared" si="77"/>
        <v>0.15987090849638358</v>
      </c>
      <c r="Z85" s="67">
        <f t="shared" si="77"/>
        <v>0.15980128544457209</v>
      </c>
      <c r="AA85" s="67">
        <f t="shared" si="77"/>
        <v>0.15975446190069742</v>
      </c>
      <c r="AB85" s="67">
        <f t="shared" si="77"/>
        <v>0.15972300557646724</v>
      </c>
      <c r="AC85" s="67">
        <f t="shared" si="77"/>
        <v>0.15970188837788224</v>
      </c>
    </row>
    <row r="87" spans="1:29" x14ac:dyDescent="0.25">
      <c r="B87" s="40"/>
    </row>
    <row r="107" spans="1:2" s="3" customFormat="1" ht="21" x14ac:dyDescent="0.35">
      <c r="A107" s="2" t="str">
        <f>'Parameter Input'!A88</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Input'!$L$89</f>
        <v>400000</v>
      </c>
      <c r="C117" s="42">
        <f>'Parameter Input'!$M$89</f>
        <v>145000</v>
      </c>
      <c r="D117" s="1" t="s">
        <v>15</v>
      </c>
      <c r="L117" s="51">
        <f>'Parameter Input'!$O$89</f>
        <v>8</v>
      </c>
      <c r="M117" s="52">
        <v>0</v>
      </c>
      <c r="N117" s="52">
        <v>1</v>
      </c>
      <c r="O117" s="52">
        <f>'Parameter Input'!$P$89</f>
        <v>0.9</v>
      </c>
      <c r="P117" s="53">
        <f>'Parameter Input'!$Q$89</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28</v>
      </c>
      <c r="B118" s="60">
        <f>'Parameter Input'!$L$90</f>
        <v>-60000</v>
      </c>
      <c r="C118" s="61">
        <f>'Parameter Input'!$M$90</f>
        <v>-36250</v>
      </c>
      <c r="D118" s="1" t="s">
        <v>15</v>
      </c>
      <c r="L118" s="54">
        <f>'Parameter Input'!$O$90</f>
        <v>8</v>
      </c>
      <c r="M118" s="37">
        <v>0</v>
      </c>
      <c r="N118" s="37">
        <v>1</v>
      </c>
      <c r="O118" s="37">
        <f>'Parameter Input'!$P$90</f>
        <v>0.9</v>
      </c>
      <c r="P118" s="55">
        <f>'Parameter Input'!$Q$90</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Input'!$L$96</f>
        <v>0.06</v>
      </c>
      <c r="C121" s="46">
        <f>'Parameter Input'!$M$96</f>
        <v>0.06</v>
      </c>
      <c r="D121" s="1" t="s">
        <v>57</v>
      </c>
      <c r="L121" s="54">
        <f>'Parameter Input'!$O$96</f>
        <v>12</v>
      </c>
      <c r="M121" s="37">
        <v>0</v>
      </c>
      <c r="N121" s="37">
        <v>1</v>
      </c>
      <c r="O121" s="37">
        <f>'Parameter Input'!$P$96</f>
        <v>0.9</v>
      </c>
      <c r="P121" s="55">
        <f>'Parameter Input'!$Q$96</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Input'!$L$92</f>
        <v>15000</v>
      </c>
      <c r="C123" s="44">
        <f>'Parameter Input'!$M$92</f>
        <v>15000</v>
      </c>
      <c r="D123" s="1" t="s">
        <v>38</v>
      </c>
      <c r="L123" s="54">
        <f>'Parameter Input'!$O$92</f>
        <v>8</v>
      </c>
      <c r="M123" s="37">
        <v>0</v>
      </c>
      <c r="N123" s="37">
        <v>1</v>
      </c>
      <c r="O123" s="37">
        <f>'Parameter Input'!$P$92</f>
        <v>0.9</v>
      </c>
      <c r="P123" s="55">
        <f>'Parameter Input'!$Q$92</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Input'!$L$93</f>
        <v>1.52</v>
      </c>
      <c r="C125" s="48">
        <f>'Parameter Input'!$M$93</f>
        <v>1.1499999999999999</v>
      </c>
      <c r="D125" s="1" t="s">
        <v>60</v>
      </c>
      <c r="L125" s="54">
        <f>'Parameter Input'!$O$93</f>
        <v>8</v>
      </c>
      <c r="M125" s="37">
        <v>0</v>
      </c>
      <c r="N125" s="37">
        <v>1</v>
      </c>
      <c r="O125" s="37">
        <f>'Parameter Input'!$P$93</f>
        <v>0.9</v>
      </c>
      <c r="P125" s="55">
        <f>'Parameter Input'!$Q$93</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67</v>
      </c>
      <c r="B126" s="45">
        <f>'Parameter Input'!$L$94</f>
        <v>0.13371034051801745</v>
      </c>
      <c r="C126" s="46">
        <f>'Parameter Input'!$M$94</f>
        <v>8.7585019329602734E-2</v>
      </c>
      <c r="D126" s="1" t="s">
        <v>68</v>
      </c>
      <c r="L126" s="54">
        <f>'Parameter Input'!$O$94</f>
        <v>12</v>
      </c>
      <c r="M126" s="37">
        <v>0</v>
      </c>
      <c r="N126" s="37">
        <v>1</v>
      </c>
      <c r="O126" s="37">
        <f>'Parameter Input'!$P$94</f>
        <v>0.9</v>
      </c>
      <c r="P126" s="55">
        <f>'Parameter Input'!$Q$94</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Input'!$L$97</f>
        <v>0</v>
      </c>
      <c r="C127" s="116">
        <f>'Parameter Input'!$M$97</f>
        <v>0</v>
      </c>
      <c r="D127" s="1" t="s">
        <v>76</v>
      </c>
      <c r="L127" s="54">
        <f>'Parameter Input'!$O$97</f>
        <v>17</v>
      </c>
      <c r="M127" s="37">
        <v>0</v>
      </c>
      <c r="N127" s="37">
        <v>1</v>
      </c>
      <c r="O127" s="37">
        <f>'Parameter Input'!$P$97</f>
        <v>0.9</v>
      </c>
      <c r="P127" s="55">
        <f>'Parameter Input'!$Q$97</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Input'!$L$91</f>
        <v>8</v>
      </c>
      <c r="C128" s="44">
        <f>'Parameter Input'!$M$91</f>
        <v>8</v>
      </c>
      <c r="D128" s="1" t="s">
        <v>42</v>
      </c>
      <c r="L128" s="54">
        <f>'Parameter Input'!$O$91</f>
        <v>8</v>
      </c>
      <c r="M128" s="37">
        <v>0</v>
      </c>
      <c r="N128" s="37">
        <v>1</v>
      </c>
      <c r="O128" s="37">
        <f>'Parameter Input'!$P$91</f>
        <v>0.9</v>
      </c>
      <c r="P128" s="55">
        <f>'Parameter Input'!$Q$91</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Input'!$L$95</f>
        <v>0.1</v>
      </c>
      <c r="C132" s="73">
        <f>'Parameter Input'!$M$95</f>
        <v>0.05</v>
      </c>
      <c r="D132" s="1" t="s">
        <v>57</v>
      </c>
      <c r="L132" s="54">
        <f>'Parameter Input'!$O$95</f>
        <v>12</v>
      </c>
      <c r="M132" s="37">
        <v>0</v>
      </c>
      <c r="N132" s="37">
        <v>1</v>
      </c>
      <c r="O132" s="37">
        <f>'Parameter Input'!$P$95</f>
        <v>0.9</v>
      </c>
      <c r="P132" s="55">
        <f>'Parameter Input'!$Q$95</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5" si="84">$B117+($C117-$B117)*(1-Q117)</f>
        <v>386191.20724655397</v>
      </c>
      <c r="C137" s="62">
        <f t="shared" ref="C137:C145" si="85">$B117+($C117-$B117)*(1-R117)</f>
        <v>380544.41838286084</v>
      </c>
      <c r="D137" s="62">
        <f t="shared" ref="D137:D145" si="86">$B117+($C117-$B117)*(1-S117)</f>
        <v>372802.88209752907</v>
      </c>
      <c r="E137" s="62">
        <f t="shared" ref="E137:E145" si="87">$B117+($C117-$B117)*(1-T117)</f>
        <v>362399.08687953383</v>
      </c>
      <c r="F137" s="62">
        <f t="shared" ref="F137:F145" si="88">$B117+($C117-$B117)*(1-U117)</f>
        <v>348799.3166641909</v>
      </c>
      <c r="G137" s="62">
        <f t="shared" ref="G137:G145" si="89">$B117+($C117-$B117)*(1-V117)</f>
        <v>331672.70473748312</v>
      </c>
      <c r="H137" s="62">
        <f t="shared" ref="H137:H145" si="90">$B117+($C117-$B117)*(1-W117)</f>
        <v>311121.26204490603</v>
      </c>
      <c r="I137" s="62">
        <f t="shared" ref="I137:I145" si="91">$B117+($C117-$B117)*(1-X117)</f>
        <v>287882.23209616641</v>
      </c>
      <c r="J137" s="62">
        <f t="shared" ref="J137:J145" si="92">$B117+($C117-$B117)*(1-Y117)</f>
        <v>263348.88352662267</v>
      </c>
      <c r="K137" s="62">
        <f t="shared" ref="K137:K145" si="93">$B117+($C117-$B117)*(1-Z117)</f>
        <v>239298.30536858604</v>
      </c>
      <c r="L137" s="62">
        <f t="shared" ref="L137:L145" si="94">$B117+($C117-$B117)*(1-AA117)</f>
        <v>217404.56902493956</v>
      </c>
      <c r="M137" s="62">
        <f t="shared" ref="M137:M145" si="95">$B117+($C117-$B117)*(1-AB117)</f>
        <v>198798.01086085022</v>
      </c>
      <c r="N137" s="62">
        <f t="shared" ref="N137:N145" si="96">$B117+($C117-$B117)*(1-AC117)</f>
        <v>183897.4900171854</v>
      </c>
      <c r="O137" s="62">
        <f t="shared" ref="O137:O145" si="97">$B117+($C117-$B117)*(1-AD117)</f>
        <v>172527.73128116049</v>
      </c>
      <c r="P137" s="62">
        <f t="shared" ref="P137:P145" si="98">$B117+($C117-$B117)*(1-AE117)</f>
        <v>164170.0467542134</v>
      </c>
      <c r="Q137" s="62">
        <f t="shared" ref="Q137:Q145" si="99">$B117+($C117-$B117)*(1-AF117)</f>
        <v>158194.42322526305</v>
      </c>
      <c r="R137" s="62">
        <f t="shared" ref="R137:R145" si="100">$B117+($C117-$B117)*(1-AG117)</f>
        <v>154006.39360946321</v>
      </c>
      <c r="S137" s="62">
        <f t="shared" ref="S137:S145" si="101">$B117+($C117-$B117)*(1-AH117)</f>
        <v>151112.20772852784</v>
      </c>
      <c r="T137" s="62">
        <f t="shared" ref="T137:T145" si="102">$B117+($C117-$B117)*(1-AI117)</f>
        <v>149131.57210738939</v>
      </c>
      <c r="U137" s="62">
        <f t="shared" ref="U137:U145" si="103">$B117+($C117-$B117)*(1-AJ117)</f>
        <v>147785.17134384764</v>
      </c>
      <c r="V137" s="62">
        <f t="shared" ref="V137:V145" si="104">$B117+($C117-$B117)*(1-AK117)</f>
        <v>146874.0769291053</v>
      </c>
      <c r="W137" s="62">
        <f t="shared" ref="W137:W145" si="105">$B117+($C117-$B117)*(1-AL117)</f>
        <v>146259.45168571896</v>
      </c>
      <c r="X137" s="62">
        <f t="shared" ref="X137:X145" si="106">$B117+($C117-$B117)*(1-AM117)</f>
        <v>145845.68902507037</v>
      </c>
      <c r="Y137" s="62">
        <f t="shared" ref="Y137:Y145" si="107">$B117+($C117-$B117)*(1-AN117)</f>
        <v>145567.53723474033</v>
      </c>
      <c r="Z137" s="62">
        <f t="shared" ref="Z137:Z145" si="108">$B117+($C117-$B117)*(1-AO117)</f>
        <v>145380.72644197271</v>
      </c>
      <c r="AA137" s="62">
        <f t="shared" ref="AA137:AA145" si="109">$B117+($C117-$B117)*(1-AP117)</f>
        <v>145255.34122836409</v>
      </c>
      <c r="AB137" s="62">
        <f t="shared" ref="AB137:AB145" si="110">$B117+($C117-$B117)*(1-AQ117)</f>
        <v>145171.22000562795</v>
      </c>
      <c r="AC137" s="62">
        <f t="shared" ref="AC137:AC145"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2">A127</f>
        <v>Emission Cost</v>
      </c>
      <c r="B147" s="66">
        <f>$B127+($C127-$B127)*(1-Q127)</f>
        <v>0</v>
      </c>
      <c r="C147" s="66">
        <f t="shared" ref="C147" si="113">$B127+($C127-$B127)*(1-R127)</f>
        <v>0</v>
      </c>
      <c r="D147" s="66">
        <f t="shared" ref="D147" si="114">$B127+($C127-$B127)*(1-S127)</f>
        <v>0</v>
      </c>
      <c r="E147" s="66">
        <f t="shared" ref="E147" si="115">$B127+($C127-$B127)*(1-T127)</f>
        <v>0</v>
      </c>
      <c r="F147" s="66">
        <f t="shared" ref="F147" si="116">$B127+($C127-$B127)*(1-U127)</f>
        <v>0</v>
      </c>
      <c r="G147" s="66">
        <f t="shared" ref="G147" si="117">$B127+($C127-$B127)*(1-V127)</f>
        <v>0</v>
      </c>
      <c r="H147" s="66">
        <f t="shared" ref="H147" si="118">$B127+($C127-$B127)*(1-W127)</f>
        <v>0</v>
      </c>
      <c r="I147" s="66">
        <f t="shared" ref="I147" si="119">$B127+($C127-$B127)*(1-X127)</f>
        <v>0</v>
      </c>
      <c r="J147" s="66">
        <f t="shared" ref="J147" si="120">$B127+($C127-$B127)*(1-Y127)</f>
        <v>0</v>
      </c>
      <c r="K147" s="66">
        <f t="shared" ref="K147" si="121">$B127+($C127-$B127)*(1-Z127)</f>
        <v>0</v>
      </c>
      <c r="L147" s="66">
        <f t="shared" ref="L147" si="122">$B127+($C127-$B127)*(1-AA127)</f>
        <v>0</v>
      </c>
      <c r="M147" s="66">
        <f t="shared" ref="M147" si="123">$B127+($C127-$B127)*(1-AB127)</f>
        <v>0</v>
      </c>
      <c r="N147" s="66">
        <f t="shared" ref="N147" si="124">$B127+($C127-$B127)*(1-AC127)</f>
        <v>0</v>
      </c>
      <c r="O147" s="66">
        <f t="shared" ref="O147" si="125">$B127+($C127-$B127)*(1-AD127)</f>
        <v>0</v>
      </c>
      <c r="P147" s="66">
        <f t="shared" ref="P147" si="126">$B127+($C127-$B127)*(1-AE127)</f>
        <v>0</v>
      </c>
      <c r="Q147" s="66">
        <f t="shared" ref="Q147" si="127">$B127+($C127-$B127)*(1-AF127)</f>
        <v>0</v>
      </c>
      <c r="R147" s="66">
        <f t="shared" ref="R147" si="128">$B127+($C127-$B127)*(1-AG127)</f>
        <v>0</v>
      </c>
      <c r="S147" s="66">
        <f t="shared" ref="S147" si="129">$B127+($C127-$B127)*(1-AH127)</f>
        <v>0</v>
      </c>
      <c r="T147" s="66">
        <f t="shared" ref="T147" si="130">$B127+($C127-$B127)*(1-AI127)</f>
        <v>0</v>
      </c>
      <c r="U147" s="66">
        <f t="shared" ref="U147" si="131">$B127+($C127-$B127)*(1-AJ127)</f>
        <v>0</v>
      </c>
      <c r="V147" s="66">
        <f t="shared" ref="V147" si="132">$B127+($C127-$B127)*(1-AK127)</f>
        <v>0</v>
      </c>
      <c r="W147" s="66">
        <f t="shared" ref="W147" si="133">$B127+($C127-$B127)*(1-AL127)</f>
        <v>0</v>
      </c>
      <c r="X147" s="66">
        <f t="shared" ref="X147" si="134">$B127+($C127-$B127)*(1-AM127)</f>
        <v>0</v>
      </c>
      <c r="Y147" s="66">
        <f t="shared" ref="Y147" si="135">$B127+($C127-$B127)*(1-AN127)</f>
        <v>0</v>
      </c>
      <c r="Z147" s="66">
        <f t="shared" ref="Z147" si="136">$B127+($C127-$B127)*(1-AO127)</f>
        <v>0</v>
      </c>
      <c r="AA147" s="66">
        <f t="shared" ref="AA147" si="137">$B127+($C127-$B127)*(1-AP127)</f>
        <v>0</v>
      </c>
      <c r="AB147" s="66">
        <f t="shared" ref="AB147" si="138">$B127+($C127-$B127)*(1-AQ127)</f>
        <v>0</v>
      </c>
      <c r="AC147" s="66">
        <f t="shared" ref="AC147" si="139">$B127+($C127-$B127)*(1-AR127)</f>
        <v>0</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15537.123227995888</v>
      </c>
      <c r="C163" s="62">
        <f t="shared" ref="C163:AC163" si="154">C145*C146*C153</f>
        <v>15452.253472541139</v>
      </c>
      <c r="D163" s="62">
        <f t="shared" si="154"/>
        <v>15335.900212796545</v>
      </c>
      <c r="E163" s="62">
        <f t="shared" si="154"/>
        <v>15179.533899611062</v>
      </c>
      <c r="F163" s="62">
        <f t="shared" si="154"/>
        <v>14975.132920527518</v>
      </c>
      <c r="G163" s="62">
        <f t="shared" si="154"/>
        <v>14717.724435621387</v>
      </c>
      <c r="H163" s="62">
        <f t="shared" si="154"/>
        <v>14408.841642645742</v>
      </c>
      <c r="I163" s="62">
        <f t="shared" si="154"/>
        <v>14059.565118170698</v>
      </c>
      <c r="J163" s="62">
        <f t="shared" si="154"/>
        <v>13957.382549408399</v>
      </c>
      <c r="K163" s="62">
        <f t="shared" si="154"/>
        <v>13848.380804718005</v>
      </c>
      <c r="L163" s="62">
        <f t="shared" si="154"/>
        <v>13759.61410676738</v>
      </c>
      <c r="M163" s="62">
        <f t="shared" si="154"/>
        <v>13711.287493792861</v>
      </c>
      <c r="N163" s="62">
        <f t="shared" si="154"/>
        <v>13713.194756307059</v>
      </c>
      <c r="O163" s="62">
        <f t="shared" si="154"/>
        <v>13394.781863292339</v>
      </c>
      <c r="P163" s="62">
        <f t="shared" si="154"/>
        <v>13128.714439982306</v>
      </c>
      <c r="Q163" s="62">
        <f t="shared" si="154"/>
        <v>12903.461211797441</v>
      </c>
      <c r="R163" s="62">
        <f t="shared" si="154"/>
        <v>12708.456686043739</v>
      </c>
      <c r="S163" s="62">
        <f t="shared" si="154"/>
        <v>12535.095625141044</v>
      </c>
      <c r="T163" s="62">
        <f t="shared" si="154"/>
        <v>12376.850585401035</v>
      </c>
      <c r="U163" s="62">
        <f t="shared" si="154"/>
        <v>12228.989508274854</v>
      </c>
      <c r="V163" s="62">
        <f t="shared" si="154"/>
        <v>12088.181821607197</v>
      </c>
      <c r="W163" s="62">
        <f t="shared" si="154"/>
        <v>11952.128710886922</v>
      </c>
      <c r="X163" s="62">
        <f t="shared" si="154"/>
        <v>11819.263994064037</v>
      </c>
      <c r="Y163" s="62">
        <f t="shared" si="154"/>
        <v>11688.529870882794</v>
      </c>
      <c r="Z163" s="62">
        <f t="shared" si="154"/>
        <v>11559.216062916938</v>
      </c>
      <c r="AA163" s="62">
        <f t="shared" si="154"/>
        <v>11430.847516210863</v>
      </c>
      <c r="AB163" s="62">
        <f t="shared" si="154"/>
        <v>11303.107348783331</v>
      </c>
      <c r="AC163" s="62">
        <f t="shared" si="154"/>
        <v>11175.784571359156</v>
      </c>
    </row>
    <row r="164" spans="1:29" ht="15.75" thickBot="1" x14ac:dyDescent="0.3">
      <c r="A164" s="59" t="str">
        <f>A127</f>
        <v>Emission Cost</v>
      </c>
      <c r="B164" s="62">
        <f>B147*B153</f>
        <v>0</v>
      </c>
      <c r="C164" s="62">
        <f t="shared" ref="C164:AC164" si="155">C147*C153</f>
        <v>0</v>
      </c>
      <c r="D164" s="62">
        <f t="shared" si="155"/>
        <v>0</v>
      </c>
      <c r="E164" s="62">
        <f t="shared" si="155"/>
        <v>0</v>
      </c>
      <c r="F164" s="62">
        <f t="shared" si="155"/>
        <v>0</v>
      </c>
      <c r="G164" s="62">
        <f t="shared" si="155"/>
        <v>0</v>
      </c>
      <c r="H164" s="62">
        <f t="shared" si="155"/>
        <v>0</v>
      </c>
      <c r="I164" s="62">
        <f t="shared" si="155"/>
        <v>0</v>
      </c>
      <c r="J164" s="62">
        <f t="shared" si="155"/>
        <v>0</v>
      </c>
      <c r="K164" s="62">
        <f t="shared" si="155"/>
        <v>0</v>
      </c>
      <c r="L164" s="62">
        <f t="shared" si="155"/>
        <v>0</v>
      </c>
      <c r="M164" s="62">
        <f t="shared" si="155"/>
        <v>0</v>
      </c>
      <c r="N164" s="62">
        <f t="shared" si="155"/>
        <v>0</v>
      </c>
      <c r="O164" s="62">
        <f t="shared" si="155"/>
        <v>0</v>
      </c>
      <c r="P164" s="62">
        <f t="shared" si="155"/>
        <v>0</v>
      </c>
      <c r="Q164" s="62">
        <f t="shared" si="155"/>
        <v>0</v>
      </c>
      <c r="R164" s="62">
        <f t="shared" si="155"/>
        <v>0</v>
      </c>
      <c r="S164" s="62">
        <f t="shared" si="155"/>
        <v>0</v>
      </c>
      <c r="T164" s="62">
        <f t="shared" si="155"/>
        <v>0</v>
      </c>
      <c r="U164" s="62">
        <f t="shared" si="155"/>
        <v>0</v>
      </c>
      <c r="V164" s="62">
        <f t="shared" si="155"/>
        <v>0</v>
      </c>
      <c r="W164" s="62">
        <f t="shared" si="155"/>
        <v>0</v>
      </c>
      <c r="X164" s="62">
        <f t="shared" si="155"/>
        <v>0</v>
      </c>
      <c r="Y164" s="62">
        <f t="shared" si="155"/>
        <v>0</v>
      </c>
      <c r="Z164" s="62">
        <f t="shared" si="155"/>
        <v>0</v>
      </c>
      <c r="AA164" s="62">
        <f t="shared" si="155"/>
        <v>0</v>
      </c>
      <c r="AB164" s="62">
        <f t="shared" si="155"/>
        <v>0</v>
      </c>
      <c r="AC164" s="62">
        <f t="shared" si="155"/>
        <v>0</v>
      </c>
    </row>
    <row r="165" spans="1:29" ht="15.75" thickBot="1" x14ac:dyDescent="0.3">
      <c r="A165" s="31" t="s">
        <v>209</v>
      </c>
      <c r="B165" s="64">
        <f>B156+B157+B158+B159+B160+B161+B162+B163+B164</f>
        <v>171486.80031784312</v>
      </c>
      <c r="C165" s="64">
        <f t="shared" ref="C165:AC165" si="156">C156+C157+C158+C159+C160+C161+C162+C163+C164</f>
        <v>170577.28765059446</v>
      </c>
      <c r="D165" s="64">
        <f t="shared" si="156"/>
        <v>169330.37980873309</v>
      </c>
      <c r="E165" s="64">
        <f t="shared" si="156"/>
        <v>167654.66928251393</v>
      </c>
      <c r="F165" s="64">
        <f t="shared" si="156"/>
        <v>165464.19190127961</v>
      </c>
      <c r="G165" s="64">
        <f t="shared" si="156"/>
        <v>162705.65587834691</v>
      </c>
      <c r="H165" s="64">
        <f t="shared" si="156"/>
        <v>159395.49183461655</v>
      </c>
      <c r="I165" s="64">
        <f t="shared" si="156"/>
        <v>155652.44554350266</v>
      </c>
      <c r="J165" s="64">
        <f t="shared" si="156"/>
        <v>151967.47415638671</v>
      </c>
      <c r="K165" s="64">
        <f t="shared" si="156"/>
        <v>148346.18617586931</v>
      </c>
      <c r="L165" s="64">
        <f t="shared" si="156"/>
        <v>145060.11302211028</v>
      </c>
      <c r="M165" s="64">
        <f t="shared" si="156"/>
        <v>142294.53122689362</v>
      </c>
      <c r="N165" s="64">
        <f t="shared" si="156"/>
        <v>140120.4037212636</v>
      </c>
      <c r="O165" s="64">
        <f t="shared" si="156"/>
        <v>138141.5797208398</v>
      </c>
      <c r="P165" s="64">
        <f t="shared" si="156"/>
        <v>136654.97696842081</v>
      </c>
      <c r="Q165" s="64">
        <f t="shared" si="156"/>
        <v>135557.05863699794</v>
      </c>
      <c r="R165" s="64">
        <f t="shared" si="156"/>
        <v>134750.44474875188</v>
      </c>
      <c r="S165" s="64">
        <f t="shared" si="156"/>
        <v>134154.42402591763</v>
      </c>
      <c r="T165" s="64">
        <f t="shared" si="156"/>
        <v>133706.93191757903</v>
      </c>
      <c r="U165" s="64">
        <f t="shared" si="156"/>
        <v>133362.44584297377</v>
      </c>
      <c r="V165" s="64">
        <f t="shared" si="156"/>
        <v>133088.58420843797</v>
      </c>
      <c r="W165" s="64">
        <f t="shared" si="156"/>
        <v>132862.7727655748</v>
      </c>
      <c r="X165" s="64">
        <f t="shared" si="156"/>
        <v>132669.48318543486</v>
      </c>
      <c r="Y165" s="64">
        <f t="shared" si="156"/>
        <v>132498.12847100516</v>
      </c>
      <c r="Z165" s="64">
        <f t="shared" si="156"/>
        <v>132341.53328244918</v>
      </c>
      <c r="AA165" s="64">
        <f t="shared" si="156"/>
        <v>132194.85379298573</v>
      </c>
      <c r="AB165" s="64">
        <f t="shared" si="156"/>
        <v>132054.82877274445</v>
      </c>
      <c r="AC165" s="64">
        <f t="shared" si="156"/>
        <v>131919.2664166269</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0.14124657479996261</v>
      </c>
      <c r="C175" s="66">
        <f t="shared" ref="C175:AC175" si="165">C145*C146*C153/C153</f>
        <v>0.14047503156855581</v>
      </c>
      <c r="D175" s="66">
        <f t="shared" si="165"/>
        <v>0.13941727466178677</v>
      </c>
      <c r="E175" s="66">
        <f t="shared" si="165"/>
        <v>0.13799576272373693</v>
      </c>
      <c r="F175" s="66">
        <f t="shared" si="165"/>
        <v>0.13613757200479562</v>
      </c>
      <c r="G175" s="66">
        <f t="shared" si="165"/>
        <v>0.13379749486928533</v>
      </c>
      <c r="H175" s="66">
        <f t="shared" si="165"/>
        <v>0.13098946947859766</v>
      </c>
      <c r="I175" s="66">
        <f t="shared" si="165"/>
        <v>0.12781422834700634</v>
      </c>
      <c r="J175" s="66">
        <f t="shared" si="165"/>
        <v>0.12688529590371272</v>
      </c>
      <c r="K175" s="66">
        <f t="shared" si="165"/>
        <v>0.12589437095198186</v>
      </c>
      <c r="L175" s="66">
        <f t="shared" si="165"/>
        <v>0.12508740097061255</v>
      </c>
      <c r="M175" s="66">
        <f t="shared" si="165"/>
        <v>0.12464806812538964</v>
      </c>
      <c r="N175" s="66">
        <f t="shared" si="165"/>
        <v>0.12466540687551872</v>
      </c>
      <c r="O175" s="66">
        <f t="shared" si="165"/>
        <v>0.12177074421174854</v>
      </c>
      <c r="P175" s="66">
        <f t="shared" si="165"/>
        <v>0.1193519494543846</v>
      </c>
      <c r="Q175" s="66">
        <f t="shared" si="165"/>
        <v>0.11730419283452219</v>
      </c>
      <c r="R175" s="66">
        <f t="shared" si="165"/>
        <v>0.11553142441857944</v>
      </c>
      <c r="S175" s="66">
        <f t="shared" si="165"/>
        <v>0.1139554147740095</v>
      </c>
      <c r="T175" s="66">
        <f t="shared" si="165"/>
        <v>0.11251682350364577</v>
      </c>
      <c r="U175" s="66">
        <f t="shared" si="165"/>
        <v>0.11117263189340776</v>
      </c>
      <c r="V175" s="66">
        <f t="shared" si="165"/>
        <v>0.10989256201461088</v>
      </c>
      <c r="W175" s="66">
        <f t="shared" si="165"/>
        <v>0.10865571555351747</v>
      </c>
      <c r="X175" s="66">
        <f t="shared" si="165"/>
        <v>0.10744785449149125</v>
      </c>
      <c r="Y175" s="66">
        <f t="shared" si="165"/>
        <v>0.10625936246257085</v>
      </c>
      <c r="Z175" s="66">
        <f t="shared" si="165"/>
        <v>0.10508378239015398</v>
      </c>
      <c r="AA175" s="66">
        <f t="shared" si="165"/>
        <v>0.10391679560191693</v>
      </c>
      <c r="AB175" s="66">
        <f t="shared" si="165"/>
        <v>0.10275552135257573</v>
      </c>
      <c r="AC175" s="66">
        <f t="shared" si="165"/>
        <v>0.10159804155781051</v>
      </c>
    </row>
    <row r="176" spans="1:29" ht="15.75" thickBot="1" x14ac:dyDescent="0.3">
      <c r="A176" s="59" t="str">
        <f t="shared" ref="A176" si="166">A164</f>
        <v>Emission Cost</v>
      </c>
      <c r="B176" s="66">
        <f>B147</f>
        <v>0</v>
      </c>
      <c r="C176" s="66">
        <f t="shared" ref="C176:AC176" si="167">C147</f>
        <v>0</v>
      </c>
      <c r="D176" s="66">
        <f t="shared" si="167"/>
        <v>0</v>
      </c>
      <c r="E176" s="66">
        <f t="shared" si="167"/>
        <v>0</v>
      </c>
      <c r="F176" s="66">
        <f t="shared" si="167"/>
        <v>0</v>
      </c>
      <c r="G176" s="66">
        <f t="shared" si="167"/>
        <v>0</v>
      </c>
      <c r="H176" s="66">
        <f t="shared" si="167"/>
        <v>0</v>
      </c>
      <c r="I176" s="66">
        <f t="shared" si="167"/>
        <v>0</v>
      </c>
      <c r="J176" s="66">
        <f t="shared" si="167"/>
        <v>0</v>
      </c>
      <c r="K176" s="66">
        <f t="shared" si="167"/>
        <v>0</v>
      </c>
      <c r="L176" s="66">
        <f t="shared" si="167"/>
        <v>0</v>
      </c>
      <c r="M176" s="66">
        <f t="shared" si="167"/>
        <v>0</v>
      </c>
      <c r="N176" s="66">
        <f t="shared" si="167"/>
        <v>0</v>
      </c>
      <c r="O176" s="66">
        <f t="shared" si="167"/>
        <v>0</v>
      </c>
      <c r="P176" s="66">
        <f t="shared" si="167"/>
        <v>0</v>
      </c>
      <c r="Q176" s="66">
        <f t="shared" si="167"/>
        <v>0</v>
      </c>
      <c r="R176" s="66">
        <f t="shared" si="167"/>
        <v>0</v>
      </c>
      <c r="S176" s="66">
        <f t="shared" si="167"/>
        <v>0</v>
      </c>
      <c r="T176" s="66">
        <f t="shared" si="167"/>
        <v>0</v>
      </c>
      <c r="U176" s="66">
        <f t="shared" si="167"/>
        <v>0</v>
      </c>
      <c r="V176" s="66">
        <f t="shared" si="167"/>
        <v>0</v>
      </c>
      <c r="W176" s="66">
        <f t="shared" si="167"/>
        <v>0</v>
      </c>
      <c r="X176" s="66">
        <f t="shared" si="167"/>
        <v>0</v>
      </c>
      <c r="Y176" s="66">
        <f t="shared" si="167"/>
        <v>0</v>
      </c>
      <c r="Z176" s="66">
        <f t="shared" si="167"/>
        <v>0</v>
      </c>
      <c r="AA176" s="66">
        <f t="shared" si="167"/>
        <v>0</v>
      </c>
      <c r="AB176" s="66">
        <f t="shared" si="167"/>
        <v>0</v>
      </c>
      <c r="AC176" s="66">
        <f t="shared" si="167"/>
        <v>0</v>
      </c>
    </row>
    <row r="177" spans="1:29" ht="15.75" thickBot="1" x14ac:dyDescent="0.3">
      <c r="A177" s="31" t="s">
        <v>63</v>
      </c>
      <c r="B177" s="76">
        <f>B168+B169+B170-B171+B172+B173+B174+B175+B176</f>
        <v>1.5960258096768603</v>
      </c>
      <c r="C177" s="76">
        <f t="shared" ref="C177:AC177" si="168">C168+C169+C170-C171+C172+C173+C174+C175+C176</f>
        <v>1.5877575127018724</v>
      </c>
      <c r="D177" s="76">
        <f t="shared" si="168"/>
        <v>1.576421986866769</v>
      </c>
      <c r="E177" s="76">
        <f t="shared" si="168"/>
        <v>1.5611882548102312</v>
      </c>
      <c r="F177" s="76">
        <f t="shared" si="168"/>
        <v>1.5412748240717378</v>
      </c>
      <c r="G177" s="76">
        <f t="shared" si="168"/>
        <v>1.5161972238632582</v>
      </c>
      <c r="H177" s="76">
        <f t="shared" si="168"/>
        <v>1.4861048234657099</v>
      </c>
      <c r="I177" s="76">
        <f t="shared" si="168"/>
        <v>1.4520771299101289</v>
      </c>
      <c r="J177" s="76">
        <f t="shared" si="168"/>
        <v>1.4185773900272565</v>
      </c>
      <c r="K177" s="76">
        <f t="shared" si="168"/>
        <v>1.3856565902043712</v>
      </c>
      <c r="L177" s="76">
        <f t="shared" si="168"/>
        <v>1.355783197897471</v>
      </c>
      <c r="M177" s="76">
        <f t="shared" si="168"/>
        <v>1.3306415452136831</v>
      </c>
      <c r="N177" s="76">
        <f t="shared" si="168"/>
        <v>1.3108767497079556</v>
      </c>
      <c r="O177" s="76">
        <f t="shared" si="168"/>
        <v>1.2928874406131943</v>
      </c>
      <c r="P177" s="76">
        <f t="shared" si="168"/>
        <v>1.2793728701366573</v>
      </c>
      <c r="Q177" s="76">
        <f t="shared" si="168"/>
        <v>1.2693917943964497</v>
      </c>
      <c r="R177" s="76">
        <f t="shared" si="168"/>
        <v>1.26205894086694</v>
      </c>
      <c r="S177" s="76">
        <f t="shared" si="168"/>
        <v>1.2566405706593557</v>
      </c>
      <c r="T177" s="76">
        <f t="shared" si="168"/>
        <v>1.2525724605835507</v>
      </c>
      <c r="U177" s="76">
        <f t="shared" si="168"/>
        <v>1.2494407689962301</v>
      </c>
      <c r="V177" s="76">
        <f t="shared" si="168"/>
        <v>1.2469511177731771</v>
      </c>
      <c r="W177" s="76">
        <f t="shared" si="168"/>
        <v>1.2448982864744209</v>
      </c>
      <c r="X177" s="76">
        <f t="shared" si="168"/>
        <v>1.243141108473149</v>
      </c>
      <c r="Y177" s="76">
        <f t="shared" si="168"/>
        <v>1.2415833383419699</v>
      </c>
      <c r="Z177" s="76">
        <f t="shared" si="168"/>
        <v>1.2401597457187339</v>
      </c>
      <c r="AA177" s="76">
        <f t="shared" si="168"/>
        <v>1.2388262958145204</v>
      </c>
      <c r="AB177" s="76">
        <f t="shared" si="168"/>
        <v>1.2375533410850541</v>
      </c>
      <c r="AC177" s="76">
        <f t="shared" si="168"/>
        <v>1.2363209560294404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5.6498629919985045E-3</v>
      </c>
      <c r="C187" s="66">
        <f t="shared" ref="C187:AC187" si="177">C145*C146*C153/C153/(C150)</f>
        <v>5.6190012627422327E-3</v>
      </c>
      <c r="D187" s="66">
        <f t="shared" si="177"/>
        <v>5.5766909864714709E-3</v>
      </c>
      <c r="E187" s="66">
        <f t="shared" si="177"/>
        <v>5.5198305089494771E-3</v>
      </c>
      <c r="F187" s="66">
        <f t="shared" si="177"/>
        <v>5.4455028801918244E-3</v>
      </c>
      <c r="G187" s="66">
        <f t="shared" si="177"/>
        <v>5.351899794771413E-3</v>
      </c>
      <c r="H187" s="66">
        <f t="shared" si="177"/>
        <v>5.2395787791439065E-3</v>
      </c>
      <c r="I187" s="66">
        <f t="shared" si="177"/>
        <v>5.1125691338802541E-3</v>
      </c>
      <c r="J187" s="66">
        <f t="shared" si="177"/>
        <v>5.0754118361485091E-3</v>
      </c>
      <c r="K187" s="66">
        <f t="shared" si="177"/>
        <v>5.0357748380792742E-3</v>
      </c>
      <c r="L187" s="66">
        <f t="shared" si="177"/>
        <v>5.0034960388245023E-3</v>
      </c>
      <c r="M187" s="66">
        <f t="shared" si="177"/>
        <v>4.985922725015586E-3</v>
      </c>
      <c r="N187" s="66">
        <f t="shared" si="177"/>
        <v>4.9866162750207485E-3</v>
      </c>
      <c r="O187" s="66">
        <f t="shared" si="177"/>
        <v>4.8708297684699415E-3</v>
      </c>
      <c r="P187" s="66">
        <f t="shared" si="177"/>
        <v>4.7740779781753843E-3</v>
      </c>
      <c r="Q187" s="66">
        <f t="shared" si="177"/>
        <v>4.6921677133808879E-3</v>
      </c>
      <c r="R187" s="66">
        <f t="shared" si="177"/>
        <v>4.6212569767431775E-3</v>
      </c>
      <c r="S187" s="66">
        <f t="shared" si="177"/>
        <v>4.5582165909603799E-3</v>
      </c>
      <c r="T187" s="66">
        <f t="shared" si="177"/>
        <v>4.5006729401458308E-3</v>
      </c>
      <c r="U187" s="66">
        <f t="shared" si="177"/>
        <v>4.4469052757363106E-3</v>
      </c>
      <c r="V187" s="66">
        <f t="shared" si="177"/>
        <v>4.3957024805844356E-3</v>
      </c>
      <c r="W187" s="66">
        <f t="shared" si="177"/>
        <v>4.3462286221406989E-3</v>
      </c>
      <c r="X187" s="66">
        <f t="shared" si="177"/>
        <v>4.2979141796596499E-3</v>
      </c>
      <c r="Y187" s="66">
        <f t="shared" si="177"/>
        <v>4.250374498502834E-3</v>
      </c>
      <c r="Z187" s="66">
        <f t="shared" si="177"/>
        <v>4.2033512956061595E-3</v>
      </c>
      <c r="AA187" s="66">
        <f t="shared" si="177"/>
        <v>4.1566718240766774E-3</v>
      </c>
      <c r="AB187" s="66">
        <f t="shared" si="177"/>
        <v>4.1102208541030291E-3</v>
      </c>
      <c r="AC187" s="66">
        <f t="shared" si="177"/>
        <v>4.06392166231242E-3</v>
      </c>
    </row>
    <row r="188" spans="1:29" x14ac:dyDescent="0.25">
      <c r="A188" s="59" t="str">
        <f>A151</f>
        <v>Market failure (av. utilization)</v>
      </c>
      <c r="B188" s="66">
        <f t="shared" ref="B188:AC188" si="178">B177/B151-B177/B150</f>
        <v>3.591058071772936E-2</v>
      </c>
      <c r="C188" s="66">
        <f t="shared" si="178"/>
        <v>3.572454403579213E-2</v>
      </c>
      <c r="D188" s="66">
        <f t="shared" si="178"/>
        <v>3.5469494704502308E-2</v>
      </c>
      <c r="E188" s="66">
        <f t="shared" si="178"/>
        <v>3.5126735733230198E-2</v>
      </c>
      <c r="F188" s="66">
        <f t="shared" si="178"/>
        <v>3.4678683541614103E-2</v>
      </c>
      <c r="G188" s="66">
        <f t="shared" si="178"/>
        <v>3.4114437536923309E-2</v>
      </c>
      <c r="H188" s="66">
        <f t="shared" si="178"/>
        <v>3.3437358527978474E-2</v>
      </c>
      <c r="I188" s="66">
        <f t="shared" si="178"/>
        <v>3.2671735422977903E-2</v>
      </c>
      <c r="J188" s="66">
        <f t="shared" si="178"/>
        <v>3.1917991275613268E-2</v>
      </c>
      <c r="K188" s="66">
        <f t="shared" si="178"/>
        <v>3.117727327959835E-2</v>
      </c>
      <c r="L188" s="66">
        <f t="shared" si="178"/>
        <v>3.0505121952693101E-2</v>
      </c>
      <c r="M188" s="66">
        <f t="shared" si="178"/>
        <v>2.9939434767307871E-2</v>
      </c>
      <c r="N188" s="66">
        <f t="shared" si="178"/>
        <v>2.9494726868429001E-2</v>
      </c>
      <c r="O188" s="66">
        <f t="shared" si="178"/>
        <v>2.9089967413796873E-2</v>
      </c>
      <c r="P188" s="66">
        <f t="shared" si="178"/>
        <v>2.8785889578074791E-2</v>
      </c>
      <c r="Q188" s="66">
        <f t="shared" si="178"/>
        <v>2.8561315373920121E-2</v>
      </c>
      <c r="R188" s="66">
        <f t="shared" si="178"/>
        <v>2.8396326169506152E-2</v>
      </c>
      <c r="S188" s="66">
        <f t="shared" si="178"/>
        <v>2.8274412839835505E-2</v>
      </c>
      <c r="T188" s="66">
        <f t="shared" si="178"/>
        <v>2.8182880363129888E-2</v>
      </c>
      <c r="U188" s="66">
        <f t="shared" si="178"/>
        <v>2.8112417302415177E-2</v>
      </c>
      <c r="V188" s="66">
        <f t="shared" si="178"/>
        <v>2.8056400149896486E-2</v>
      </c>
      <c r="W188" s="66">
        <f t="shared" si="178"/>
        <v>2.801021144567447E-2</v>
      </c>
      <c r="X188" s="66">
        <f t="shared" si="178"/>
        <v>2.7970674940645854E-2</v>
      </c>
      <c r="Y188" s="66">
        <f t="shared" si="178"/>
        <v>2.7935625112694325E-2</v>
      </c>
      <c r="Z188" s="66">
        <f t="shared" si="178"/>
        <v>2.7903594278671513E-2</v>
      </c>
      <c r="AA188" s="66">
        <f t="shared" si="178"/>
        <v>2.7873591655826709E-2</v>
      </c>
      <c r="AB188" s="66">
        <f t="shared" si="178"/>
        <v>2.784495017441372E-2</v>
      </c>
      <c r="AC188" s="66">
        <f t="shared" si="178"/>
        <v>2.7817221510662411E-2</v>
      </c>
    </row>
    <row r="189" spans="1:29" x14ac:dyDescent="0.25">
      <c r="A189" s="59" t="str">
        <f>A152</f>
        <v>Payload loss (fuel)</v>
      </c>
      <c r="B189" s="66">
        <f>B177/(B150-B152)-B177/B150</f>
        <v>7.0414591282912525E-3</v>
      </c>
      <c r="C189" s="66">
        <f t="shared" ref="C189:AC189" si="179">C177/(C150-C152)-C177/C150</f>
        <v>6.9828588543621173E-3</v>
      </c>
      <c r="D189" s="66">
        <f t="shared" si="179"/>
        <v>6.9018442954157516E-3</v>
      </c>
      <c r="E189" s="66">
        <f t="shared" si="179"/>
        <v>6.791576919394339E-3</v>
      </c>
      <c r="F189" s="66">
        <f t="shared" si="179"/>
        <v>6.6446462056256178E-3</v>
      </c>
      <c r="G189" s="66">
        <f t="shared" si="179"/>
        <v>6.4542293306818349E-3</v>
      </c>
      <c r="H189" s="66">
        <f t="shared" si="179"/>
        <v>6.2158549747534445E-3</v>
      </c>
      <c r="I189" s="66">
        <f t="shared" si="179"/>
        <v>5.9292918566363276E-3</v>
      </c>
      <c r="J189" s="66">
        <f t="shared" si="179"/>
        <v>5.6092583069430324E-3</v>
      </c>
      <c r="K189" s="66">
        <f t="shared" si="179"/>
        <v>5.255162681723019E-3</v>
      </c>
      <c r="L189" s="66">
        <f t="shared" si="179"/>
        <v>4.8810765427735395E-3</v>
      </c>
      <c r="M189" s="66">
        <f t="shared" si="179"/>
        <v>4.5038312884752088E-3</v>
      </c>
      <c r="N189" s="66">
        <f t="shared" si="179"/>
        <v>4.1417431402014024E-3</v>
      </c>
      <c r="O189" s="66">
        <f t="shared" si="179"/>
        <v>3.8024142206096179E-3</v>
      </c>
      <c r="P189" s="66">
        <f t="shared" si="179"/>
        <v>3.5106476484533314E-3</v>
      </c>
      <c r="Q189" s="66">
        <f t="shared" si="179"/>
        <v>3.2725454865086059E-3</v>
      </c>
      <c r="R189" s="66">
        <f t="shared" si="179"/>
        <v>3.0870415618818522E-3</v>
      </c>
      <c r="S189" s="66">
        <f t="shared" si="179"/>
        <v>2.9479012200617771E-3</v>
      </c>
      <c r="T189" s="66">
        <f t="shared" si="179"/>
        <v>2.846497729164732E-3</v>
      </c>
      <c r="U189" s="66">
        <f t="shared" si="179"/>
        <v>2.7740606783168628E-3</v>
      </c>
      <c r="V189" s="66">
        <f t="shared" si="179"/>
        <v>2.7229404701905324E-3</v>
      </c>
      <c r="W189" s="66">
        <f t="shared" si="179"/>
        <v>2.6870483791582855E-3</v>
      </c>
      <c r="X189" s="66">
        <f t="shared" si="179"/>
        <v>2.66181256184405E-3</v>
      </c>
      <c r="Y189" s="66">
        <f t="shared" si="179"/>
        <v>2.643928738708827E-3</v>
      </c>
      <c r="Z189" s="66">
        <f t="shared" si="179"/>
        <v>2.6310684048796371E-3</v>
      </c>
      <c r="AA189" s="66">
        <f t="shared" si="179"/>
        <v>2.6216180997536073E-3</v>
      </c>
      <c r="AB189" s="66">
        <f t="shared" si="179"/>
        <v>2.614472346909702E-3</v>
      </c>
      <c r="AC189" s="66">
        <f t="shared" si="179"/>
        <v>2.6088794044930377E-3</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210</v>
      </c>
      <c r="B191" s="67">
        <f>B180+B181+B182+B183+B184+B185+B186+B187+B188+B189+B190</f>
        <v>0.10531087632523629</v>
      </c>
      <c r="C191" s="67">
        <f t="shared" ref="C191:AC191" si="181">C180+C181+C182+C183+C184+C185+C186+C187+C188+C189+C190</f>
        <v>0.10473550749037042</v>
      </c>
      <c r="D191" s="67">
        <f t="shared" si="181"/>
        <v>0.10394602256673009</v>
      </c>
      <c r="E191" s="67">
        <f t="shared" si="181"/>
        <v>0.10288364693717506</v>
      </c>
      <c r="F191" s="67">
        <f t="shared" si="181"/>
        <v>0.10149212680225049</v>
      </c>
      <c r="G191" s="67">
        <f t="shared" si="181"/>
        <v>9.9734359914276746E-2</v>
      </c>
      <c r="H191" s="67">
        <f t="shared" si="181"/>
        <v>9.7615210533501584E-2</v>
      </c>
      <c r="I191" s="67">
        <f t="shared" si="181"/>
        <v>9.5201916568160655E-2</v>
      </c>
      <c r="J191" s="67">
        <f t="shared" si="181"/>
        <v>9.2788149275787823E-2</v>
      </c>
      <c r="K191" s="67">
        <f t="shared" si="181"/>
        <v>9.0376503661637492E-2</v>
      </c>
      <c r="L191" s="67">
        <f t="shared" si="181"/>
        <v>8.8135330503506748E-2</v>
      </c>
      <c r="M191" s="67">
        <f t="shared" si="181"/>
        <v>8.6186731956471668E-2</v>
      </c>
      <c r="N191" s="67">
        <f t="shared" si="181"/>
        <v>8.4589344089089913E-2</v>
      </c>
      <c r="O191" s="67">
        <f t="shared" si="181"/>
        <v>8.3125683351075508E-2</v>
      </c>
      <c r="P191" s="67">
        <f t="shared" si="181"/>
        <v>8.1989256124135684E-2</v>
      </c>
      <c r="Q191" s="67">
        <f t="shared" si="181"/>
        <v>8.1127336728427979E-2</v>
      </c>
      <c r="R191" s="67">
        <f t="shared" si="181"/>
        <v>8.0483529458206887E-2</v>
      </c>
      <c r="S191" s="67">
        <f t="shared" si="181"/>
        <v>8.0005740978412787E-2</v>
      </c>
      <c r="T191" s="67">
        <f t="shared" si="181"/>
        <v>7.9650080607777923E-2</v>
      </c>
      <c r="U191" s="67">
        <f t="shared" si="181"/>
        <v>7.9381912832722501E-2</v>
      </c>
      <c r="V191" s="67">
        <f t="shared" si="181"/>
        <v>7.9175189423155379E-2</v>
      </c>
      <c r="W191" s="67">
        <f t="shared" si="181"/>
        <v>7.9010995375950868E-2</v>
      </c>
      <c r="X191" s="67">
        <f t="shared" si="181"/>
        <v>7.8875935933557129E-2</v>
      </c>
      <c r="Y191" s="67">
        <f t="shared" si="181"/>
        <v>7.8760691477223227E-2</v>
      </c>
      <c r="Z191" s="67">
        <f t="shared" si="181"/>
        <v>7.8658856604441774E-2</v>
      </c>
      <c r="AA191" s="67">
        <f t="shared" si="181"/>
        <v>7.8566065680302416E-2</v>
      </c>
      <c r="AB191" s="67">
        <f t="shared" si="181"/>
        <v>7.8479360256866859E-2</v>
      </c>
      <c r="AC191" s="67">
        <f t="shared" si="181"/>
        <v>7.8396743248474315E-2</v>
      </c>
    </row>
    <row r="193" spans="2:2" x14ac:dyDescent="0.25">
      <c r="B193" s="40"/>
    </row>
    <row r="215" spans="1:44" s="3" customFormat="1" ht="21" x14ac:dyDescent="0.35">
      <c r="A215" s="2" t="str">
        <f>'Parameter Input'!A101</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Input'!$L$89</f>
        <v>400000</v>
      </c>
      <c r="C225" s="42">
        <f>'Parameter Input'!$M$89</f>
        <v>145000</v>
      </c>
      <c r="D225" s="1" t="s">
        <v>15</v>
      </c>
      <c r="L225" s="51">
        <f>'Parameter Input'!$O$89</f>
        <v>8</v>
      </c>
      <c r="M225" s="52">
        <v>0</v>
      </c>
      <c r="N225" s="52">
        <v>1</v>
      </c>
      <c r="O225" s="52">
        <f>'Parameter Input'!$P$89</f>
        <v>0.9</v>
      </c>
      <c r="P225" s="53">
        <f>'Parameter Input'!$Q$89</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28</v>
      </c>
      <c r="B226" s="60">
        <f>'Parameter Input'!$L$90</f>
        <v>-60000</v>
      </c>
      <c r="C226" s="61">
        <f>'Parameter Input'!$M$90</f>
        <v>-36250</v>
      </c>
      <c r="D226" s="1" t="s">
        <v>15</v>
      </c>
      <c r="L226" s="54">
        <f>'Parameter Input'!$O$90</f>
        <v>8</v>
      </c>
      <c r="M226" s="37">
        <v>0</v>
      </c>
      <c r="N226" s="37">
        <v>1</v>
      </c>
      <c r="O226" s="37">
        <f>'Parameter Input'!$P$90</f>
        <v>0.9</v>
      </c>
      <c r="P226" s="55">
        <f>'Parameter Input'!$Q$90</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45">
        <f>'Parameter Input'!$L$96</f>
        <v>0.06</v>
      </c>
      <c r="C229" s="46">
        <f>'Parameter Input'!$M$96</f>
        <v>0.06</v>
      </c>
      <c r="D229" s="1" t="s">
        <v>57</v>
      </c>
      <c r="L229" s="54">
        <f>'Parameter Input'!$O$96</f>
        <v>12</v>
      </c>
      <c r="M229" s="37">
        <v>0</v>
      </c>
      <c r="N229" s="37">
        <v>1</v>
      </c>
      <c r="O229" s="37">
        <f>'Parameter Input'!$P$96</f>
        <v>0.9</v>
      </c>
      <c r="P229" s="55">
        <f>'Parameter Input'!$Q$96</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43">
        <f>'Parameter Input'!$L$92</f>
        <v>15000</v>
      </c>
      <c r="C231" s="44">
        <f>'Parameter Input'!$M$92</f>
        <v>15000</v>
      </c>
      <c r="D231" s="1" t="s">
        <v>38</v>
      </c>
      <c r="L231" s="54">
        <f>'Parameter Input'!$O$92</f>
        <v>8</v>
      </c>
      <c r="M231" s="37">
        <v>0</v>
      </c>
      <c r="N231" s="37">
        <v>1</v>
      </c>
      <c r="O231" s="37">
        <f>'Parameter Input'!$P$92</f>
        <v>0.9</v>
      </c>
      <c r="P231" s="55">
        <f>'Parameter Input'!$Q$92</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47">
        <f>'Parameter Input'!$L$93</f>
        <v>1.52</v>
      </c>
      <c r="C233" s="48">
        <f>'Parameter Input'!$M$93</f>
        <v>1.1499999999999999</v>
      </c>
      <c r="D233" s="1" t="s">
        <v>60</v>
      </c>
      <c r="L233" s="54">
        <f>'Parameter Input'!$O$93</f>
        <v>8</v>
      </c>
      <c r="M233" s="37">
        <v>0</v>
      </c>
      <c r="N233" s="37">
        <v>1</v>
      </c>
      <c r="O233" s="37">
        <f>'Parameter Input'!$P$93</f>
        <v>0.9</v>
      </c>
      <c r="P233" s="55">
        <f>'Parameter Input'!$Q$93</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67</v>
      </c>
      <c r="B234" s="45">
        <f>'Parameter Input'!$L$94</f>
        <v>0.13371034051801745</v>
      </c>
      <c r="C234" s="46">
        <f>'Parameter Input'!$M$94</f>
        <v>8.7585019329602734E-2</v>
      </c>
      <c r="D234" s="1" t="s">
        <v>68</v>
      </c>
      <c r="L234" s="54">
        <f>'Parameter Input'!$O$94</f>
        <v>12</v>
      </c>
      <c r="M234" s="37">
        <v>0</v>
      </c>
      <c r="N234" s="37">
        <v>1</v>
      </c>
      <c r="O234" s="37">
        <f>'Parameter Input'!$P$94</f>
        <v>0.9</v>
      </c>
      <c r="P234" s="55">
        <f>'Parameter Input'!$Q$94</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115">
        <f>'Parameter Input'!$L$97</f>
        <v>0</v>
      </c>
      <c r="C235" s="116">
        <f>'Parameter Input'!$M$97</f>
        <v>0</v>
      </c>
      <c r="D235" s="1" t="s">
        <v>76</v>
      </c>
      <c r="L235" s="54">
        <f>'Parameter Input'!$O$97</f>
        <v>17</v>
      </c>
      <c r="M235" s="37">
        <v>0</v>
      </c>
      <c r="N235" s="37">
        <v>1</v>
      </c>
      <c r="O235" s="37">
        <f>'Parameter Input'!$P$97</f>
        <v>0.9</v>
      </c>
      <c r="P235" s="55">
        <f>'Parameter Input'!$Q$97</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43">
        <f>'Parameter Input'!$L$91</f>
        <v>8</v>
      </c>
      <c r="C236" s="44">
        <f>'Parameter Input'!$M$91</f>
        <v>8</v>
      </c>
      <c r="D236" s="1" t="s">
        <v>42</v>
      </c>
      <c r="L236" s="54">
        <f>'Parameter Input'!$O$91</f>
        <v>8</v>
      </c>
      <c r="M236" s="37">
        <v>0</v>
      </c>
      <c r="N236" s="37">
        <v>1</v>
      </c>
      <c r="O236" s="37">
        <f>'Parameter Input'!$P$91</f>
        <v>0.9</v>
      </c>
      <c r="P236" s="55">
        <f>'Parameter Input'!$Q$91</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72">
        <f>'Parameter Input'!$L$95</f>
        <v>0.1</v>
      </c>
      <c r="C240" s="73">
        <f>'Parameter Input'!$M$95</f>
        <v>0.05</v>
      </c>
      <c r="D240" s="1" t="s">
        <v>57</v>
      </c>
      <c r="L240" s="54">
        <f>'Parameter Input'!$O$95</f>
        <v>12</v>
      </c>
      <c r="M240" s="37">
        <v>0</v>
      </c>
      <c r="N240" s="37">
        <v>1</v>
      </c>
      <c r="O240" s="37">
        <f>'Parameter Input'!$P$95</f>
        <v>0.9</v>
      </c>
      <c r="P240" s="55">
        <f>'Parameter Input'!$Q$95</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216">A235</f>
        <v>Emission Cost</v>
      </c>
      <c r="B255" s="66">
        <f>$B235+($C235-$B235)*(1-Q235)</f>
        <v>0</v>
      </c>
      <c r="C255" s="66">
        <f t="shared" ref="C255" si="217">$B235+($C235-$B235)*(1-R235)</f>
        <v>0</v>
      </c>
      <c r="D255" s="66">
        <f t="shared" ref="D255" si="218">$B235+($C235-$B235)*(1-S235)</f>
        <v>0</v>
      </c>
      <c r="E255" s="66">
        <f t="shared" ref="E255:AC255" si="219">$B235+($C235-$B235)*(1-T235)</f>
        <v>0</v>
      </c>
      <c r="F255" s="66">
        <f t="shared" si="219"/>
        <v>0</v>
      </c>
      <c r="G255" s="66">
        <f t="shared" si="219"/>
        <v>0</v>
      </c>
      <c r="H255" s="66">
        <f t="shared" si="219"/>
        <v>0</v>
      </c>
      <c r="I255" s="66">
        <f t="shared" si="219"/>
        <v>0</v>
      </c>
      <c r="J255" s="66">
        <f t="shared" si="219"/>
        <v>0</v>
      </c>
      <c r="K255" s="66">
        <f t="shared" si="219"/>
        <v>0</v>
      </c>
      <c r="L255" s="66">
        <f t="shared" si="219"/>
        <v>0</v>
      </c>
      <c r="M255" s="66">
        <f t="shared" si="219"/>
        <v>0</v>
      </c>
      <c r="N255" s="66">
        <f t="shared" si="219"/>
        <v>0</v>
      </c>
      <c r="O255" s="66">
        <f t="shared" si="219"/>
        <v>0</v>
      </c>
      <c r="P255" s="66">
        <f t="shared" si="219"/>
        <v>0</v>
      </c>
      <c r="Q255" s="66">
        <f t="shared" si="219"/>
        <v>0</v>
      </c>
      <c r="R255" s="66">
        <f t="shared" si="219"/>
        <v>0</v>
      </c>
      <c r="S255" s="66">
        <f t="shared" si="219"/>
        <v>0</v>
      </c>
      <c r="T255" s="66">
        <f t="shared" si="219"/>
        <v>0</v>
      </c>
      <c r="U255" s="66">
        <f t="shared" si="219"/>
        <v>0</v>
      </c>
      <c r="V255" s="66">
        <f t="shared" si="219"/>
        <v>0</v>
      </c>
      <c r="W255" s="66">
        <f t="shared" si="219"/>
        <v>0</v>
      </c>
      <c r="X255" s="66">
        <f t="shared" si="219"/>
        <v>0</v>
      </c>
      <c r="Y255" s="66">
        <f t="shared" si="219"/>
        <v>0</v>
      </c>
      <c r="Z255" s="66">
        <f t="shared" si="219"/>
        <v>0</v>
      </c>
      <c r="AA255" s="66">
        <f t="shared" si="219"/>
        <v>0</v>
      </c>
      <c r="AB255" s="66">
        <f t="shared" si="219"/>
        <v>0</v>
      </c>
      <c r="AC255" s="66">
        <f t="shared" si="219"/>
        <v>0</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14830.890353996074</v>
      </c>
      <c r="C271" s="62">
        <f t="shared" ref="C271:AC271" si="234">C253*C254*C261</f>
        <v>14749.878314698361</v>
      </c>
      <c r="D271" s="62">
        <f t="shared" si="234"/>
        <v>14638.813839487611</v>
      </c>
      <c r="E271" s="62">
        <f t="shared" si="234"/>
        <v>14489.555085992377</v>
      </c>
      <c r="F271" s="62">
        <f t="shared" si="234"/>
        <v>14294.44506050354</v>
      </c>
      <c r="G271" s="62">
        <f t="shared" si="234"/>
        <v>14048.736961274959</v>
      </c>
      <c r="H271" s="62">
        <f t="shared" si="234"/>
        <v>13753.894295252754</v>
      </c>
      <c r="I271" s="62">
        <f t="shared" si="234"/>
        <v>13420.493976435666</v>
      </c>
      <c r="J271" s="62">
        <f t="shared" si="234"/>
        <v>13322.956069889837</v>
      </c>
      <c r="K271" s="62">
        <f t="shared" si="234"/>
        <v>13218.908949958095</v>
      </c>
      <c r="L271" s="62">
        <f t="shared" si="234"/>
        <v>13134.177101914318</v>
      </c>
      <c r="M271" s="62">
        <f t="shared" si="234"/>
        <v>13088.047153165913</v>
      </c>
      <c r="N271" s="62">
        <f t="shared" si="234"/>
        <v>13089.867721929466</v>
      </c>
      <c r="O271" s="62">
        <f t="shared" si="234"/>
        <v>12785.928142233597</v>
      </c>
      <c r="P271" s="62">
        <f t="shared" si="234"/>
        <v>12531.954692710384</v>
      </c>
      <c r="Q271" s="62">
        <f t="shared" si="234"/>
        <v>12316.940247624831</v>
      </c>
      <c r="R271" s="62">
        <f t="shared" si="234"/>
        <v>12130.799563950841</v>
      </c>
      <c r="S271" s="62">
        <f t="shared" si="234"/>
        <v>11965.318551270997</v>
      </c>
      <c r="T271" s="62">
        <f t="shared" si="234"/>
        <v>11814.266467882806</v>
      </c>
      <c r="U271" s="62">
        <f t="shared" si="234"/>
        <v>11673.126348807815</v>
      </c>
      <c r="V271" s="62">
        <f t="shared" si="234"/>
        <v>11538.719011534142</v>
      </c>
      <c r="W271" s="62">
        <f t="shared" si="234"/>
        <v>11408.850133119335</v>
      </c>
      <c r="X271" s="62">
        <f t="shared" si="234"/>
        <v>11282.02472160658</v>
      </c>
      <c r="Y271" s="62">
        <f t="shared" si="234"/>
        <v>11157.23305856994</v>
      </c>
      <c r="Z271" s="62">
        <f t="shared" si="234"/>
        <v>11033.797150966167</v>
      </c>
      <c r="AA271" s="62">
        <f t="shared" si="234"/>
        <v>10911.26353820128</v>
      </c>
      <c r="AB271" s="62">
        <f t="shared" si="234"/>
        <v>10789.329742020453</v>
      </c>
      <c r="AC271" s="62">
        <f t="shared" si="234"/>
        <v>10667.794363570103</v>
      </c>
    </row>
    <row r="272" spans="1:29" ht="15.75" thickBot="1" x14ac:dyDescent="0.3">
      <c r="A272" s="59" t="str">
        <f>A235</f>
        <v>Emission Cost</v>
      </c>
      <c r="B272" s="62">
        <f>B255*B261</f>
        <v>0</v>
      </c>
      <c r="C272" s="62">
        <f t="shared" ref="C272:AC272" si="235">C255*C261</f>
        <v>0</v>
      </c>
      <c r="D272" s="62">
        <f t="shared" si="235"/>
        <v>0</v>
      </c>
      <c r="E272" s="62">
        <f t="shared" si="235"/>
        <v>0</v>
      </c>
      <c r="F272" s="62">
        <f t="shared" si="235"/>
        <v>0</v>
      </c>
      <c r="G272" s="62">
        <f t="shared" si="235"/>
        <v>0</v>
      </c>
      <c r="H272" s="62">
        <f t="shared" si="235"/>
        <v>0</v>
      </c>
      <c r="I272" s="62">
        <f t="shared" si="235"/>
        <v>0</v>
      </c>
      <c r="J272" s="62">
        <f t="shared" si="235"/>
        <v>0</v>
      </c>
      <c r="K272" s="62">
        <f t="shared" si="235"/>
        <v>0</v>
      </c>
      <c r="L272" s="62">
        <f t="shared" si="235"/>
        <v>0</v>
      </c>
      <c r="M272" s="62">
        <f t="shared" si="235"/>
        <v>0</v>
      </c>
      <c r="N272" s="62">
        <f t="shared" si="235"/>
        <v>0</v>
      </c>
      <c r="O272" s="62">
        <f t="shared" si="235"/>
        <v>0</v>
      </c>
      <c r="P272" s="62">
        <f t="shared" si="235"/>
        <v>0</v>
      </c>
      <c r="Q272" s="62">
        <f t="shared" si="235"/>
        <v>0</v>
      </c>
      <c r="R272" s="62">
        <f t="shared" si="235"/>
        <v>0</v>
      </c>
      <c r="S272" s="62">
        <f t="shared" si="235"/>
        <v>0</v>
      </c>
      <c r="T272" s="62">
        <f t="shared" si="235"/>
        <v>0</v>
      </c>
      <c r="U272" s="62">
        <f t="shared" si="235"/>
        <v>0</v>
      </c>
      <c r="V272" s="62">
        <f t="shared" si="235"/>
        <v>0</v>
      </c>
      <c r="W272" s="62">
        <f t="shared" si="235"/>
        <v>0</v>
      </c>
      <c r="X272" s="62">
        <f t="shared" si="235"/>
        <v>0</v>
      </c>
      <c r="Y272" s="62">
        <f t="shared" si="235"/>
        <v>0</v>
      </c>
      <c r="Z272" s="62">
        <f t="shared" si="235"/>
        <v>0</v>
      </c>
      <c r="AA272" s="62">
        <f t="shared" si="235"/>
        <v>0</v>
      </c>
      <c r="AB272" s="62">
        <f t="shared" si="235"/>
        <v>0</v>
      </c>
      <c r="AC272" s="62">
        <f t="shared" si="235"/>
        <v>0</v>
      </c>
    </row>
    <row r="273" spans="1:29" ht="15.75" thickBot="1" x14ac:dyDescent="0.3">
      <c r="A273" s="31" t="s">
        <v>209</v>
      </c>
      <c r="B273" s="64">
        <f>B264+B265+B266+B267+B268+B269+B270+B271+B272</f>
        <v>167173.53838388468</v>
      </c>
      <c r="C273" s="64">
        <f t="shared" ref="C273:AC273" si="236">C264+C265+C266+C267+C268+C269+C270+C271+C272</f>
        <v>166267.88343279305</v>
      </c>
      <c r="D273" s="64">
        <f t="shared" si="236"/>
        <v>165026.26437546551</v>
      </c>
      <c r="E273" s="64">
        <f t="shared" si="236"/>
        <v>163357.6614089366</v>
      </c>
      <c r="F273" s="64">
        <f t="shared" si="236"/>
        <v>161176.47498129704</v>
      </c>
      <c r="G273" s="64">
        <f t="shared" si="236"/>
        <v>158429.63934404185</v>
      </c>
      <c r="H273" s="64">
        <f t="shared" si="236"/>
        <v>155133.51542726494</v>
      </c>
      <c r="I273" s="64">
        <f t="shared" si="236"/>
        <v>151406.34534180898</v>
      </c>
      <c r="J273" s="64">
        <f t="shared" si="236"/>
        <v>147726.01861690951</v>
      </c>
      <c r="K273" s="64">
        <f t="shared" si="236"/>
        <v>144109.68526115079</v>
      </c>
      <c r="L273" s="64">
        <f t="shared" si="236"/>
        <v>140827.6469572986</v>
      </c>
      <c r="M273" s="64">
        <f t="shared" si="236"/>
        <v>138064.26182630804</v>
      </c>
      <c r="N273" s="64">
        <f t="shared" si="236"/>
        <v>135890.04762692738</v>
      </c>
      <c r="O273" s="64">
        <f t="shared" si="236"/>
        <v>133925.69693982246</v>
      </c>
      <c r="P273" s="64">
        <f t="shared" si="236"/>
        <v>132451.18816119025</v>
      </c>
      <c r="Q273" s="64">
        <f t="shared" si="236"/>
        <v>131363.50861286672</v>
      </c>
      <c r="R273" s="64">
        <f t="shared" si="236"/>
        <v>130565.75856670036</v>
      </c>
      <c r="S273" s="64">
        <f t="shared" si="236"/>
        <v>129977.61789208895</v>
      </c>
      <c r="T273" s="64">
        <f t="shared" si="236"/>
        <v>129537.31874010219</v>
      </c>
      <c r="U273" s="64">
        <f t="shared" si="236"/>
        <v>129199.5536235481</v>
      </c>
      <c r="V273" s="64">
        <f t="shared" si="236"/>
        <v>128932.09233840626</v>
      </c>
      <c r="W273" s="64">
        <f t="shared" si="236"/>
        <v>128712.46512784858</v>
      </c>
      <c r="X273" s="64">
        <f t="shared" si="236"/>
        <v>128525.21485301878</v>
      </c>
      <c r="Y273" s="64">
        <f t="shared" si="236"/>
        <v>128359.80259873367</v>
      </c>
      <c r="Z273" s="64">
        <f t="shared" si="236"/>
        <v>128209.0853105398</v>
      </c>
      <c r="AA273" s="64">
        <f t="shared" si="236"/>
        <v>128068.24075501753</v>
      </c>
      <c r="AB273" s="64">
        <f t="shared" si="236"/>
        <v>127934.02210602294</v>
      </c>
      <c r="AC273" s="64">
        <f t="shared" si="236"/>
        <v>127804.24714887921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0.14124657479996261</v>
      </c>
      <c r="C283" s="66">
        <f t="shared" ref="C283:AC283" si="245">C253*C254*C261/C261</f>
        <v>0.14047503156855581</v>
      </c>
      <c r="D283" s="66">
        <f t="shared" si="245"/>
        <v>0.13941727466178677</v>
      </c>
      <c r="E283" s="66">
        <f t="shared" si="245"/>
        <v>0.13799576272373693</v>
      </c>
      <c r="F283" s="66">
        <f t="shared" si="245"/>
        <v>0.13613757200479562</v>
      </c>
      <c r="G283" s="66">
        <f t="shared" si="245"/>
        <v>0.13379749486928533</v>
      </c>
      <c r="H283" s="66">
        <f t="shared" si="245"/>
        <v>0.13098946947859766</v>
      </c>
      <c r="I283" s="66">
        <f t="shared" si="245"/>
        <v>0.12781422834700634</v>
      </c>
      <c r="J283" s="66">
        <f t="shared" si="245"/>
        <v>0.12688529590371272</v>
      </c>
      <c r="K283" s="66">
        <f t="shared" si="245"/>
        <v>0.12589437095198186</v>
      </c>
      <c r="L283" s="66">
        <f t="shared" si="245"/>
        <v>0.12508740097061255</v>
      </c>
      <c r="M283" s="66">
        <f t="shared" si="245"/>
        <v>0.12464806812538964</v>
      </c>
      <c r="N283" s="66">
        <f t="shared" si="245"/>
        <v>0.12466540687551872</v>
      </c>
      <c r="O283" s="66">
        <f t="shared" si="245"/>
        <v>0.12177074421174855</v>
      </c>
      <c r="P283" s="66">
        <f t="shared" si="245"/>
        <v>0.11935194945438461</v>
      </c>
      <c r="Q283" s="66">
        <f t="shared" si="245"/>
        <v>0.1173041928345222</v>
      </c>
      <c r="R283" s="66">
        <f t="shared" si="245"/>
        <v>0.11553142441857944</v>
      </c>
      <c r="S283" s="66">
        <f t="shared" si="245"/>
        <v>0.1139554147740095</v>
      </c>
      <c r="T283" s="66">
        <f t="shared" si="245"/>
        <v>0.11251682350364577</v>
      </c>
      <c r="U283" s="66">
        <f t="shared" si="245"/>
        <v>0.11117263189340776</v>
      </c>
      <c r="V283" s="66">
        <f t="shared" si="245"/>
        <v>0.10989256201461088</v>
      </c>
      <c r="W283" s="66">
        <f t="shared" si="245"/>
        <v>0.10865571555351747</v>
      </c>
      <c r="X283" s="66">
        <f t="shared" si="245"/>
        <v>0.10744785449149123</v>
      </c>
      <c r="Y283" s="66">
        <f t="shared" si="245"/>
        <v>0.10625936246257085</v>
      </c>
      <c r="Z283" s="66">
        <f t="shared" si="245"/>
        <v>0.10508378239015398</v>
      </c>
      <c r="AA283" s="66">
        <f t="shared" si="245"/>
        <v>0.10391679560191695</v>
      </c>
      <c r="AB283" s="66">
        <f t="shared" si="245"/>
        <v>0.10275552135257573</v>
      </c>
      <c r="AC283" s="66">
        <f t="shared" si="245"/>
        <v>0.10159804155781051</v>
      </c>
    </row>
    <row r="284" spans="1:29" ht="15.75" thickBot="1" x14ac:dyDescent="0.3">
      <c r="A284" s="59" t="str">
        <f t="shared" ref="A284" si="246">A272</f>
        <v>Emission Cost</v>
      </c>
      <c r="B284" s="66">
        <f>B255</f>
        <v>0</v>
      </c>
      <c r="C284" s="66">
        <f t="shared" ref="C284:AC284" si="247">C255</f>
        <v>0</v>
      </c>
      <c r="D284" s="66">
        <f t="shared" si="247"/>
        <v>0</v>
      </c>
      <c r="E284" s="66">
        <f t="shared" si="247"/>
        <v>0</v>
      </c>
      <c r="F284" s="66">
        <f t="shared" si="247"/>
        <v>0</v>
      </c>
      <c r="G284" s="66">
        <f t="shared" si="247"/>
        <v>0</v>
      </c>
      <c r="H284" s="66">
        <f t="shared" si="247"/>
        <v>0</v>
      </c>
      <c r="I284" s="66">
        <f t="shared" si="247"/>
        <v>0</v>
      </c>
      <c r="J284" s="66">
        <f t="shared" si="247"/>
        <v>0</v>
      </c>
      <c r="K284" s="66">
        <f t="shared" si="247"/>
        <v>0</v>
      </c>
      <c r="L284" s="66">
        <f t="shared" si="247"/>
        <v>0</v>
      </c>
      <c r="M284" s="66">
        <f t="shared" si="247"/>
        <v>0</v>
      </c>
      <c r="N284" s="66">
        <f t="shared" si="247"/>
        <v>0</v>
      </c>
      <c r="O284" s="66">
        <f t="shared" si="247"/>
        <v>0</v>
      </c>
      <c r="P284" s="66">
        <f t="shared" si="247"/>
        <v>0</v>
      </c>
      <c r="Q284" s="66">
        <f t="shared" si="247"/>
        <v>0</v>
      </c>
      <c r="R284" s="66">
        <f t="shared" si="247"/>
        <v>0</v>
      </c>
      <c r="S284" s="66">
        <f t="shared" si="247"/>
        <v>0</v>
      </c>
      <c r="T284" s="66">
        <f t="shared" si="247"/>
        <v>0</v>
      </c>
      <c r="U284" s="66">
        <f t="shared" si="247"/>
        <v>0</v>
      </c>
      <c r="V284" s="66">
        <f t="shared" si="247"/>
        <v>0</v>
      </c>
      <c r="W284" s="66">
        <f t="shared" si="247"/>
        <v>0</v>
      </c>
      <c r="X284" s="66">
        <f t="shared" si="247"/>
        <v>0</v>
      </c>
      <c r="Y284" s="66">
        <f t="shared" si="247"/>
        <v>0</v>
      </c>
      <c r="Z284" s="66">
        <f t="shared" si="247"/>
        <v>0</v>
      </c>
      <c r="AA284" s="66">
        <f t="shared" si="247"/>
        <v>0</v>
      </c>
      <c r="AB284" s="66">
        <f t="shared" si="247"/>
        <v>0</v>
      </c>
      <c r="AC284" s="66">
        <f t="shared" si="247"/>
        <v>0</v>
      </c>
    </row>
    <row r="285" spans="1:29" ht="15.75" thickBot="1" x14ac:dyDescent="0.3">
      <c r="A285" s="31" t="s">
        <v>63</v>
      </c>
      <c r="B285" s="76">
        <f>B276+B277+B278-B279+B280+B281+B282+B283+B284</f>
        <v>1.6115386453065756</v>
      </c>
      <c r="C285" s="76">
        <f t="shared" ref="C285:AC285" si="248">C276+C277+C278-C279+C280+C281+C282+C283+C284</f>
        <v>1.6029133600580838</v>
      </c>
      <c r="D285" s="76">
        <f t="shared" si="248"/>
        <v>1.5910884166549644</v>
      </c>
      <c r="E285" s="76">
        <f t="shared" si="248"/>
        <v>1.5751969598308797</v>
      </c>
      <c r="F285" s="76">
        <f t="shared" si="248"/>
        <v>1.5544237557581215</v>
      </c>
      <c r="G285" s="76">
        <f t="shared" si="248"/>
        <v>1.5282634163556912</v>
      </c>
      <c r="H285" s="76">
        <f t="shared" si="248"/>
        <v>1.4968717600054351</v>
      </c>
      <c r="I285" s="76">
        <f t="shared" si="248"/>
        <v>1.4613749020487119</v>
      </c>
      <c r="J285" s="76">
        <f t="shared" si="248"/>
        <v>1.4263241713353836</v>
      </c>
      <c r="K285" s="76">
        <f t="shared" si="248"/>
        <v>1.3918829012805385</v>
      </c>
      <c r="L285" s="76">
        <f t="shared" si="248"/>
        <v>1.3606253936248036</v>
      </c>
      <c r="M285" s="76">
        <f t="shared" si="248"/>
        <v>1.3343074399963217</v>
      </c>
      <c r="N285" s="76">
        <f t="shared" si="248"/>
        <v>1.3136006380974583</v>
      </c>
      <c r="O285" s="76">
        <f t="shared" si="248"/>
        <v>1.2948925363155068</v>
      </c>
      <c r="P285" s="76">
        <f t="shared" si="248"/>
        <v>1.2808495955666286</v>
      </c>
      <c r="Q285" s="76">
        <f t="shared" si="248"/>
        <v>1.2704907427254521</v>
      </c>
      <c r="R285" s="76">
        <f t="shared" si="248"/>
        <v>1.2628931232381535</v>
      </c>
      <c r="S285" s="76">
        <f t="shared" si="248"/>
        <v>1.2572917834799497</v>
      </c>
      <c r="T285" s="76">
        <f t="shared" si="248"/>
        <v>1.2530984582229328</v>
      </c>
      <c r="U285" s="76">
        <f t="shared" si="248"/>
        <v>1.2498816475890844</v>
      </c>
      <c r="V285" s="76">
        <f t="shared" si="248"/>
        <v>1.2473343972544004</v>
      </c>
      <c r="W285" s="76">
        <f t="shared" si="248"/>
        <v>1.2452427095348031</v>
      </c>
      <c r="X285" s="76">
        <f t="shared" si="248"/>
        <v>1.2434593735840431</v>
      </c>
      <c r="Y285" s="76">
        <f t="shared" si="248"/>
        <v>1.241884018781328</v>
      </c>
      <c r="Z285" s="76">
        <f t="shared" si="248"/>
        <v>1.2404486160366244</v>
      </c>
      <c r="AA285" s="76">
        <f t="shared" si="248"/>
        <v>1.2391072393173646</v>
      </c>
      <c r="AB285" s="76">
        <f t="shared" si="248"/>
        <v>1.2378289664697972</v>
      </c>
      <c r="AC285" s="76">
        <f t="shared" si="248"/>
        <v>1.2365930144969997</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5.6498629919985045E-3</v>
      </c>
      <c r="C295" s="66">
        <f t="shared" ref="C295:AC295" si="257">C253*C254*C261/C261/(C258)</f>
        <v>5.6190012627422327E-3</v>
      </c>
      <c r="D295" s="66">
        <f t="shared" si="257"/>
        <v>5.5766909864714709E-3</v>
      </c>
      <c r="E295" s="66">
        <f t="shared" si="257"/>
        <v>5.5198305089494771E-3</v>
      </c>
      <c r="F295" s="66">
        <f t="shared" si="257"/>
        <v>5.4455028801918244E-3</v>
      </c>
      <c r="G295" s="66">
        <f t="shared" si="257"/>
        <v>5.351899794771413E-3</v>
      </c>
      <c r="H295" s="66">
        <f t="shared" si="257"/>
        <v>5.2395787791439065E-3</v>
      </c>
      <c r="I295" s="66">
        <f t="shared" si="257"/>
        <v>5.1125691338802541E-3</v>
      </c>
      <c r="J295" s="66">
        <f t="shared" si="257"/>
        <v>5.0754118361485091E-3</v>
      </c>
      <c r="K295" s="66">
        <f t="shared" si="257"/>
        <v>5.0357748380792742E-3</v>
      </c>
      <c r="L295" s="66">
        <f t="shared" si="257"/>
        <v>5.0034960388245023E-3</v>
      </c>
      <c r="M295" s="66">
        <f t="shared" si="257"/>
        <v>4.985922725015586E-3</v>
      </c>
      <c r="N295" s="66">
        <f t="shared" si="257"/>
        <v>4.9866162750207485E-3</v>
      </c>
      <c r="O295" s="66">
        <f t="shared" si="257"/>
        <v>4.8708297684699423E-3</v>
      </c>
      <c r="P295" s="66">
        <f t="shared" si="257"/>
        <v>4.7740779781753843E-3</v>
      </c>
      <c r="Q295" s="66">
        <f t="shared" si="257"/>
        <v>4.6921677133808879E-3</v>
      </c>
      <c r="R295" s="66">
        <f t="shared" si="257"/>
        <v>4.6212569767431775E-3</v>
      </c>
      <c r="S295" s="66">
        <f t="shared" si="257"/>
        <v>4.5582165909603799E-3</v>
      </c>
      <c r="T295" s="66">
        <f t="shared" si="257"/>
        <v>4.5006729401458308E-3</v>
      </c>
      <c r="U295" s="66">
        <f t="shared" si="257"/>
        <v>4.4469052757363106E-3</v>
      </c>
      <c r="V295" s="66">
        <f t="shared" si="257"/>
        <v>4.3957024805844356E-3</v>
      </c>
      <c r="W295" s="66">
        <f t="shared" si="257"/>
        <v>4.3462286221406989E-3</v>
      </c>
      <c r="X295" s="66">
        <f t="shared" si="257"/>
        <v>4.297914179659649E-3</v>
      </c>
      <c r="Y295" s="66">
        <f t="shared" si="257"/>
        <v>4.250374498502834E-3</v>
      </c>
      <c r="Z295" s="66">
        <f t="shared" si="257"/>
        <v>4.2033512956061595E-3</v>
      </c>
      <c r="AA295" s="66">
        <f t="shared" si="257"/>
        <v>4.1566718240766782E-3</v>
      </c>
      <c r="AB295" s="66">
        <f t="shared" si="257"/>
        <v>4.1102208541030291E-3</v>
      </c>
      <c r="AC295" s="66">
        <f t="shared" si="257"/>
        <v>4.06392166231242E-3</v>
      </c>
    </row>
    <row r="296" spans="1:29" x14ac:dyDescent="0.25">
      <c r="A296" s="59" t="str">
        <f>A259</f>
        <v>Market failure (av. utilization)</v>
      </c>
      <c r="B296" s="66">
        <f t="shared" ref="B296:AC296" si="258">B285/B259-B285/B258</f>
        <v>4.063880062077449E-2</v>
      </c>
      <c r="C296" s="66">
        <f t="shared" si="258"/>
        <v>4.0421293427551658E-2</v>
      </c>
      <c r="D296" s="66">
        <f t="shared" si="258"/>
        <v>4.0123099202603443E-2</v>
      </c>
      <c r="E296" s="66">
        <f t="shared" si="258"/>
        <v>3.9722358117474349E-2</v>
      </c>
      <c r="F296" s="66">
        <f t="shared" si="258"/>
        <v>3.9198512101726528E-2</v>
      </c>
      <c r="G296" s="66">
        <f t="shared" si="258"/>
        <v>3.8538816586360887E-2</v>
      </c>
      <c r="H296" s="66">
        <f t="shared" si="258"/>
        <v>3.7747200904484864E-2</v>
      </c>
      <c r="I296" s="66">
        <f t="shared" si="258"/>
        <v>3.6852062747315333E-2</v>
      </c>
      <c r="J296" s="66">
        <f t="shared" si="258"/>
        <v>3.5968174755414008E-2</v>
      </c>
      <c r="K296" s="66">
        <f t="shared" si="258"/>
        <v>3.509965577142226E-2</v>
      </c>
      <c r="L296" s="66">
        <f t="shared" si="258"/>
        <v>3.431142296966895E-2</v>
      </c>
      <c r="M296" s="66">
        <f t="shared" si="258"/>
        <v>3.3647752834689841E-2</v>
      </c>
      <c r="N296" s="66">
        <f t="shared" si="258"/>
        <v>3.312558130854458E-2</v>
      </c>
      <c r="O296" s="66">
        <f t="shared" si="258"/>
        <v>3.2653811785347556E-2</v>
      </c>
      <c r="P296" s="66">
        <f t="shared" si="258"/>
        <v>3.2299685453419325E-2</v>
      </c>
      <c r="Q296" s="66">
        <f t="shared" si="258"/>
        <v>3.203846220785922E-2</v>
      </c>
      <c r="R296" s="66">
        <f t="shared" si="258"/>
        <v>3.184687006426646E-2</v>
      </c>
      <c r="S296" s="66">
        <f t="shared" si="258"/>
        <v>3.1705618887755242E-2</v>
      </c>
      <c r="T296" s="66">
        <f t="shared" si="258"/>
        <v>3.1599874163882637E-2</v>
      </c>
      <c r="U296" s="66">
        <f t="shared" si="258"/>
        <v>3.1518754591376902E-2</v>
      </c>
      <c r="V296" s="66">
        <f t="shared" si="258"/>
        <v>3.1454519582937032E-2</v>
      </c>
      <c r="W296" s="66">
        <f t="shared" si="258"/>
        <v>3.1401772675225453E-2</v>
      </c>
      <c r="X296" s="66">
        <f t="shared" si="258"/>
        <v>3.1356801594728034E-2</v>
      </c>
      <c r="Y296" s="66">
        <f t="shared" si="258"/>
        <v>3.1317075256224784E-2</v>
      </c>
      <c r="Z296" s="66">
        <f t="shared" si="258"/>
        <v>3.1280878143532254E-2</v>
      </c>
      <c r="AA296" s="66">
        <f t="shared" si="258"/>
        <v>3.1247052121916141E-2</v>
      </c>
      <c r="AB296" s="66">
        <f t="shared" si="258"/>
        <v>3.1214817415325301E-2</v>
      </c>
      <c r="AC296" s="66">
        <f t="shared" si="258"/>
        <v>3.1183649930793887E-2</v>
      </c>
    </row>
    <row r="297" spans="1:29" x14ac:dyDescent="0.25">
      <c r="A297" s="59" t="str">
        <f>A260</f>
        <v>Payload loss (fuel)</v>
      </c>
      <c r="B297" s="66">
        <f>B285/(B258-B260)-B285/B258</f>
        <v>7.1098997496071709E-3</v>
      </c>
      <c r="C297" s="66">
        <f t="shared" ref="C297:AC297" si="259">C285/(C258-C260)-C285/C258</f>
        <v>7.0495133290284645E-3</v>
      </c>
      <c r="D297" s="66">
        <f t="shared" si="259"/>
        <v>6.9660564261847246E-3</v>
      </c>
      <c r="E297" s="66">
        <f t="shared" si="259"/>
        <v>6.8525184473591516E-3</v>
      </c>
      <c r="F297" s="66">
        <f t="shared" si="259"/>
        <v>6.7013330454243417E-3</v>
      </c>
      <c r="G297" s="66">
        <f t="shared" si="259"/>
        <v>6.5055933434029975E-3</v>
      </c>
      <c r="H297" s="66">
        <f t="shared" si="259"/>
        <v>6.2608892919809658E-3</v>
      </c>
      <c r="I297" s="66">
        <f t="shared" si="259"/>
        <v>5.9672576116851436E-3</v>
      </c>
      <c r="J297" s="66">
        <f t="shared" si="259"/>
        <v>5.6398901904836582E-3</v>
      </c>
      <c r="K297" s="66">
        <f t="shared" si="259"/>
        <v>5.2787762363682225E-3</v>
      </c>
      <c r="L297" s="66">
        <f t="shared" si="259"/>
        <v>4.8985093653788406E-3</v>
      </c>
      <c r="M297" s="66">
        <f t="shared" si="259"/>
        <v>4.5162392669286788E-3</v>
      </c>
      <c r="N297" s="66">
        <f t="shared" si="259"/>
        <v>4.1503493238524633E-3</v>
      </c>
      <c r="O297" s="66">
        <f t="shared" si="259"/>
        <v>3.8083112570976019E-3</v>
      </c>
      <c r="P297" s="66">
        <f t="shared" si="259"/>
        <v>3.5146998390063397E-3</v>
      </c>
      <c r="Q297" s="66">
        <f t="shared" si="259"/>
        <v>3.2753786215657735E-3</v>
      </c>
      <c r="R297" s="66">
        <f t="shared" si="259"/>
        <v>3.0890820019649073E-3</v>
      </c>
      <c r="S297" s="66">
        <f t="shared" si="259"/>
        <v>2.9494288733249024E-3</v>
      </c>
      <c r="T297" s="66">
        <f t="shared" si="259"/>
        <v>2.8476930700597064E-3</v>
      </c>
      <c r="U297" s="66">
        <f t="shared" si="259"/>
        <v>2.7750395354173285E-3</v>
      </c>
      <c r="V297" s="66">
        <f t="shared" si="259"/>
        <v>2.7237774293912068E-3</v>
      </c>
      <c r="W297" s="66">
        <f t="shared" si="259"/>
        <v>2.6877917984690913E-3</v>
      </c>
      <c r="X297" s="66">
        <f t="shared" si="259"/>
        <v>2.6624940307974909E-3</v>
      </c>
      <c r="Y297" s="66">
        <f t="shared" si="259"/>
        <v>2.6445690321391865E-3</v>
      </c>
      <c r="Z297" s="66">
        <f t="shared" si="259"/>
        <v>2.6316812594486816E-3</v>
      </c>
      <c r="AA297" s="66">
        <f t="shared" si="259"/>
        <v>2.6222126355449002E-3</v>
      </c>
      <c r="AB297" s="66">
        <f t="shared" si="259"/>
        <v>2.6150546369190161E-3</v>
      </c>
      <c r="AC297" s="66">
        <f t="shared" si="259"/>
        <v>2.6094535011540812E-3</v>
      </c>
    </row>
    <row r="298" spans="1:29" ht="15.75" thickBot="1" x14ac:dyDescent="0.3">
      <c r="A298" s="59" t="str">
        <f>A235</f>
        <v>Emission Cost</v>
      </c>
      <c r="B298" s="68">
        <f>B255*B261/B261/(B258)</f>
        <v>0</v>
      </c>
      <c r="C298" s="68">
        <f t="shared" ref="C298:AC298" si="260">C255*C261/C261/(C258)</f>
        <v>0</v>
      </c>
      <c r="D298" s="68">
        <f t="shared" si="260"/>
        <v>0</v>
      </c>
      <c r="E298" s="68">
        <f t="shared" si="260"/>
        <v>0</v>
      </c>
      <c r="F298" s="68">
        <f t="shared" si="260"/>
        <v>0</v>
      </c>
      <c r="G298" s="68">
        <f t="shared" si="260"/>
        <v>0</v>
      </c>
      <c r="H298" s="68">
        <f t="shared" si="260"/>
        <v>0</v>
      </c>
      <c r="I298" s="68">
        <f t="shared" si="260"/>
        <v>0</v>
      </c>
      <c r="J298" s="68">
        <f t="shared" si="260"/>
        <v>0</v>
      </c>
      <c r="K298" s="68">
        <f t="shared" si="260"/>
        <v>0</v>
      </c>
      <c r="L298" s="68">
        <f t="shared" si="260"/>
        <v>0</v>
      </c>
      <c r="M298" s="68">
        <f t="shared" si="260"/>
        <v>0</v>
      </c>
      <c r="N298" s="68">
        <f t="shared" si="260"/>
        <v>0</v>
      </c>
      <c r="O298" s="68">
        <f t="shared" si="260"/>
        <v>0</v>
      </c>
      <c r="P298" s="68">
        <f t="shared" si="260"/>
        <v>0</v>
      </c>
      <c r="Q298" s="68">
        <f t="shared" si="260"/>
        <v>0</v>
      </c>
      <c r="R298" s="68">
        <f t="shared" si="260"/>
        <v>0</v>
      </c>
      <c r="S298" s="68">
        <f t="shared" si="260"/>
        <v>0</v>
      </c>
      <c r="T298" s="68">
        <f t="shared" si="260"/>
        <v>0</v>
      </c>
      <c r="U298" s="68">
        <f t="shared" si="260"/>
        <v>0</v>
      </c>
      <c r="V298" s="68">
        <f t="shared" si="260"/>
        <v>0</v>
      </c>
      <c r="W298" s="68">
        <f t="shared" si="260"/>
        <v>0</v>
      </c>
      <c r="X298" s="68">
        <f t="shared" si="260"/>
        <v>0</v>
      </c>
      <c r="Y298" s="68">
        <f t="shared" si="260"/>
        <v>0</v>
      </c>
      <c r="Z298" s="68">
        <f t="shared" si="260"/>
        <v>0</v>
      </c>
      <c r="AA298" s="68">
        <f t="shared" si="260"/>
        <v>0</v>
      </c>
      <c r="AB298" s="68">
        <f t="shared" si="260"/>
        <v>0</v>
      </c>
      <c r="AC298" s="68">
        <f t="shared" si="260"/>
        <v>0</v>
      </c>
    </row>
    <row r="299" spans="1:29" ht="15.75" thickBot="1" x14ac:dyDescent="0.3">
      <c r="A299" s="31" t="s">
        <v>210</v>
      </c>
      <c r="B299" s="67">
        <f>B288+B289+B290+B291+B292+B293+B294+B295+B296+B297+B298</f>
        <v>0.11143385784995678</v>
      </c>
      <c r="C299" s="67">
        <f t="shared" ref="C299:AC299" si="261">C288+C289+C290+C291+C292+C293+C294+C295+C296+C297+C298</f>
        <v>0.11081095282621557</v>
      </c>
      <c r="D299" s="67">
        <f t="shared" si="261"/>
        <v>0.10995630396229884</v>
      </c>
      <c r="E299" s="67">
        <f t="shared" si="261"/>
        <v>0.10880636662538078</v>
      </c>
      <c r="F299" s="67">
        <f t="shared" si="261"/>
        <v>0.10730040704478783</v>
      </c>
      <c r="G299" s="67">
        <f t="shared" si="261"/>
        <v>0.10539855825130365</v>
      </c>
      <c r="H299" s="67">
        <f t="shared" si="261"/>
        <v>0.10310657226399533</v>
      </c>
      <c r="I299" s="67">
        <f t="shared" si="261"/>
        <v>0.10049792810826105</v>
      </c>
      <c r="J299" s="67">
        <f t="shared" si="261"/>
        <v>9.7884643466625093E-2</v>
      </c>
      <c r="K299" s="67">
        <f t="shared" si="261"/>
        <v>9.527735972632409E-2</v>
      </c>
      <c r="L299" s="67">
        <f t="shared" si="261"/>
        <v>9.2858559747352021E-2</v>
      </c>
      <c r="M299" s="67">
        <f t="shared" si="261"/>
        <v>9.075990136878348E-2</v>
      </c>
      <c r="N299" s="67">
        <f t="shared" si="261"/>
        <v>8.9043567823607478E-2</v>
      </c>
      <c r="O299" s="67">
        <f t="shared" si="261"/>
        <v>8.748143616237751E-2</v>
      </c>
      <c r="P299" s="67">
        <f t="shared" si="261"/>
        <v>8.6271980782402891E-2</v>
      </c>
      <c r="Q299" s="67">
        <f t="shared" si="261"/>
        <v>8.5357082205755164E-2</v>
      </c>
      <c r="R299" s="67">
        <f t="shared" si="261"/>
        <v>8.4675288663069601E-2</v>
      </c>
      <c r="S299" s="67">
        <f t="shared" si="261"/>
        <v>8.4170330767590215E-2</v>
      </c>
      <c r="T299" s="67">
        <f t="shared" si="261"/>
        <v>8.3795117230171745E-2</v>
      </c>
      <c r="U299" s="67">
        <f t="shared" si="261"/>
        <v>8.3512671697669696E-2</v>
      </c>
      <c r="V299" s="67">
        <f t="shared" si="261"/>
        <v>8.329528456981633E-2</v>
      </c>
      <c r="W299" s="67">
        <f t="shared" si="261"/>
        <v>8.3122884522398771E-2</v>
      </c>
      <c r="X299" s="67">
        <f t="shared" si="261"/>
        <v>8.2981282236199341E-2</v>
      </c>
      <c r="Y299" s="67">
        <f t="shared" si="261"/>
        <v>8.286061670692918E-2</v>
      </c>
      <c r="Z299" s="67">
        <f t="shared" si="261"/>
        <v>8.2754115711758003E-2</v>
      </c>
      <c r="AA299" s="67">
        <f t="shared" si="261"/>
        <v>8.2657165997467724E-2</v>
      </c>
      <c r="AB299" s="67">
        <f t="shared" si="261"/>
        <v>8.2566642378348293E-2</v>
      </c>
      <c r="AC299" s="67">
        <f t="shared" si="261"/>
        <v>8.2480435679140041E-2</v>
      </c>
    </row>
    <row r="301" spans="1:29" x14ac:dyDescent="0.25">
      <c r="B301" s="40"/>
    </row>
    <row r="324" spans="1:44" s="3" customFormat="1" ht="21" x14ac:dyDescent="0.35">
      <c r="A324" s="2" t="str">
        <f>'Parameter Input'!A114</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Input'!$L$89</f>
        <v>400000</v>
      </c>
      <c r="C334" s="42">
        <f>'Parameter Input'!$M$89</f>
        <v>145000</v>
      </c>
      <c r="D334" s="1" t="s">
        <v>15</v>
      </c>
      <c r="L334" s="51">
        <f>'Parameter Input'!$O$89</f>
        <v>8</v>
      </c>
      <c r="M334" s="52">
        <v>0</v>
      </c>
      <c r="N334" s="52">
        <v>1</v>
      </c>
      <c r="O334" s="52">
        <f>'Parameter Input'!$P$89</f>
        <v>0.9</v>
      </c>
      <c r="P334" s="53">
        <f>'Parameter Input'!$Q$89</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28</v>
      </c>
      <c r="B335" s="60">
        <f>'Parameter Input'!$L$90</f>
        <v>-60000</v>
      </c>
      <c r="C335" s="61">
        <f>'Parameter Input'!$M$90</f>
        <v>-36250</v>
      </c>
      <c r="D335" s="1" t="s">
        <v>15</v>
      </c>
      <c r="L335" s="54">
        <f>'Parameter Input'!$O$90</f>
        <v>8</v>
      </c>
      <c r="M335" s="37">
        <v>0</v>
      </c>
      <c r="N335" s="37">
        <v>1</v>
      </c>
      <c r="O335" s="37">
        <f>'Parameter Input'!$P$90</f>
        <v>0.9</v>
      </c>
      <c r="P335" s="55">
        <f>'Parameter Input'!$Q$90</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79</v>
      </c>
      <c r="B338" s="45">
        <f>'Parameter Input'!$L$96</f>
        <v>0.06</v>
      </c>
      <c r="C338" s="46">
        <f>'Parameter Input'!$M$96</f>
        <v>0.06</v>
      </c>
      <c r="D338" s="1" t="s">
        <v>57</v>
      </c>
      <c r="L338" s="54">
        <f>'Parameter Input'!$O$96</f>
        <v>12</v>
      </c>
      <c r="M338" s="37">
        <v>0</v>
      </c>
      <c r="N338" s="37">
        <v>1</v>
      </c>
      <c r="O338" s="37">
        <f>'Parameter Input'!$P$96</f>
        <v>0.9</v>
      </c>
      <c r="P338" s="55">
        <f>'Parameter Input'!$Q$96</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52</v>
      </c>
      <c r="B340" s="43">
        <f>'Parameter Input'!$L$92</f>
        <v>15000</v>
      </c>
      <c r="C340" s="44">
        <f>'Parameter Input'!$M$92</f>
        <v>15000</v>
      </c>
      <c r="D340" s="1" t="s">
        <v>38</v>
      </c>
      <c r="L340" s="54">
        <f>'Parameter Input'!$O$92</f>
        <v>8</v>
      </c>
      <c r="M340" s="37">
        <v>0</v>
      </c>
      <c r="N340" s="37">
        <v>1</v>
      </c>
      <c r="O340" s="37">
        <f>'Parameter Input'!$P$92</f>
        <v>0.9</v>
      </c>
      <c r="P340" s="55">
        <f>'Parameter Input'!$Q$92</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59</v>
      </c>
      <c r="B342" s="47">
        <f>'Parameter Input'!$L$93</f>
        <v>1.52</v>
      </c>
      <c r="C342" s="48">
        <f>'Parameter Input'!$M$93</f>
        <v>1.1499999999999999</v>
      </c>
      <c r="D342" s="1" t="s">
        <v>60</v>
      </c>
      <c r="L342" s="54">
        <f>'Parameter Input'!$O$93</f>
        <v>8</v>
      </c>
      <c r="M342" s="37">
        <v>0</v>
      </c>
      <c r="N342" s="37">
        <v>1</v>
      </c>
      <c r="O342" s="37">
        <f>'Parameter Input'!$P$93</f>
        <v>0.9</v>
      </c>
      <c r="P342" s="55">
        <f>'Parameter Input'!$Q$93</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67</v>
      </c>
      <c r="B343" s="45">
        <f>'Parameter Input'!$L$94</f>
        <v>0.13371034051801745</v>
      </c>
      <c r="C343" s="46">
        <f>'Parameter Input'!$M$94</f>
        <v>8.7585019329602734E-2</v>
      </c>
      <c r="D343" s="1" t="s">
        <v>68</v>
      </c>
      <c r="L343" s="54">
        <f>'Parameter Input'!$O$94</f>
        <v>12</v>
      </c>
      <c r="M343" s="37">
        <v>0</v>
      </c>
      <c r="N343" s="37">
        <v>1</v>
      </c>
      <c r="O343" s="37">
        <f>'Parameter Input'!$P$94</f>
        <v>0.9</v>
      </c>
      <c r="P343" s="55">
        <f>'Parameter Input'!$Q$94</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206</v>
      </c>
      <c r="B344" s="115">
        <f>'Parameter Input'!$L$97</f>
        <v>0</v>
      </c>
      <c r="C344" s="116">
        <f>'Parameter Input'!$M$97</f>
        <v>0</v>
      </c>
      <c r="D344" s="1" t="s">
        <v>76</v>
      </c>
      <c r="L344" s="54">
        <f>'Parameter Input'!$O$97</f>
        <v>17</v>
      </c>
      <c r="M344" s="37">
        <v>0</v>
      </c>
      <c r="N344" s="37">
        <v>1</v>
      </c>
      <c r="O344" s="37">
        <f>'Parameter Input'!$P$97</f>
        <v>0.9</v>
      </c>
      <c r="P344" s="55">
        <f>'Parameter Input'!$Q$97</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41</v>
      </c>
      <c r="B345" s="43">
        <f>'Parameter Input'!$L$91</f>
        <v>8</v>
      </c>
      <c r="C345" s="44">
        <f>'Parameter Input'!$M$91</f>
        <v>8</v>
      </c>
      <c r="D345" s="1" t="s">
        <v>42</v>
      </c>
      <c r="L345" s="54">
        <f>'Parameter Input'!$O$91</f>
        <v>8</v>
      </c>
      <c r="M345" s="37">
        <v>0</v>
      </c>
      <c r="N345" s="37">
        <v>1</v>
      </c>
      <c r="O345" s="37">
        <f>'Parameter Input'!$P$91</f>
        <v>0.9</v>
      </c>
      <c r="P345" s="55">
        <f>'Parameter Input'!$Q$91</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73</v>
      </c>
      <c r="B349" s="72">
        <f>'Parameter Input'!$L$95</f>
        <v>0.1</v>
      </c>
      <c r="C349" s="73">
        <f>'Parameter Input'!$M$95</f>
        <v>0.05</v>
      </c>
      <c r="D349" s="1" t="s">
        <v>57</v>
      </c>
      <c r="L349" s="54">
        <f>'Parameter Input'!$O$95</f>
        <v>12</v>
      </c>
      <c r="M349" s="37">
        <v>0</v>
      </c>
      <c r="N349" s="37">
        <v>1</v>
      </c>
      <c r="O349" s="37">
        <f>'Parameter Input'!$P$95</f>
        <v>0.9</v>
      </c>
      <c r="P349" s="55">
        <f>'Parameter Input'!$Q$95</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2" si="268">$B334+($C334-$B334)*(1-Q334)</f>
        <v>386191.20724655397</v>
      </c>
      <c r="C354" s="62">
        <f t="shared" ref="C354:C362" si="269">$B334+($C334-$B334)*(1-R334)</f>
        <v>380544.41838286084</v>
      </c>
      <c r="D354" s="62">
        <f t="shared" ref="D354:D362" si="270">$B334+($C334-$B334)*(1-S334)</f>
        <v>372802.88209752907</v>
      </c>
      <c r="E354" s="62">
        <f t="shared" ref="E354:E362" si="271">$B334+($C334-$B334)*(1-T334)</f>
        <v>362399.08687953383</v>
      </c>
      <c r="F354" s="62">
        <f t="shared" ref="F354:F362" si="272">$B334+($C334-$B334)*(1-U334)</f>
        <v>348799.3166641909</v>
      </c>
      <c r="G354" s="62">
        <f t="shared" ref="G354:G362" si="273">$B334+($C334-$B334)*(1-V334)</f>
        <v>331672.70473748312</v>
      </c>
      <c r="H354" s="62">
        <f t="shared" ref="H354:H362" si="274">$B334+($C334-$B334)*(1-W334)</f>
        <v>311121.26204490603</v>
      </c>
      <c r="I354" s="62">
        <f t="shared" ref="I354:I362" si="275">$B334+($C334-$B334)*(1-X334)</f>
        <v>287882.23209616641</v>
      </c>
      <c r="J354" s="62">
        <f t="shared" ref="J354:J362" si="276">$B334+($C334-$B334)*(1-Y334)</f>
        <v>263348.88352662267</v>
      </c>
      <c r="K354" s="62">
        <f t="shared" ref="K354:K362" si="277">$B334+($C334-$B334)*(1-Z334)</f>
        <v>239298.30536858604</v>
      </c>
      <c r="L354" s="62">
        <f t="shared" ref="L354:L362" si="278">$B334+($C334-$B334)*(1-AA334)</f>
        <v>217404.56902493956</v>
      </c>
      <c r="M354" s="62">
        <f t="shared" ref="M354:M362" si="279">$B334+($C334-$B334)*(1-AB334)</f>
        <v>198798.01086085022</v>
      </c>
      <c r="N354" s="62">
        <f t="shared" ref="N354:N362" si="280">$B334+($C334-$B334)*(1-AC334)</f>
        <v>183897.4900171854</v>
      </c>
      <c r="O354" s="62">
        <f t="shared" ref="O354:O362" si="281">$B334+($C334-$B334)*(1-AD334)</f>
        <v>172527.73128116049</v>
      </c>
      <c r="P354" s="62">
        <f t="shared" ref="P354:P362" si="282">$B334+($C334-$B334)*(1-AE334)</f>
        <v>164170.0467542134</v>
      </c>
      <c r="Q354" s="62">
        <f t="shared" ref="Q354:Q362" si="283">$B334+($C334-$B334)*(1-AF334)</f>
        <v>158194.42322526305</v>
      </c>
      <c r="R354" s="62">
        <f t="shared" ref="R354:R362" si="284">$B334+($C334-$B334)*(1-AG334)</f>
        <v>154006.39360946321</v>
      </c>
      <c r="S354" s="62">
        <f t="shared" ref="S354:S362" si="285">$B334+($C334-$B334)*(1-AH334)</f>
        <v>151112.20772852784</v>
      </c>
      <c r="T354" s="62">
        <f t="shared" ref="T354:T362" si="286">$B334+($C334-$B334)*(1-AI334)</f>
        <v>149131.57210738939</v>
      </c>
      <c r="U354" s="62">
        <f t="shared" ref="U354:U362" si="287">$B334+($C334-$B334)*(1-AJ334)</f>
        <v>147785.17134384764</v>
      </c>
      <c r="V354" s="62">
        <f t="shared" ref="V354:V362" si="288">$B334+($C334-$B334)*(1-AK334)</f>
        <v>146874.0769291053</v>
      </c>
      <c r="W354" s="62">
        <f t="shared" ref="W354:W362" si="289">$B334+($C334-$B334)*(1-AL334)</f>
        <v>146259.45168571896</v>
      </c>
      <c r="X354" s="62">
        <f t="shared" ref="X354:X362" si="290">$B334+($C334-$B334)*(1-AM334)</f>
        <v>145845.68902507037</v>
      </c>
      <c r="Y354" s="62">
        <f t="shared" ref="Y354:Y362" si="291">$B334+($C334-$B334)*(1-AN334)</f>
        <v>145567.53723474033</v>
      </c>
      <c r="Z354" s="62">
        <f t="shared" ref="Z354:Z362" si="292">$B334+($C334-$B334)*(1-AO334)</f>
        <v>145380.72644197271</v>
      </c>
      <c r="AA354" s="62">
        <f t="shared" ref="AA354:AA362" si="293">$B334+($C334-$B334)*(1-AP334)</f>
        <v>145255.34122836409</v>
      </c>
      <c r="AB354" s="62">
        <f t="shared" ref="AB354:AB362" si="294">$B334+($C334-$B334)*(1-AQ334)</f>
        <v>145171.22000562795</v>
      </c>
      <c r="AC354" s="62">
        <f t="shared" ref="AC354:AC362"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296">A344</f>
        <v>Emission Cost</v>
      </c>
      <c r="B364" s="66">
        <f>$B344+($C344-$B344)*(1-Q344)</f>
        <v>0</v>
      </c>
      <c r="C364" s="66">
        <f t="shared" ref="C364" si="297">$B344+($C344-$B344)*(1-R344)</f>
        <v>0</v>
      </c>
      <c r="D364" s="66">
        <f t="shared" ref="D364" si="298">$B344+($C344-$B344)*(1-S344)</f>
        <v>0</v>
      </c>
      <c r="E364" s="66">
        <f t="shared" ref="E364" si="299">$B344+($C344-$B344)*(1-T344)</f>
        <v>0</v>
      </c>
      <c r="F364" s="66">
        <f t="shared" ref="F364" si="300">$B344+($C344-$B344)*(1-U344)</f>
        <v>0</v>
      </c>
      <c r="G364" s="66">
        <f t="shared" ref="G364" si="301">$B344+($C344-$B344)*(1-V344)</f>
        <v>0</v>
      </c>
      <c r="H364" s="66">
        <f t="shared" ref="H364" si="302">$B344+($C344-$B344)*(1-W344)</f>
        <v>0</v>
      </c>
      <c r="I364" s="66">
        <f t="shared" ref="I364" si="303">$B344+($C344-$B344)*(1-X344)</f>
        <v>0</v>
      </c>
      <c r="J364" s="66">
        <f t="shared" ref="J364" si="304">$B344+($C344-$B344)*(1-Y344)</f>
        <v>0</v>
      </c>
      <c r="K364" s="66">
        <f t="shared" ref="K364" si="305">$B344+($C344-$B344)*(1-Z344)</f>
        <v>0</v>
      </c>
      <c r="L364" s="66">
        <f t="shared" ref="L364" si="306">$B344+($C344-$B344)*(1-AA344)</f>
        <v>0</v>
      </c>
      <c r="M364" s="66">
        <f t="shared" ref="M364" si="307">$B344+($C344-$B344)*(1-AB344)</f>
        <v>0</v>
      </c>
      <c r="N364" s="66">
        <f t="shared" ref="N364" si="308">$B344+($C344-$B344)*(1-AC344)</f>
        <v>0</v>
      </c>
      <c r="O364" s="66">
        <f t="shared" ref="O364" si="309">$B344+($C344-$B344)*(1-AD344)</f>
        <v>0</v>
      </c>
      <c r="P364" s="66">
        <f t="shared" ref="P364" si="310">$B344+($C344-$B344)*(1-AE344)</f>
        <v>0</v>
      </c>
      <c r="Q364" s="66">
        <f t="shared" ref="Q364" si="311">$B344+($C344-$B344)*(1-AF344)</f>
        <v>0</v>
      </c>
      <c r="R364" s="66">
        <f t="shared" ref="R364" si="312">$B344+($C344-$B344)*(1-AG344)</f>
        <v>0</v>
      </c>
      <c r="S364" s="66">
        <f t="shared" ref="S364" si="313">$B344+($C344-$B344)*(1-AH344)</f>
        <v>0</v>
      </c>
      <c r="T364" s="66">
        <f t="shared" ref="T364" si="314">$B344+($C344-$B344)*(1-AI344)</f>
        <v>0</v>
      </c>
      <c r="U364" s="66">
        <f t="shared" ref="U364" si="315">$B344+($C344-$B344)*(1-AJ344)</f>
        <v>0</v>
      </c>
      <c r="V364" s="66">
        <f t="shared" ref="V364" si="316">$B344+($C344-$B344)*(1-AK344)</f>
        <v>0</v>
      </c>
      <c r="W364" s="66">
        <f t="shared" ref="W364" si="317">$B344+($C344-$B344)*(1-AL344)</f>
        <v>0</v>
      </c>
      <c r="X364" s="66">
        <f t="shared" ref="X364" si="318">$B344+($C344-$B344)*(1-AM344)</f>
        <v>0</v>
      </c>
      <c r="Y364" s="66">
        <f t="shared" ref="Y364" si="319">$B344+($C344-$B344)*(1-AN344)</f>
        <v>0</v>
      </c>
      <c r="Z364" s="66">
        <f t="shared" ref="Z364" si="320">$B344+($C344-$B344)*(1-AO344)</f>
        <v>0</v>
      </c>
      <c r="AA364" s="66">
        <f t="shared" ref="AA364" si="321">$B344+($C344-$B344)*(1-AP344)</f>
        <v>0</v>
      </c>
      <c r="AB364" s="66">
        <f t="shared" ref="AB364" si="322">$B344+($C344-$B344)*(1-AQ344)</f>
        <v>0</v>
      </c>
      <c r="AC364" s="66">
        <f t="shared" ref="AC364" si="323">$B344+($C344-$B344)*(1-AR344)</f>
        <v>0</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11017.232834397084</v>
      </c>
      <c r="C380" s="62">
        <f t="shared" ref="C380:AC380" si="338">C362*C363*C370</f>
        <v>10957.052462347354</v>
      </c>
      <c r="D380" s="62">
        <f t="shared" si="338"/>
        <v>10874.547423619368</v>
      </c>
      <c r="E380" s="62">
        <f t="shared" si="338"/>
        <v>10763.66949245148</v>
      </c>
      <c r="F380" s="62">
        <f t="shared" si="338"/>
        <v>10618.730616374058</v>
      </c>
      <c r="G380" s="62">
        <f t="shared" si="338"/>
        <v>10436.204599804256</v>
      </c>
      <c r="H380" s="62">
        <f t="shared" si="338"/>
        <v>10217.178619330618</v>
      </c>
      <c r="I380" s="62">
        <f t="shared" si="338"/>
        <v>9969.5098110664949</v>
      </c>
      <c r="J380" s="62">
        <f t="shared" si="338"/>
        <v>9897.0530804895934</v>
      </c>
      <c r="K380" s="62">
        <f t="shared" si="338"/>
        <v>9819.7609342545857</v>
      </c>
      <c r="L380" s="62">
        <f t="shared" si="338"/>
        <v>9756.8172757077791</v>
      </c>
      <c r="M380" s="62">
        <f t="shared" si="338"/>
        <v>9722.5493137803915</v>
      </c>
      <c r="N380" s="62">
        <f t="shared" si="338"/>
        <v>9723.9017362904597</v>
      </c>
      <c r="O380" s="62">
        <f t="shared" si="338"/>
        <v>9498.1180485163859</v>
      </c>
      <c r="P380" s="62">
        <f t="shared" si="338"/>
        <v>9309.4520574420003</v>
      </c>
      <c r="Q380" s="62">
        <f t="shared" si="338"/>
        <v>9149.7270410927304</v>
      </c>
      <c r="R380" s="62">
        <f t="shared" si="338"/>
        <v>9011.4511046491971</v>
      </c>
      <c r="S380" s="62">
        <f t="shared" si="338"/>
        <v>8888.5223523727418</v>
      </c>
      <c r="T380" s="62">
        <f t="shared" si="338"/>
        <v>8776.3122332843704</v>
      </c>
      <c r="U380" s="62">
        <f t="shared" si="338"/>
        <v>8671.4652876858054</v>
      </c>
      <c r="V380" s="62">
        <f t="shared" si="338"/>
        <v>8571.6198371396495</v>
      </c>
      <c r="W380" s="62">
        <f t="shared" si="338"/>
        <v>8475.145813174362</v>
      </c>
      <c r="X380" s="62">
        <f t="shared" si="338"/>
        <v>8380.9326503363172</v>
      </c>
      <c r="Y380" s="62">
        <f t="shared" si="338"/>
        <v>8288.2302720805274</v>
      </c>
      <c r="Z380" s="62">
        <f t="shared" si="338"/>
        <v>8196.5350264320095</v>
      </c>
      <c r="AA380" s="62">
        <f t="shared" si="338"/>
        <v>8105.5100569495216</v>
      </c>
      <c r="AB380" s="62">
        <f t="shared" si="338"/>
        <v>8014.9306655009077</v>
      </c>
      <c r="AC380" s="62">
        <f t="shared" si="338"/>
        <v>7924.6472415092194</v>
      </c>
    </row>
    <row r="381" spans="1:29" ht="15.75" thickBot="1" x14ac:dyDescent="0.3">
      <c r="A381" s="59" t="str">
        <f>A344</f>
        <v>Emission Cost</v>
      </c>
      <c r="B381" s="62">
        <f>B364*B370</f>
        <v>0</v>
      </c>
      <c r="C381" s="62">
        <f t="shared" ref="C381:AC381" si="339">C364*C370</f>
        <v>0</v>
      </c>
      <c r="D381" s="62">
        <f t="shared" si="339"/>
        <v>0</v>
      </c>
      <c r="E381" s="62">
        <f t="shared" si="339"/>
        <v>0</v>
      </c>
      <c r="F381" s="62">
        <f t="shared" si="339"/>
        <v>0</v>
      </c>
      <c r="G381" s="62">
        <f t="shared" si="339"/>
        <v>0</v>
      </c>
      <c r="H381" s="62">
        <f t="shared" si="339"/>
        <v>0</v>
      </c>
      <c r="I381" s="62">
        <f t="shared" si="339"/>
        <v>0</v>
      </c>
      <c r="J381" s="62">
        <f t="shared" si="339"/>
        <v>0</v>
      </c>
      <c r="K381" s="62">
        <f t="shared" si="339"/>
        <v>0</v>
      </c>
      <c r="L381" s="62">
        <f t="shared" si="339"/>
        <v>0</v>
      </c>
      <c r="M381" s="62">
        <f t="shared" si="339"/>
        <v>0</v>
      </c>
      <c r="N381" s="62">
        <f t="shared" si="339"/>
        <v>0</v>
      </c>
      <c r="O381" s="62">
        <f t="shared" si="339"/>
        <v>0</v>
      </c>
      <c r="P381" s="62">
        <f t="shared" si="339"/>
        <v>0</v>
      </c>
      <c r="Q381" s="62">
        <f t="shared" si="339"/>
        <v>0</v>
      </c>
      <c r="R381" s="62">
        <f t="shared" si="339"/>
        <v>0</v>
      </c>
      <c r="S381" s="62">
        <f t="shared" si="339"/>
        <v>0</v>
      </c>
      <c r="T381" s="62">
        <f t="shared" si="339"/>
        <v>0</v>
      </c>
      <c r="U381" s="62">
        <f t="shared" si="339"/>
        <v>0</v>
      </c>
      <c r="V381" s="62">
        <f t="shared" si="339"/>
        <v>0</v>
      </c>
      <c r="W381" s="62">
        <f t="shared" si="339"/>
        <v>0</v>
      </c>
      <c r="X381" s="62">
        <f t="shared" si="339"/>
        <v>0</v>
      </c>
      <c r="Y381" s="62">
        <f t="shared" si="339"/>
        <v>0</v>
      </c>
      <c r="Z381" s="62">
        <f t="shared" si="339"/>
        <v>0</v>
      </c>
      <c r="AA381" s="62">
        <f t="shared" si="339"/>
        <v>0</v>
      </c>
      <c r="AB381" s="62">
        <f t="shared" si="339"/>
        <v>0</v>
      </c>
      <c r="AC381" s="62">
        <f t="shared" si="339"/>
        <v>0</v>
      </c>
    </row>
    <row r="382" spans="1:29" ht="15.75" thickBot="1" x14ac:dyDescent="0.3">
      <c r="A382" s="31" t="s">
        <v>209</v>
      </c>
      <c r="B382" s="64">
        <f>B373+B374+B375+B376+B377+B378+B379+B380+B381</f>
        <v>161408.89055093858</v>
      </c>
      <c r="C382" s="64">
        <f t="shared" ref="C382:AC382" si="340">C373+C374+C375+C376+C377+C378+C379+C380+C381</f>
        <v>160524.06726709491</v>
      </c>
      <c r="D382" s="64">
        <f t="shared" si="340"/>
        <v>159311.00764625016</v>
      </c>
      <c r="E382" s="64">
        <f t="shared" si="340"/>
        <v>157680.78550204856</v>
      </c>
      <c r="F382" s="64">
        <f t="shared" si="340"/>
        <v>155549.77022382041</v>
      </c>
      <c r="G382" s="64">
        <f t="shared" si="340"/>
        <v>152866.11666922399</v>
      </c>
      <c r="H382" s="64">
        <f t="shared" si="340"/>
        <v>149645.80943799566</v>
      </c>
      <c r="I382" s="64">
        <f t="shared" si="340"/>
        <v>146004.37086309271</v>
      </c>
      <c r="J382" s="64">
        <f t="shared" si="340"/>
        <v>142349.12531416214</v>
      </c>
      <c r="K382" s="64">
        <f t="shared" si="340"/>
        <v>138759.54693210014</v>
      </c>
      <c r="L382" s="64">
        <f t="shared" si="340"/>
        <v>135499.29681774494</v>
      </c>
      <c r="M382" s="64">
        <f t="shared" si="340"/>
        <v>132747.7736735754</v>
      </c>
      <c r="N382" s="64">
        <f t="shared" si="340"/>
        <v>130573.09132794125</v>
      </c>
      <c r="O382" s="64">
        <f t="shared" si="340"/>
        <v>128686.89653275811</v>
      </c>
      <c r="P382" s="64">
        <f t="shared" si="340"/>
        <v>127277.69521257475</v>
      </c>
      <c r="Q382" s="64">
        <f t="shared" si="340"/>
        <v>126245.30509298749</v>
      </c>
      <c r="R382" s="64">
        <f t="shared" si="340"/>
        <v>125495.41979405159</v>
      </c>
      <c r="S382" s="64">
        <f t="shared" si="340"/>
        <v>124949.83137984358</v>
      </c>
      <c r="T382" s="64">
        <f t="shared" si="340"/>
        <v>124548.37419215663</v>
      </c>
      <c r="U382" s="64">
        <f t="shared" si="340"/>
        <v>124246.90224907896</v>
      </c>
      <c r="V382" s="64">
        <f t="shared" si="340"/>
        <v>124014.00285066466</v>
      </c>
      <c r="W382" s="64">
        <f t="shared" si="340"/>
        <v>123827.77049455648</v>
      </c>
      <c r="X382" s="64">
        <f t="shared" si="340"/>
        <v>123673.13246840138</v>
      </c>
      <c r="Y382" s="64">
        <f t="shared" si="340"/>
        <v>123539.80949889714</v>
      </c>
      <c r="Z382" s="64">
        <f t="shared" si="340"/>
        <v>123420.83287265852</v>
      </c>
      <c r="AA382" s="64">
        <f t="shared" si="340"/>
        <v>123311.49696041865</v>
      </c>
      <c r="AB382" s="64">
        <f t="shared" si="340"/>
        <v>123208.63271615628</v>
      </c>
      <c r="AC382" s="64">
        <f t="shared" si="340"/>
        <v>123110.10971347119</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0.14124657479996261</v>
      </c>
      <c r="C392" s="66">
        <f t="shared" ref="C392:AC392" si="349">C362*C363*C370/C370</f>
        <v>0.14047503156855581</v>
      </c>
      <c r="D392" s="66">
        <f t="shared" si="349"/>
        <v>0.13941727466178677</v>
      </c>
      <c r="E392" s="66">
        <f t="shared" si="349"/>
        <v>0.13799576272373693</v>
      </c>
      <c r="F392" s="66">
        <f t="shared" si="349"/>
        <v>0.13613757200479562</v>
      </c>
      <c r="G392" s="66">
        <f t="shared" si="349"/>
        <v>0.13379749486928533</v>
      </c>
      <c r="H392" s="66">
        <f t="shared" si="349"/>
        <v>0.13098946947859766</v>
      </c>
      <c r="I392" s="66">
        <f t="shared" si="349"/>
        <v>0.12781422834700634</v>
      </c>
      <c r="J392" s="66">
        <f t="shared" si="349"/>
        <v>0.12688529590371272</v>
      </c>
      <c r="K392" s="66">
        <f t="shared" si="349"/>
        <v>0.12589437095198186</v>
      </c>
      <c r="L392" s="66">
        <f t="shared" si="349"/>
        <v>0.12508740097061255</v>
      </c>
      <c r="M392" s="66">
        <f t="shared" si="349"/>
        <v>0.12464806812538963</v>
      </c>
      <c r="N392" s="66">
        <f t="shared" si="349"/>
        <v>0.12466540687551872</v>
      </c>
      <c r="O392" s="66">
        <f t="shared" si="349"/>
        <v>0.12177074421174854</v>
      </c>
      <c r="P392" s="66">
        <f t="shared" si="349"/>
        <v>0.11935194945438463</v>
      </c>
      <c r="Q392" s="66">
        <f t="shared" si="349"/>
        <v>0.11730419283452219</v>
      </c>
      <c r="R392" s="66">
        <f t="shared" si="349"/>
        <v>0.11553142441857946</v>
      </c>
      <c r="S392" s="66">
        <f t="shared" si="349"/>
        <v>0.11395541477400951</v>
      </c>
      <c r="T392" s="66">
        <f t="shared" si="349"/>
        <v>0.11251682350364578</v>
      </c>
      <c r="U392" s="66">
        <f t="shared" si="349"/>
        <v>0.11117263189340776</v>
      </c>
      <c r="V392" s="66">
        <f t="shared" si="349"/>
        <v>0.1098925620146109</v>
      </c>
      <c r="W392" s="66">
        <f t="shared" si="349"/>
        <v>0.10865571555351747</v>
      </c>
      <c r="X392" s="66">
        <f t="shared" si="349"/>
        <v>0.10744785449149125</v>
      </c>
      <c r="Y392" s="66">
        <f t="shared" si="349"/>
        <v>0.10625936246257087</v>
      </c>
      <c r="Z392" s="66">
        <f t="shared" si="349"/>
        <v>0.10508378239015397</v>
      </c>
      <c r="AA392" s="66">
        <f t="shared" si="349"/>
        <v>0.10391679560191694</v>
      </c>
      <c r="AB392" s="66">
        <f t="shared" si="349"/>
        <v>0.10275552135257573</v>
      </c>
      <c r="AC392" s="66">
        <f t="shared" si="349"/>
        <v>0.10159804155781051</v>
      </c>
    </row>
    <row r="393" spans="1:29" ht="15.75" thickBot="1" x14ac:dyDescent="0.3">
      <c r="A393" s="59" t="str">
        <f t="shared" ref="A393" si="350">A381</f>
        <v>Emission Cost</v>
      </c>
      <c r="B393" s="66">
        <f>B364</f>
        <v>0</v>
      </c>
      <c r="C393" s="66">
        <f t="shared" ref="C393:AC393" si="351">C364</f>
        <v>0</v>
      </c>
      <c r="D393" s="66">
        <f t="shared" si="351"/>
        <v>0</v>
      </c>
      <c r="E393" s="66">
        <f t="shared" si="351"/>
        <v>0</v>
      </c>
      <c r="F393" s="66">
        <f t="shared" si="351"/>
        <v>0</v>
      </c>
      <c r="G393" s="66">
        <f t="shared" si="351"/>
        <v>0</v>
      </c>
      <c r="H393" s="66">
        <f t="shared" si="351"/>
        <v>0</v>
      </c>
      <c r="I393" s="66">
        <f t="shared" si="351"/>
        <v>0</v>
      </c>
      <c r="J393" s="66">
        <f t="shared" si="351"/>
        <v>0</v>
      </c>
      <c r="K393" s="66">
        <f t="shared" si="351"/>
        <v>0</v>
      </c>
      <c r="L393" s="66">
        <f t="shared" si="351"/>
        <v>0</v>
      </c>
      <c r="M393" s="66">
        <f t="shared" si="351"/>
        <v>0</v>
      </c>
      <c r="N393" s="66">
        <f t="shared" si="351"/>
        <v>0</v>
      </c>
      <c r="O393" s="66">
        <f t="shared" si="351"/>
        <v>0</v>
      </c>
      <c r="P393" s="66">
        <f t="shared" si="351"/>
        <v>0</v>
      </c>
      <c r="Q393" s="66">
        <f t="shared" si="351"/>
        <v>0</v>
      </c>
      <c r="R393" s="66">
        <f t="shared" si="351"/>
        <v>0</v>
      </c>
      <c r="S393" s="66">
        <f t="shared" si="351"/>
        <v>0</v>
      </c>
      <c r="T393" s="66">
        <f t="shared" si="351"/>
        <v>0</v>
      </c>
      <c r="U393" s="66">
        <f t="shared" si="351"/>
        <v>0</v>
      </c>
      <c r="V393" s="66">
        <f t="shared" si="351"/>
        <v>0</v>
      </c>
      <c r="W393" s="66">
        <f t="shared" si="351"/>
        <v>0</v>
      </c>
      <c r="X393" s="66">
        <f t="shared" si="351"/>
        <v>0</v>
      </c>
      <c r="Y393" s="66">
        <f t="shared" si="351"/>
        <v>0</v>
      </c>
      <c r="Z393" s="66">
        <f t="shared" si="351"/>
        <v>0</v>
      </c>
      <c r="AA393" s="66">
        <f t="shared" si="351"/>
        <v>0</v>
      </c>
      <c r="AB393" s="66">
        <f t="shared" si="351"/>
        <v>0</v>
      </c>
      <c r="AC393" s="66">
        <f t="shared" si="351"/>
        <v>0</v>
      </c>
    </row>
    <row r="394" spans="1:29" ht="15.75" thickBot="1" x14ac:dyDescent="0.3">
      <c r="A394" s="31" t="s">
        <v>63</v>
      </c>
      <c r="B394" s="76">
        <f>B385+B386+B387-B388+B389+B390+B391+B392+B393</f>
        <v>2.1041826886582853</v>
      </c>
      <c r="C394" s="76">
        <f t="shared" ref="C394:AC394" si="352">C385+C386+C387-C388+C389+C390+C391+C392+C393</f>
        <v>2.0928388004038796</v>
      </c>
      <c r="D394" s="76">
        <f t="shared" si="352"/>
        <v>2.0772867539827926</v>
      </c>
      <c r="E394" s="76">
        <f t="shared" si="352"/>
        <v>2.0563864700827725</v>
      </c>
      <c r="F394" s="76">
        <f t="shared" si="352"/>
        <v>2.0290657613875398</v>
      </c>
      <c r="G394" s="76">
        <f t="shared" si="352"/>
        <v>1.9946599465850217</v>
      </c>
      <c r="H394" s="76">
        <f t="shared" si="352"/>
        <v>1.9533739564410688</v>
      </c>
      <c r="I394" s="76">
        <f t="shared" si="352"/>
        <v>1.9066888465064151</v>
      </c>
      <c r="J394" s="76">
        <f t="shared" si="352"/>
        <v>1.8598267240842286</v>
      </c>
      <c r="K394" s="76">
        <f t="shared" si="352"/>
        <v>1.8138064884167671</v>
      </c>
      <c r="L394" s="76">
        <f t="shared" si="352"/>
        <v>1.7720084100275977</v>
      </c>
      <c r="M394" s="76">
        <f t="shared" si="352"/>
        <v>1.7367324722818342</v>
      </c>
      <c r="N394" s="76">
        <f t="shared" si="352"/>
        <v>1.7088519293890889</v>
      </c>
      <c r="O394" s="76">
        <f t="shared" si="352"/>
        <v>1.684669944835459</v>
      </c>
      <c r="P394" s="76">
        <f t="shared" si="352"/>
        <v>1.6666032612433643</v>
      </c>
      <c r="Q394" s="76">
        <f t="shared" si="352"/>
        <v>1.6533674904794253</v>
      </c>
      <c r="R394" s="76">
        <f t="shared" si="352"/>
        <v>1.6437535763905033</v>
      </c>
      <c r="S394" s="76">
        <f t="shared" si="352"/>
        <v>1.6367588531314265</v>
      </c>
      <c r="T394" s="76">
        <f t="shared" si="352"/>
        <v>1.631611966109799</v>
      </c>
      <c r="U394" s="76">
        <f t="shared" si="352"/>
        <v>1.6277469411985468</v>
      </c>
      <c r="V394" s="76">
        <f t="shared" si="352"/>
        <v>1.6247610514752864</v>
      </c>
      <c r="W394" s="76">
        <f t="shared" si="352"/>
        <v>1.6223734571662072</v>
      </c>
      <c r="X394" s="76">
        <f t="shared" si="352"/>
        <v>1.620390918369347</v>
      </c>
      <c r="Y394" s="76">
        <f t="shared" si="352"/>
        <v>1.6186816495295491</v>
      </c>
      <c r="Z394" s="76">
        <f t="shared" si="352"/>
        <v>1.6171563081675153</v>
      </c>
      <c r="AA394" s="76">
        <f t="shared" si="352"/>
        <v>1.6157545657029015</v>
      </c>
      <c r="AB394" s="76">
        <f t="shared" si="352"/>
        <v>1.6144357933405635</v>
      </c>
      <c r="AC394" s="76">
        <f t="shared" si="352"/>
        <v>1.6131726779215243</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5.6498629919985045E-3</v>
      </c>
      <c r="C404" s="66">
        <f t="shared" ref="C404:AC404" si="361">C362*C363*C370/C370/(C367)</f>
        <v>5.6190012627422327E-3</v>
      </c>
      <c r="D404" s="66">
        <f t="shared" si="361"/>
        <v>5.5766909864714709E-3</v>
      </c>
      <c r="E404" s="66">
        <f t="shared" si="361"/>
        <v>5.5198305089494771E-3</v>
      </c>
      <c r="F404" s="66">
        <f t="shared" si="361"/>
        <v>5.4455028801918244E-3</v>
      </c>
      <c r="G404" s="66">
        <f t="shared" si="361"/>
        <v>5.351899794771413E-3</v>
      </c>
      <c r="H404" s="66">
        <f t="shared" si="361"/>
        <v>5.2395787791439065E-3</v>
      </c>
      <c r="I404" s="66">
        <f t="shared" si="361"/>
        <v>5.1125691338802541E-3</v>
      </c>
      <c r="J404" s="66">
        <f t="shared" si="361"/>
        <v>5.0754118361485091E-3</v>
      </c>
      <c r="K404" s="66">
        <f t="shared" si="361"/>
        <v>5.0357748380792742E-3</v>
      </c>
      <c r="L404" s="66">
        <f t="shared" si="361"/>
        <v>5.0034960388245023E-3</v>
      </c>
      <c r="M404" s="66">
        <f t="shared" si="361"/>
        <v>4.9859227250155852E-3</v>
      </c>
      <c r="N404" s="66">
        <f t="shared" si="361"/>
        <v>4.9866162750207485E-3</v>
      </c>
      <c r="O404" s="66">
        <f t="shared" si="361"/>
        <v>4.8708297684699415E-3</v>
      </c>
      <c r="P404" s="66">
        <f t="shared" si="361"/>
        <v>4.7740779781753851E-3</v>
      </c>
      <c r="Q404" s="66">
        <f t="shared" si="361"/>
        <v>4.6921677133808879E-3</v>
      </c>
      <c r="R404" s="66">
        <f t="shared" si="361"/>
        <v>4.6212569767431783E-3</v>
      </c>
      <c r="S404" s="66">
        <f t="shared" si="361"/>
        <v>4.5582165909603808E-3</v>
      </c>
      <c r="T404" s="66">
        <f t="shared" si="361"/>
        <v>4.5006729401458308E-3</v>
      </c>
      <c r="U404" s="66">
        <f t="shared" si="361"/>
        <v>4.4469052757363106E-3</v>
      </c>
      <c r="V404" s="66">
        <f t="shared" si="361"/>
        <v>4.3957024805844356E-3</v>
      </c>
      <c r="W404" s="66">
        <f t="shared" si="361"/>
        <v>4.3462286221406989E-3</v>
      </c>
      <c r="X404" s="66">
        <f t="shared" si="361"/>
        <v>4.2979141796596499E-3</v>
      </c>
      <c r="Y404" s="66">
        <f t="shared" si="361"/>
        <v>4.2503744985028348E-3</v>
      </c>
      <c r="Z404" s="66">
        <f t="shared" si="361"/>
        <v>4.2033512956061586E-3</v>
      </c>
      <c r="AA404" s="66">
        <f t="shared" si="361"/>
        <v>4.1566718240766774E-3</v>
      </c>
      <c r="AB404" s="66">
        <f t="shared" si="361"/>
        <v>4.1102208541030291E-3</v>
      </c>
      <c r="AC404" s="66">
        <f t="shared" si="361"/>
        <v>4.06392166231242E-3</v>
      </c>
    </row>
    <row r="405" spans="1:29" x14ac:dyDescent="0.25">
      <c r="A405" s="59" t="str">
        <f>A368</f>
        <v>Market failure (av. utilization)</v>
      </c>
      <c r="B405" s="66">
        <f t="shared" ref="B405:AC405" si="362">B394/B368-B394/B367</f>
        <v>5.3061998235730642E-2</v>
      </c>
      <c r="C405" s="66">
        <f t="shared" si="362"/>
        <v>5.2775934966706517E-2</v>
      </c>
      <c r="D405" s="66">
        <f t="shared" si="362"/>
        <v>5.2383752926522587E-2</v>
      </c>
      <c r="E405" s="66">
        <f t="shared" si="362"/>
        <v>5.1856702289043807E-2</v>
      </c>
      <c r="F405" s="66">
        <f t="shared" si="362"/>
        <v>5.1167745287164029E-2</v>
      </c>
      <c r="G405" s="66">
        <f t="shared" si="362"/>
        <v>5.0300120392144015E-2</v>
      </c>
      <c r="H405" s="66">
        <f t="shared" si="362"/>
        <v>4.9258995423296495E-2</v>
      </c>
      <c r="I405" s="66">
        <f t="shared" si="362"/>
        <v>4.8081718737987847E-2</v>
      </c>
      <c r="J405" s="66">
        <f t="shared" si="362"/>
        <v>4.6899978259515307E-2</v>
      </c>
      <c r="K405" s="66">
        <f t="shared" si="362"/>
        <v>4.5739467968770625E-2</v>
      </c>
      <c r="L405" s="66">
        <f t="shared" si="362"/>
        <v>4.4685429470261148E-2</v>
      </c>
      <c r="M405" s="66">
        <f t="shared" si="362"/>
        <v>4.3795862344498407E-2</v>
      </c>
      <c r="N405" s="66">
        <f t="shared" si="362"/>
        <v>4.3092787784594397E-2</v>
      </c>
      <c r="O405" s="66">
        <f t="shared" si="362"/>
        <v>4.2482981217589824E-2</v>
      </c>
      <c r="P405" s="66">
        <f t="shared" si="362"/>
        <v>4.2027386587876123E-2</v>
      </c>
      <c r="Q405" s="66">
        <f t="shared" si="362"/>
        <v>4.1693614977307239E-2</v>
      </c>
      <c r="R405" s="66">
        <f t="shared" si="362"/>
        <v>4.1451177143760509E-2</v>
      </c>
      <c r="S405" s="66">
        <f t="shared" si="362"/>
        <v>4.1274788470270746E-2</v>
      </c>
      <c r="T405" s="66">
        <f t="shared" si="362"/>
        <v>4.1144997406247094E-2</v>
      </c>
      <c r="U405" s="66">
        <f t="shared" si="362"/>
        <v>4.104753156065899E-2</v>
      </c>
      <c r="V405" s="66">
        <f t="shared" si="362"/>
        <v>4.0972235211115898E-2</v>
      </c>
      <c r="W405" s="66">
        <f t="shared" si="362"/>
        <v>4.091202631114782E-2</v>
      </c>
      <c r="X405" s="66">
        <f t="shared" si="362"/>
        <v>4.0862031854531342E-2</v>
      </c>
      <c r="Y405" s="66">
        <f t="shared" si="362"/>
        <v>4.0818928553353825E-2</v>
      </c>
      <c r="Z405" s="66">
        <f t="shared" si="362"/>
        <v>4.0780463423354715E-2</v>
      </c>
      <c r="AA405" s="66">
        <f t="shared" si="362"/>
        <v>4.0745115135116625E-2</v>
      </c>
      <c r="AB405" s="66">
        <f t="shared" si="362"/>
        <v>4.0711859136414189E-2</v>
      </c>
      <c r="AC405" s="66">
        <f t="shared" si="362"/>
        <v>4.0680006660629722E-2</v>
      </c>
    </row>
    <row r="406" spans="1:29" x14ac:dyDescent="0.25">
      <c r="A406" s="59" t="str">
        <f>A369</f>
        <v>Payload loss (fuel)</v>
      </c>
      <c r="B406" s="66">
        <f>B394/(B367-B369)-B394/B367</f>
        <v>9.2833814533645614E-3</v>
      </c>
      <c r="C406" s="66">
        <f t="shared" ref="C406:AC406" si="363">C394/(C367-C369)-C394/C367</f>
        <v>9.204174964528633E-3</v>
      </c>
      <c r="D406" s="66">
        <f t="shared" si="363"/>
        <v>9.0947156613913338E-3</v>
      </c>
      <c r="E406" s="66">
        <f t="shared" si="363"/>
        <v>8.9458185741133345E-3</v>
      </c>
      <c r="F406" s="66">
        <f t="shared" si="363"/>
        <v>8.747579537275979E-3</v>
      </c>
      <c r="G406" s="66">
        <f t="shared" si="363"/>
        <v>8.4909750059972283E-3</v>
      </c>
      <c r="H406" s="66">
        <f t="shared" si="363"/>
        <v>8.1702777845658464E-3</v>
      </c>
      <c r="I406" s="66">
        <f t="shared" si="363"/>
        <v>7.785615803638124E-3</v>
      </c>
      <c r="J406" s="66">
        <f t="shared" si="363"/>
        <v>7.3540214124966918E-3</v>
      </c>
      <c r="K406" s="66">
        <f t="shared" si="363"/>
        <v>6.8789397294960475E-3</v>
      </c>
      <c r="L406" s="66">
        <f t="shared" si="363"/>
        <v>6.3795662147136528E-3</v>
      </c>
      <c r="M406" s="66">
        <f t="shared" si="363"/>
        <v>5.8783299503231135E-3</v>
      </c>
      <c r="N406" s="66">
        <f t="shared" si="363"/>
        <v>5.3991542360820599E-3</v>
      </c>
      <c r="O406" s="66">
        <f t="shared" si="363"/>
        <v>4.9546563405688249E-3</v>
      </c>
      <c r="P406" s="66">
        <f t="shared" si="363"/>
        <v>4.5732225190641268E-3</v>
      </c>
      <c r="Q406" s="66">
        <f t="shared" si="363"/>
        <v>4.2624509961332463E-3</v>
      </c>
      <c r="R406" s="66">
        <f t="shared" si="363"/>
        <v>4.0206803687977827E-3</v>
      </c>
      <c r="S406" s="66">
        <f t="shared" si="363"/>
        <v>3.8396050014216643E-3</v>
      </c>
      <c r="T406" s="66">
        <f t="shared" si="363"/>
        <v>3.7078731191693415E-3</v>
      </c>
      <c r="U406" s="66">
        <f t="shared" si="363"/>
        <v>3.6139918721053432E-3</v>
      </c>
      <c r="V406" s="66">
        <f t="shared" si="363"/>
        <v>3.5479559369993863E-3</v>
      </c>
      <c r="W406" s="66">
        <f t="shared" si="363"/>
        <v>3.5018089556647924E-3</v>
      </c>
      <c r="X406" s="66">
        <f t="shared" si="363"/>
        <v>3.469579496820821E-3</v>
      </c>
      <c r="Y406" s="66">
        <f t="shared" si="363"/>
        <v>3.4469526127234723E-3</v>
      </c>
      <c r="Z406" s="66">
        <f t="shared" si="363"/>
        <v>3.430887740760738E-3</v>
      </c>
      <c r="AA406" s="66">
        <f t="shared" si="363"/>
        <v>3.4192779314723698E-3</v>
      </c>
      <c r="AB406" s="66">
        <f t="shared" si="363"/>
        <v>3.4106794409761304E-3</v>
      </c>
      <c r="AC406" s="66">
        <f t="shared" si="363"/>
        <v>3.4041103604977863E-3</v>
      </c>
    </row>
    <row r="407" spans="1:29" ht="15.75" thickBot="1" x14ac:dyDescent="0.3">
      <c r="A407" s="59" t="str">
        <f>A344</f>
        <v>Emission Cost</v>
      </c>
      <c r="B407" s="68">
        <f>B364*B370/B370/(B367)</f>
        <v>0</v>
      </c>
      <c r="C407" s="68">
        <f t="shared" ref="C407:AC407" si="364">C364*C370/C370/(C367)</f>
        <v>0</v>
      </c>
      <c r="D407" s="68">
        <f t="shared" si="364"/>
        <v>0</v>
      </c>
      <c r="E407" s="68">
        <f t="shared" si="364"/>
        <v>0</v>
      </c>
      <c r="F407" s="68">
        <f t="shared" si="364"/>
        <v>0</v>
      </c>
      <c r="G407" s="68">
        <f t="shared" si="364"/>
        <v>0</v>
      </c>
      <c r="H407" s="68">
        <f t="shared" si="364"/>
        <v>0</v>
      </c>
      <c r="I407" s="68">
        <f t="shared" si="364"/>
        <v>0</v>
      </c>
      <c r="J407" s="68">
        <f t="shared" si="364"/>
        <v>0</v>
      </c>
      <c r="K407" s="68">
        <f t="shared" si="364"/>
        <v>0</v>
      </c>
      <c r="L407" s="68">
        <f t="shared" si="364"/>
        <v>0</v>
      </c>
      <c r="M407" s="68">
        <f t="shared" si="364"/>
        <v>0</v>
      </c>
      <c r="N407" s="68">
        <f t="shared" si="364"/>
        <v>0</v>
      </c>
      <c r="O407" s="68">
        <f t="shared" si="364"/>
        <v>0</v>
      </c>
      <c r="P407" s="68">
        <f t="shared" si="364"/>
        <v>0</v>
      </c>
      <c r="Q407" s="68">
        <f t="shared" si="364"/>
        <v>0</v>
      </c>
      <c r="R407" s="68">
        <f t="shared" si="364"/>
        <v>0</v>
      </c>
      <c r="S407" s="68">
        <f t="shared" si="364"/>
        <v>0</v>
      </c>
      <c r="T407" s="68">
        <f t="shared" si="364"/>
        <v>0</v>
      </c>
      <c r="U407" s="68">
        <f t="shared" si="364"/>
        <v>0</v>
      </c>
      <c r="V407" s="68">
        <f t="shared" si="364"/>
        <v>0</v>
      </c>
      <c r="W407" s="68">
        <f t="shared" si="364"/>
        <v>0</v>
      </c>
      <c r="X407" s="68">
        <f t="shared" si="364"/>
        <v>0</v>
      </c>
      <c r="Y407" s="68">
        <f t="shared" si="364"/>
        <v>0</v>
      </c>
      <c r="Z407" s="68">
        <f t="shared" si="364"/>
        <v>0</v>
      </c>
      <c r="AA407" s="68">
        <f t="shared" si="364"/>
        <v>0</v>
      </c>
      <c r="AB407" s="68">
        <f t="shared" si="364"/>
        <v>0</v>
      </c>
      <c r="AC407" s="68">
        <f t="shared" si="364"/>
        <v>0</v>
      </c>
    </row>
    <row r="408" spans="1:29" ht="15.75" thickBot="1" x14ac:dyDescent="0.3">
      <c r="A408" s="31" t="s">
        <v>210</v>
      </c>
      <c r="B408" s="67">
        <f>B397+B398+B399+B400+B401+B402+B403+B404+B405+B406+B407</f>
        <v>0.14511916971521754</v>
      </c>
      <c r="C408" s="67">
        <f t="shared" ref="C408:AC408" si="365">C397+C398+C399+C400+C401+C402+C403+C404+C405+C406+C407</f>
        <v>0.14430014442718125</v>
      </c>
      <c r="D408" s="67">
        <f t="shared" si="365"/>
        <v>0.14317642122701657</v>
      </c>
      <c r="E408" s="67">
        <f t="shared" si="365"/>
        <v>0.14166446214625897</v>
      </c>
      <c r="F408" s="67">
        <f t="shared" si="365"/>
        <v>0.13968443775973252</v>
      </c>
      <c r="G408" s="67">
        <f t="shared" si="365"/>
        <v>0.13718397574133306</v>
      </c>
      <c r="H408" s="67">
        <f t="shared" si="365"/>
        <v>0.13417071394529606</v>
      </c>
      <c r="I408" s="67">
        <f t="shared" si="365"/>
        <v>0.13074137088167351</v>
      </c>
      <c r="J408" s="67">
        <f t="shared" si="365"/>
        <v>0.12725355111517206</v>
      </c>
      <c r="K408" s="67">
        <f t="shared" si="365"/>
        <v>0.12377714971472829</v>
      </c>
      <c r="L408" s="67">
        <f t="shared" si="365"/>
        <v>0.12055181456586964</v>
      </c>
      <c r="M408" s="67">
        <f t="shared" si="365"/>
        <v>0.11774997366588581</v>
      </c>
      <c r="N408" s="67">
        <f t="shared" si="365"/>
        <v>0.11545250167603095</v>
      </c>
      <c r="O408" s="67">
        <f t="shared" si="365"/>
        <v>0.11343091783136794</v>
      </c>
      <c r="P408" s="67">
        <f t="shared" si="365"/>
        <v>0.11187122203646577</v>
      </c>
      <c r="Q408" s="67">
        <f t="shared" si="365"/>
        <v>0.11069724807240844</v>
      </c>
      <c r="R408" s="67">
        <f t="shared" si="365"/>
        <v>0.10982848304796937</v>
      </c>
      <c r="S408" s="67">
        <f t="shared" si="365"/>
        <v>0.10919123007674041</v>
      </c>
      <c r="T408" s="67">
        <f t="shared" si="365"/>
        <v>0.10872383164959933</v>
      </c>
      <c r="U408" s="67">
        <f t="shared" si="365"/>
        <v>0.10837788356049714</v>
      </c>
      <c r="V408" s="67">
        <f t="shared" si="365"/>
        <v>0.10811711568691768</v>
      </c>
      <c r="W408" s="67">
        <f t="shared" si="365"/>
        <v>0.10791525603325183</v>
      </c>
      <c r="X408" s="67">
        <f t="shared" si="365"/>
        <v>0.10775373056591699</v>
      </c>
      <c r="Y408" s="67">
        <f t="shared" si="365"/>
        <v>0.1076196296270502</v>
      </c>
      <c r="Z408" s="67">
        <f t="shared" si="365"/>
        <v>0.10750408597060701</v>
      </c>
      <c r="AA408" s="67">
        <f t="shared" si="365"/>
        <v>0.10740105817449599</v>
      </c>
      <c r="AB408" s="67">
        <f t="shared" si="365"/>
        <v>0.10730645279080381</v>
      </c>
      <c r="AC408" s="67">
        <f t="shared" si="365"/>
        <v>0.10721750661777942</v>
      </c>
    </row>
    <row r="410" spans="1:29" x14ac:dyDescent="0.25">
      <c r="B410" s="40"/>
    </row>
    <row r="429" spans="1:1" s="3" customFormat="1" ht="21" x14ac:dyDescent="0.35">
      <c r="A429" s="2" t="str">
        <f>'Parameter Input'!A128</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Input'!$L$89</f>
        <v>400000</v>
      </c>
      <c r="C439" s="42">
        <f>'Parameter Input'!$M$89</f>
        <v>145000</v>
      </c>
      <c r="D439" s="1" t="s">
        <v>15</v>
      </c>
      <c r="L439" s="51">
        <f>'Parameter Input'!$O$89</f>
        <v>8</v>
      </c>
      <c r="M439" s="52">
        <v>0</v>
      </c>
      <c r="N439" s="52">
        <v>1</v>
      </c>
      <c r="O439" s="52">
        <f>'Parameter Input'!$P$89</f>
        <v>0.9</v>
      </c>
      <c r="P439" s="53">
        <f>'Parameter Input'!$Q$89</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28</v>
      </c>
      <c r="B440" s="60">
        <f>'Parameter Input'!$L$90</f>
        <v>-60000</v>
      </c>
      <c r="C440" s="61">
        <f>'Parameter Input'!$M$90</f>
        <v>-36250</v>
      </c>
      <c r="D440" s="1" t="s">
        <v>15</v>
      </c>
      <c r="L440" s="54">
        <f>'Parameter Input'!$O$90</f>
        <v>8</v>
      </c>
      <c r="M440" s="37">
        <v>0</v>
      </c>
      <c r="N440" s="37">
        <v>1</v>
      </c>
      <c r="O440" s="37">
        <f>'Parameter Input'!$P$90</f>
        <v>0.9</v>
      </c>
      <c r="P440" s="55">
        <f>'Parameter Input'!$Q$90</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79</v>
      </c>
      <c r="B443" s="45">
        <f>'Parameter Input'!$L$96</f>
        <v>0.06</v>
      </c>
      <c r="C443" s="46">
        <f>'Parameter Input'!$M$96</f>
        <v>0.06</v>
      </c>
      <c r="D443" s="1" t="s">
        <v>57</v>
      </c>
      <c r="L443" s="54">
        <f>'Parameter Input'!$O$96</f>
        <v>12</v>
      </c>
      <c r="M443" s="37">
        <v>0</v>
      </c>
      <c r="N443" s="37">
        <v>1</v>
      </c>
      <c r="O443" s="37">
        <f>'Parameter Input'!$P$96</f>
        <v>0.9</v>
      </c>
      <c r="P443" s="55">
        <f>'Parameter Input'!$Q$96</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52</v>
      </c>
      <c r="B445" s="43">
        <f>'Parameter Input'!$L$92</f>
        <v>15000</v>
      </c>
      <c r="C445" s="44">
        <f>'Parameter Input'!$M$92</f>
        <v>15000</v>
      </c>
      <c r="D445" s="1" t="s">
        <v>38</v>
      </c>
      <c r="L445" s="54">
        <f>'Parameter Input'!$O$92</f>
        <v>8</v>
      </c>
      <c r="M445" s="37">
        <v>0</v>
      </c>
      <c r="N445" s="37">
        <v>1</v>
      </c>
      <c r="O445" s="37">
        <f>'Parameter Input'!$P$92</f>
        <v>0.9</v>
      </c>
      <c r="P445" s="55">
        <f>'Parameter Input'!$Q$92</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59</v>
      </c>
      <c r="B447" s="47">
        <f>'Parameter Input'!$L$93</f>
        <v>1.52</v>
      </c>
      <c r="C447" s="48">
        <f>'Parameter Input'!$M$93</f>
        <v>1.1499999999999999</v>
      </c>
      <c r="D447" s="1" t="s">
        <v>60</v>
      </c>
      <c r="L447" s="54">
        <f>'Parameter Input'!$O$93</f>
        <v>8</v>
      </c>
      <c r="M447" s="37">
        <v>0</v>
      </c>
      <c r="N447" s="37">
        <v>1</v>
      </c>
      <c r="O447" s="37">
        <f>'Parameter Input'!$P$93</f>
        <v>0.9</v>
      </c>
      <c r="P447" s="55">
        <f>'Parameter Input'!$Q$93</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67</v>
      </c>
      <c r="B448" s="45">
        <f>'Parameter Input'!$L$94</f>
        <v>0.13371034051801745</v>
      </c>
      <c r="C448" s="46">
        <f>'Parameter Input'!$M$94</f>
        <v>8.7585019329602734E-2</v>
      </c>
      <c r="D448" s="1" t="s">
        <v>68</v>
      </c>
      <c r="L448" s="54">
        <f>'Parameter Input'!$O$94</f>
        <v>12</v>
      </c>
      <c r="M448" s="37">
        <v>0</v>
      </c>
      <c r="N448" s="37">
        <v>1</v>
      </c>
      <c r="O448" s="37">
        <f>'Parameter Input'!$P$94</f>
        <v>0.9</v>
      </c>
      <c r="P448" s="55">
        <f>'Parameter Input'!$Q$94</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206</v>
      </c>
      <c r="B449" s="115">
        <f>'Parameter Input'!$L$97</f>
        <v>0</v>
      </c>
      <c r="C449" s="116">
        <f>'Parameter Input'!$M$97</f>
        <v>0</v>
      </c>
      <c r="D449" s="1" t="s">
        <v>76</v>
      </c>
      <c r="L449" s="54">
        <f>'Parameter Input'!$O$97</f>
        <v>17</v>
      </c>
      <c r="M449" s="37">
        <v>0</v>
      </c>
      <c r="N449" s="37">
        <v>1</v>
      </c>
      <c r="O449" s="37">
        <f>'Parameter Input'!$P$97</f>
        <v>0.9</v>
      </c>
      <c r="P449" s="55">
        <f>'Parameter Input'!$Q$97</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41</v>
      </c>
      <c r="B450" s="43">
        <f>'Parameter Input'!$L$91</f>
        <v>8</v>
      </c>
      <c r="C450" s="44">
        <f>'Parameter Input'!$M$91</f>
        <v>8</v>
      </c>
      <c r="D450" s="1" t="s">
        <v>42</v>
      </c>
      <c r="L450" s="54">
        <f>'Parameter Input'!$O$91</f>
        <v>8</v>
      </c>
      <c r="M450" s="37">
        <v>0</v>
      </c>
      <c r="N450" s="37">
        <v>1</v>
      </c>
      <c r="O450" s="37">
        <f>'Parameter Input'!$P$91</f>
        <v>0.9</v>
      </c>
      <c r="P450" s="55">
        <f>'Parameter Input'!$Q$91</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73</v>
      </c>
      <c r="B454" s="72">
        <f>'Parameter Input'!$L$95</f>
        <v>0.1</v>
      </c>
      <c r="C454" s="73">
        <f>'Parameter Input'!$M$95</f>
        <v>0.05</v>
      </c>
      <c r="D454" s="1" t="s">
        <v>57</v>
      </c>
      <c r="L454" s="54">
        <f>'Parameter Input'!$O$95</f>
        <v>12</v>
      </c>
      <c r="M454" s="37">
        <v>0</v>
      </c>
      <c r="N454" s="37">
        <v>1</v>
      </c>
      <c r="O454" s="37">
        <f>'Parameter Input'!$P$95</f>
        <v>0.9</v>
      </c>
      <c r="P454" s="55">
        <f>'Parameter Input'!$Q$95</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7" si="372">$B439+($C439-$B439)*(1-Q439)</f>
        <v>386191.20724655397</v>
      </c>
      <c r="C459" s="62">
        <f t="shared" ref="C459:C467" si="373">$B439+($C439-$B439)*(1-R439)</f>
        <v>380544.41838286084</v>
      </c>
      <c r="D459" s="62">
        <f t="shared" ref="D459:D467" si="374">$B439+($C439-$B439)*(1-S439)</f>
        <v>372802.88209752907</v>
      </c>
      <c r="E459" s="62">
        <f t="shared" ref="E459:E467" si="375">$B439+($C439-$B439)*(1-T439)</f>
        <v>362399.08687953383</v>
      </c>
      <c r="F459" s="62">
        <f t="shared" ref="F459:F467" si="376">$B439+($C439-$B439)*(1-U439)</f>
        <v>348799.3166641909</v>
      </c>
      <c r="G459" s="62">
        <f t="shared" ref="G459:G467" si="377">$B439+($C439-$B439)*(1-V439)</f>
        <v>331672.70473748312</v>
      </c>
      <c r="H459" s="62">
        <f t="shared" ref="H459:H467" si="378">$B439+($C439-$B439)*(1-W439)</f>
        <v>311121.26204490603</v>
      </c>
      <c r="I459" s="62">
        <f t="shared" ref="I459:I467" si="379">$B439+($C439-$B439)*(1-X439)</f>
        <v>287882.23209616641</v>
      </c>
      <c r="J459" s="62">
        <f t="shared" ref="J459:J467" si="380">$B439+($C439-$B439)*(1-Y439)</f>
        <v>263348.88352662267</v>
      </c>
      <c r="K459" s="62">
        <f t="shared" ref="K459:K467" si="381">$B439+($C439-$B439)*(1-Z439)</f>
        <v>239298.30536858604</v>
      </c>
      <c r="L459" s="62">
        <f t="shared" ref="L459:L467" si="382">$B439+($C439-$B439)*(1-AA439)</f>
        <v>217404.56902493956</v>
      </c>
      <c r="M459" s="62">
        <f t="shared" ref="M459:M467" si="383">$B439+($C439-$B439)*(1-AB439)</f>
        <v>198798.01086085022</v>
      </c>
      <c r="N459" s="62">
        <f t="shared" ref="N459:N467" si="384">$B439+($C439-$B439)*(1-AC439)</f>
        <v>183897.4900171854</v>
      </c>
      <c r="O459" s="62">
        <f t="shared" ref="O459:O467" si="385">$B439+($C439-$B439)*(1-AD439)</f>
        <v>172527.73128116049</v>
      </c>
      <c r="P459" s="62">
        <f t="shared" ref="P459:P467" si="386">$B439+($C439-$B439)*(1-AE439)</f>
        <v>164170.0467542134</v>
      </c>
      <c r="Q459" s="62">
        <f t="shared" ref="Q459:Q467" si="387">$B439+($C439-$B439)*(1-AF439)</f>
        <v>158194.42322526305</v>
      </c>
      <c r="R459" s="62">
        <f t="shared" ref="R459:R467" si="388">$B439+($C439-$B439)*(1-AG439)</f>
        <v>154006.39360946321</v>
      </c>
      <c r="S459" s="62">
        <f t="shared" ref="S459:S467" si="389">$B439+($C439-$B439)*(1-AH439)</f>
        <v>151112.20772852784</v>
      </c>
      <c r="T459" s="62">
        <f t="shared" ref="T459:T467" si="390">$B439+($C439-$B439)*(1-AI439)</f>
        <v>149131.57210738939</v>
      </c>
      <c r="U459" s="62">
        <f t="shared" ref="U459:U467" si="391">$B439+($C439-$B439)*(1-AJ439)</f>
        <v>147785.17134384764</v>
      </c>
      <c r="V459" s="62">
        <f t="shared" ref="V459:V467" si="392">$B439+($C439-$B439)*(1-AK439)</f>
        <v>146874.0769291053</v>
      </c>
      <c r="W459" s="62">
        <f t="shared" ref="W459:W467" si="393">$B439+($C439-$B439)*(1-AL439)</f>
        <v>146259.45168571896</v>
      </c>
      <c r="X459" s="62">
        <f t="shared" ref="X459:X467" si="394">$B439+($C439-$B439)*(1-AM439)</f>
        <v>145845.68902507037</v>
      </c>
      <c r="Y459" s="62">
        <f t="shared" ref="Y459:Y467" si="395">$B439+($C439-$B439)*(1-AN439)</f>
        <v>145567.53723474033</v>
      </c>
      <c r="Z459" s="62">
        <f t="shared" ref="Z459:Z467" si="396">$B439+($C439-$B439)*(1-AO439)</f>
        <v>145380.72644197271</v>
      </c>
      <c r="AA459" s="62">
        <f t="shared" ref="AA459:AA467" si="397">$B439+($C439-$B439)*(1-AP439)</f>
        <v>145255.34122836409</v>
      </c>
      <c r="AB459" s="62">
        <f t="shared" ref="AB459:AB467" si="398">$B439+($C439-$B439)*(1-AQ439)</f>
        <v>145171.22000562795</v>
      </c>
      <c r="AC459" s="62">
        <f t="shared" ref="AC459:AC467"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400">A449</f>
        <v>Emission Cost</v>
      </c>
      <c r="B469" s="66">
        <f>$B449+($C449-$B449)*(1-Q449)</f>
        <v>0</v>
      </c>
      <c r="C469" s="66">
        <f t="shared" ref="C469" si="401">$B449+($C449-$B449)*(1-R449)</f>
        <v>0</v>
      </c>
      <c r="D469" s="66">
        <f t="shared" ref="D469" si="402">$B449+($C449-$B449)*(1-S449)</f>
        <v>0</v>
      </c>
      <c r="E469" s="66">
        <f t="shared" ref="E469" si="403">$B449+($C449-$B449)*(1-T449)</f>
        <v>0</v>
      </c>
      <c r="F469" s="66">
        <f t="shared" ref="F469" si="404">$B449+($C449-$B449)*(1-U449)</f>
        <v>0</v>
      </c>
      <c r="G469" s="66">
        <f t="shared" ref="G469" si="405">$B449+($C449-$B449)*(1-V449)</f>
        <v>0</v>
      </c>
      <c r="H469" s="66">
        <f t="shared" ref="H469" si="406">$B449+($C449-$B449)*(1-W449)</f>
        <v>0</v>
      </c>
      <c r="I469" s="66">
        <f t="shared" ref="I469" si="407">$B449+($C449-$B449)*(1-X449)</f>
        <v>0</v>
      </c>
      <c r="J469" s="66">
        <f t="shared" ref="J469" si="408">$B449+($C449-$B449)*(1-Y449)</f>
        <v>0</v>
      </c>
      <c r="K469" s="66">
        <f t="shared" ref="K469" si="409">$B449+($C449-$B449)*(1-Z449)</f>
        <v>0</v>
      </c>
      <c r="L469" s="66">
        <f t="shared" ref="L469" si="410">$B449+($C449-$B449)*(1-AA449)</f>
        <v>0</v>
      </c>
      <c r="M469" s="66">
        <f t="shared" ref="M469" si="411">$B449+($C449-$B449)*(1-AB449)</f>
        <v>0</v>
      </c>
      <c r="N469" s="66">
        <f t="shared" ref="N469" si="412">$B449+($C449-$B449)*(1-AC449)</f>
        <v>0</v>
      </c>
      <c r="O469" s="66">
        <f t="shared" ref="O469" si="413">$B449+($C449-$B449)*(1-AD449)</f>
        <v>0</v>
      </c>
      <c r="P469" s="66">
        <f t="shared" ref="P469" si="414">$B449+($C449-$B449)*(1-AE449)</f>
        <v>0</v>
      </c>
      <c r="Q469" s="66">
        <f t="shared" ref="Q469" si="415">$B449+($C449-$B449)*(1-AF449)</f>
        <v>0</v>
      </c>
      <c r="R469" s="66">
        <f t="shared" ref="R469" si="416">$B449+($C449-$B449)*(1-AG449)</f>
        <v>0</v>
      </c>
      <c r="S469" s="66">
        <f t="shared" ref="S469" si="417">$B449+($C449-$B449)*(1-AH449)</f>
        <v>0</v>
      </c>
      <c r="T469" s="66">
        <f t="shared" ref="T469" si="418">$B449+($C449-$B449)*(1-AI449)</f>
        <v>0</v>
      </c>
      <c r="U469" s="66">
        <f t="shared" ref="U469" si="419">$B449+($C449-$B449)*(1-AJ449)</f>
        <v>0</v>
      </c>
      <c r="V469" s="66">
        <f t="shared" ref="V469" si="420">$B449+($C449-$B449)*(1-AK449)</f>
        <v>0</v>
      </c>
      <c r="W469" s="66">
        <f t="shared" ref="W469" si="421">$B449+($C449-$B449)*(1-AL449)</f>
        <v>0</v>
      </c>
      <c r="X469" s="66">
        <f t="shared" ref="X469" si="422">$B449+($C449-$B449)*(1-AM449)</f>
        <v>0</v>
      </c>
      <c r="Y469" s="66">
        <f t="shared" ref="Y469" si="423">$B449+($C449-$B449)*(1-AN449)</f>
        <v>0</v>
      </c>
      <c r="Z469" s="66">
        <f t="shared" ref="Z469" si="424">$B449+($C449-$B449)*(1-AO449)</f>
        <v>0</v>
      </c>
      <c r="AA469" s="66">
        <f t="shared" ref="AA469" si="425">$B449+($C449-$B449)*(1-AP449)</f>
        <v>0</v>
      </c>
      <c r="AB469" s="66">
        <f t="shared" ref="AB469" si="426">$B449+($C449-$B449)*(1-AQ449)</f>
        <v>0</v>
      </c>
      <c r="AC469" s="66">
        <f t="shared" ref="AC469" si="427">$B449+($C449-$B449)*(1-AR449)</f>
        <v>0</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12712.191731996634</v>
      </c>
      <c r="C485" s="62">
        <f t="shared" ref="C485:AC485" si="442">C467*C468*C475</f>
        <v>12642.752841170024</v>
      </c>
      <c r="D485" s="62">
        <f t="shared" si="442"/>
        <v>12547.554719560809</v>
      </c>
      <c r="E485" s="62">
        <f t="shared" si="442"/>
        <v>12419.618645136323</v>
      </c>
      <c r="F485" s="62">
        <f t="shared" si="442"/>
        <v>12252.381480431606</v>
      </c>
      <c r="G485" s="62">
        <f t="shared" si="442"/>
        <v>12041.774538235679</v>
      </c>
      <c r="H485" s="62">
        <f t="shared" si="442"/>
        <v>11789.052253073789</v>
      </c>
      <c r="I485" s="62">
        <f t="shared" si="442"/>
        <v>11503.280551230571</v>
      </c>
      <c r="J485" s="62">
        <f t="shared" si="442"/>
        <v>11419.676631334145</v>
      </c>
      <c r="K485" s="62">
        <f t="shared" si="442"/>
        <v>11330.493385678368</v>
      </c>
      <c r="L485" s="62">
        <f t="shared" si="442"/>
        <v>11257.866087355129</v>
      </c>
      <c r="M485" s="62">
        <f t="shared" si="442"/>
        <v>11218.326131285068</v>
      </c>
      <c r="N485" s="62">
        <f t="shared" si="442"/>
        <v>11219.886618796685</v>
      </c>
      <c r="O485" s="62">
        <f t="shared" si="442"/>
        <v>10959.366979057368</v>
      </c>
      <c r="P485" s="62">
        <f t="shared" si="442"/>
        <v>10741.675450894614</v>
      </c>
      <c r="Q485" s="62">
        <f t="shared" si="442"/>
        <v>10557.377355106997</v>
      </c>
      <c r="R485" s="62">
        <f t="shared" si="442"/>
        <v>10397.82819767215</v>
      </c>
      <c r="S485" s="62">
        <f t="shared" si="442"/>
        <v>10255.987329660855</v>
      </c>
      <c r="T485" s="62">
        <f t="shared" si="442"/>
        <v>10126.514115328118</v>
      </c>
      <c r="U485" s="62">
        <f t="shared" si="442"/>
        <v>10005.536870406699</v>
      </c>
      <c r="V485" s="62">
        <f t="shared" si="442"/>
        <v>9890.33058131498</v>
      </c>
      <c r="W485" s="62">
        <f t="shared" si="442"/>
        <v>9779.0143998165713</v>
      </c>
      <c r="X485" s="62">
        <f t="shared" si="442"/>
        <v>9670.3069042342122</v>
      </c>
      <c r="Y485" s="62">
        <f t="shared" si="442"/>
        <v>9563.3426216313765</v>
      </c>
      <c r="Z485" s="62">
        <f t="shared" si="442"/>
        <v>9457.5404151138573</v>
      </c>
      <c r="AA485" s="62">
        <f t="shared" si="442"/>
        <v>9352.511604172525</v>
      </c>
      <c r="AB485" s="62">
        <f t="shared" si="442"/>
        <v>9247.9969217318157</v>
      </c>
      <c r="AC485" s="62">
        <f t="shared" si="442"/>
        <v>9143.8237402029463</v>
      </c>
    </row>
    <row r="486" spans="1:29" ht="15.75" thickBot="1" x14ac:dyDescent="0.3">
      <c r="A486" s="59" t="str">
        <f>A449</f>
        <v>Emission Cost</v>
      </c>
      <c r="B486" s="62">
        <f>B469*B475</f>
        <v>0</v>
      </c>
      <c r="C486" s="62">
        <f t="shared" ref="C486:AC486" si="443">C469*C475</f>
        <v>0</v>
      </c>
      <c r="D486" s="62">
        <f t="shared" si="443"/>
        <v>0</v>
      </c>
      <c r="E486" s="62">
        <f t="shared" si="443"/>
        <v>0</v>
      </c>
      <c r="F486" s="62">
        <f t="shared" si="443"/>
        <v>0</v>
      </c>
      <c r="G486" s="62">
        <f t="shared" si="443"/>
        <v>0</v>
      </c>
      <c r="H486" s="62">
        <f t="shared" si="443"/>
        <v>0</v>
      </c>
      <c r="I486" s="62">
        <f t="shared" si="443"/>
        <v>0</v>
      </c>
      <c r="J486" s="62">
        <f t="shared" si="443"/>
        <v>0</v>
      </c>
      <c r="K486" s="62">
        <f t="shared" si="443"/>
        <v>0</v>
      </c>
      <c r="L486" s="62">
        <f t="shared" si="443"/>
        <v>0</v>
      </c>
      <c r="M486" s="62">
        <f t="shared" si="443"/>
        <v>0</v>
      </c>
      <c r="N486" s="62">
        <f t="shared" si="443"/>
        <v>0</v>
      </c>
      <c r="O486" s="62">
        <f t="shared" si="443"/>
        <v>0</v>
      </c>
      <c r="P486" s="62">
        <f t="shared" si="443"/>
        <v>0</v>
      </c>
      <c r="Q486" s="62">
        <f t="shared" si="443"/>
        <v>0</v>
      </c>
      <c r="R486" s="62">
        <f t="shared" si="443"/>
        <v>0</v>
      </c>
      <c r="S486" s="62">
        <f t="shared" si="443"/>
        <v>0</v>
      </c>
      <c r="T486" s="62">
        <f t="shared" si="443"/>
        <v>0</v>
      </c>
      <c r="U486" s="62">
        <f t="shared" si="443"/>
        <v>0</v>
      </c>
      <c r="V486" s="62">
        <f t="shared" si="443"/>
        <v>0</v>
      </c>
      <c r="W486" s="62">
        <f t="shared" si="443"/>
        <v>0</v>
      </c>
      <c r="X486" s="62">
        <f t="shared" si="443"/>
        <v>0</v>
      </c>
      <c r="Y486" s="62">
        <f t="shared" si="443"/>
        <v>0</v>
      </c>
      <c r="Z486" s="62">
        <f t="shared" si="443"/>
        <v>0</v>
      </c>
      <c r="AA486" s="62">
        <f t="shared" si="443"/>
        <v>0</v>
      </c>
      <c r="AB486" s="62">
        <f t="shared" si="443"/>
        <v>0</v>
      </c>
      <c r="AC486" s="62">
        <f t="shared" si="443"/>
        <v>0</v>
      </c>
    </row>
    <row r="487" spans="1:29" ht="15.75" thickBot="1" x14ac:dyDescent="0.3">
      <c r="A487" s="31" t="s">
        <v>209</v>
      </c>
      <c r="B487" s="64">
        <f>B478+B479+B480+B481+B482+B483+B484+B485+B486</f>
        <v>163914.34460521166</v>
      </c>
      <c r="C487" s="64">
        <f t="shared" ref="C487:AC487" si="444">C478+C479+C480+C481+C482+C483+C484+C485+C486</f>
        <v>163020.26280259117</v>
      </c>
      <c r="D487" s="64">
        <f t="shared" si="444"/>
        <v>161794.51009886517</v>
      </c>
      <c r="E487" s="64">
        <f t="shared" si="444"/>
        <v>160147.22981140701</v>
      </c>
      <c r="F487" s="64">
        <f t="shared" si="444"/>
        <v>157993.91624455148</v>
      </c>
      <c r="G487" s="64">
        <f t="shared" si="444"/>
        <v>155282.181764329</v>
      </c>
      <c r="H487" s="64">
        <f t="shared" si="444"/>
        <v>152028.17822841241</v>
      </c>
      <c r="I487" s="64">
        <f t="shared" si="444"/>
        <v>148348.63675993032</v>
      </c>
      <c r="J487" s="64">
        <f t="shared" si="444"/>
        <v>144682.24402168026</v>
      </c>
      <c r="K487" s="64">
        <f t="shared" si="444"/>
        <v>141080.77454019748</v>
      </c>
      <c r="L487" s="64">
        <f t="shared" si="444"/>
        <v>137810.84078606585</v>
      </c>
      <c r="M487" s="64">
        <f t="shared" si="444"/>
        <v>135054.04564775364</v>
      </c>
      <c r="N487" s="64">
        <f t="shared" si="444"/>
        <v>132879.57136712104</v>
      </c>
      <c r="O487" s="64">
        <f t="shared" si="444"/>
        <v>130958.64061997265</v>
      </c>
      <c r="P487" s="64">
        <f t="shared" si="444"/>
        <v>129520.41376270092</v>
      </c>
      <c r="Q487" s="64">
        <f t="shared" si="444"/>
        <v>128463.45056367532</v>
      </c>
      <c r="R487" s="64">
        <f t="shared" si="444"/>
        <v>127692.29204374811</v>
      </c>
      <c r="S487" s="64">
        <f t="shared" si="444"/>
        <v>127127.79151380525</v>
      </c>
      <c r="T487" s="64">
        <f t="shared" si="444"/>
        <v>126709.07123087393</v>
      </c>
      <c r="U487" s="64">
        <f t="shared" si="444"/>
        <v>126391.46898847343</v>
      </c>
      <c r="V487" s="64">
        <f t="shared" si="444"/>
        <v>126143.20875151355</v>
      </c>
      <c r="W487" s="64">
        <f t="shared" si="444"/>
        <v>125942.13423787225</v>
      </c>
      <c r="X487" s="64">
        <f t="shared" si="444"/>
        <v>125773.00187897285</v>
      </c>
      <c r="Y487" s="64">
        <f t="shared" si="444"/>
        <v>125625.41700512155</v>
      </c>
      <c r="Z487" s="64">
        <f t="shared" si="444"/>
        <v>125492.33341801391</v>
      </c>
      <c r="AA487" s="64">
        <f t="shared" si="444"/>
        <v>125368.9936643152</v>
      </c>
      <c r="AB487" s="64">
        <f t="shared" si="444"/>
        <v>125252.19412906074</v>
      </c>
      <c r="AC487" s="64">
        <f t="shared" si="444"/>
        <v>125139.78136883849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0.14124657479996261</v>
      </c>
      <c r="C497" s="66">
        <f t="shared" ref="C497:AC497" si="453">C467*C468*C475/C475</f>
        <v>0.14047503156855581</v>
      </c>
      <c r="D497" s="66">
        <f t="shared" si="453"/>
        <v>0.13941727466178677</v>
      </c>
      <c r="E497" s="66">
        <f t="shared" si="453"/>
        <v>0.13799576272373693</v>
      </c>
      <c r="F497" s="66">
        <f t="shared" si="453"/>
        <v>0.13613757200479562</v>
      </c>
      <c r="G497" s="66">
        <f t="shared" si="453"/>
        <v>0.13379749486928533</v>
      </c>
      <c r="H497" s="66">
        <f t="shared" si="453"/>
        <v>0.13098946947859766</v>
      </c>
      <c r="I497" s="66">
        <f t="shared" si="453"/>
        <v>0.12781422834700634</v>
      </c>
      <c r="J497" s="66">
        <f t="shared" si="453"/>
        <v>0.12688529590371272</v>
      </c>
      <c r="K497" s="66">
        <f t="shared" si="453"/>
        <v>0.12589437095198186</v>
      </c>
      <c r="L497" s="66">
        <f t="shared" si="453"/>
        <v>0.12508740097061255</v>
      </c>
      <c r="M497" s="66">
        <f t="shared" si="453"/>
        <v>0.12464806812538964</v>
      </c>
      <c r="N497" s="66">
        <f t="shared" si="453"/>
        <v>0.12466540687551872</v>
      </c>
      <c r="O497" s="66">
        <f t="shared" si="453"/>
        <v>0.12177074421174854</v>
      </c>
      <c r="P497" s="66">
        <f t="shared" si="453"/>
        <v>0.1193519494543846</v>
      </c>
      <c r="Q497" s="66">
        <f t="shared" si="453"/>
        <v>0.11730419283452219</v>
      </c>
      <c r="R497" s="66">
        <f t="shared" si="453"/>
        <v>0.11553142441857944</v>
      </c>
      <c r="S497" s="66">
        <f t="shared" si="453"/>
        <v>0.1139554147740095</v>
      </c>
      <c r="T497" s="66">
        <f t="shared" si="453"/>
        <v>0.11251682350364577</v>
      </c>
      <c r="U497" s="66">
        <f t="shared" si="453"/>
        <v>0.11117263189340776</v>
      </c>
      <c r="V497" s="66">
        <f t="shared" si="453"/>
        <v>0.1098925620146109</v>
      </c>
      <c r="W497" s="66">
        <f t="shared" si="453"/>
        <v>0.10865571555351745</v>
      </c>
      <c r="X497" s="66">
        <f t="shared" si="453"/>
        <v>0.10744785449149125</v>
      </c>
      <c r="Y497" s="66">
        <f t="shared" si="453"/>
        <v>0.10625936246257085</v>
      </c>
      <c r="Z497" s="66">
        <f t="shared" si="453"/>
        <v>0.10508378239015397</v>
      </c>
      <c r="AA497" s="66">
        <f t="shared" si="453"/>
        <v>0.10391679560191694</v>
      </c>
      <c r="AB497" s="66">
        <f t="shared" si="453"/>
        <v>0.10275552135257573</v>
      </c>
      <c r="AC497" s="66">
        <f t="shared" si="453"/>
        <v>0.10159804155781052</v>
      </c>
    </row>
    <row r="498" spans="1:29" ht="15.75" thickBot="1" x14ac:dyDescent="0.3">
      <c r="A498" s="59" t="str">
        <f t="shared" ref="A498" si="454">A486</f>
        <v>Emission Cost</v>
      </c>
      <c r="B498" s="66">
        <f>B469</f>
        <v>0</v>
      </c>
      <c r="C498" s="66">
        <f t="shared" ref="C498:AC498" si="455">C469</f>
        <v>0</v>
      </c>
      <c r="D498" s="66">
        <f t="shared" si="455"/>
        <v>0</v>
      </c>
      <c r="E498" s="66">
        <f t="shared" si="455"/>
        <v>0</v>
      </c>
      <c r="F498" s="66">
        <f t="shared" si="455"/>
        <v>0</v>
      </c>
      <c r="G498" s="66">
        <f t="shared" si="455"/>
        <v>0</v>
      </c>
      <c r="H498" s="66">
        <f t="shared" si="455"/>
        <v>0</v>
      </c>
      <c r="I498" s="66">
        <f t="shared" si="455"/>
        <v>0</v>
      </c>
      <c r="J498" s="66">
        <f t="shared" si="455"/>
        <v>0</v>
      </c>
      <c r="K498" s="66">
        <f t="shared" si="455"/>
        <v>0</v>
      </c>
      <c r="L498" s="66">
        <f t="shared" si="455"/>
        <v>0</v>
      </c>
      <c r="M498" s="66">
        <f t="shared" si="455"/>
        <v>0</v>
      </c>
      <c r="N498" s="66">
        <f t="shared" si="455"/>
        <v>0</v>
      </c>
      <c r="O498" s="66">
        <f t="shared" si="455"/>
        <v>0</v>
      </c>
      <c r="P498" s="66">
        <f t="shared" si="455"/>
        <v>0</v>
      </c>
      <c r="Q498" s="66">
        <f t="shared" si="455"/>
        <v>0</v>
      </c>
      <c r="R498" s="66">
        <f t="shared" si="455"/>
        <v>0</v>
      </c>
      <c r="S498" s="66">
        <f t="shared" si="455"/>
        <v>0</v>
      </c>
      <c r="T498" s="66">
        <f t="shared" si="455"/>
        <v>0</v>
      </c>
      <c r="U498" s="66">
        <f t="shared" si="455"/>
        <v>0</v>
      </c>
      <c r="V498" s="66">
        <f t="shared" si="455"/>
        <v>0</v>
      </c>
      <c r="W498" s="66">
        <f t="shared" si="455"/>
        <v>0</v>
      </c>
      <c r="X498" s="66">
        <f t="shared" si="455"/>
        <v>0</v>
      </c>
      <c r="Y498" s="66">
        <f t="shared" si="455"/>
        <v>0</v>
      </c>
      <c r="Z498" s="66">
        <f t="shared" si="455"/>
        <v>0</v>
      </c>
      <c r="AA498" s="66">
        <f t="shared" si="455"/>
        <v>0</v>
      </c>
      <c r="AB498" s="66">
        <f t="shared" si="455"/>
        <v>0</v>
      </c>
      <c r="AC498" s="66">
        <f t="shared" si="455"/>
        <v>0</v>
      </c>
    </row>
    <row r="499" spans="1:29" ht="15.75" thickBot="1" x14ac:dyDescent="0.3">
      <c r="A499" s="31" t="s">
        <v>63</v>
      </c>
      <c r="B499" s="76">
        <f>B490+B491+B492-B493+B494+B495+B496+B497+B498</f>
        <v>1.8476892652674266</v>
      </c>
      <c r="C499" s="76">
        <f t="shared" ref="C499:AC499" si="456">C490+C491+C492-C493+C494+C495+C496+C497+C498</f>
        <v>1.8377550230160877</v>
      </c>
      <c r="D499" s="76">
        <f t="shared" si="456"/>
        <v>1.8241355485302433</v>
      </c>
      <c r="E499" s="76">
        <f t="shared" si="456"/>
        <v>1.8058324342251524</v>
      </c>
      <c r="F499" s="76">
        <f t="shared" si="456"/>
        <v>1.7819067279267582</v>
      </c>
      <c r="G499" s="76">
        <f t="shared" si="456"/>
        <v>1.7517763448131747</v>
      </c>
      <c r="H499" s="76">
        <f t="shared" si="456"/>
        <v>1.7156207499696572</v>
      </c>
      <c r="I499" s="76">
        <f t="shared" si="456"/>
        <v>1.6747369558754117</v>
      </c>
      <c r="J499" s="76">
        <f t="shared" si="456"/>
        <v>1.6339992587837444</v>
      </c>
      <c r="K499" s="76">
        <f t="shared" si="456"/>
        <v>1.5939829312117135</v>
      </c>
      <c r="L499" s="76">
        <f t="shared" si="456"/>
        <v>1.5576503339435841</v>
      </c>
      <c r="M499" s="76">
        <f t="shared" si="456"/>
        <v>1.5270192768512263</v>
      </c>
      <c r="N499" s="76">
        <f t="shared" si="456"/>
        <v>1.5028584515108641</v>
      </c>
      <c r="O499" s="76">
        <f t="shared" si="456"/>
        <v>1.4815147765425489</v>
      </c>
      <c r="P499" s="76">
        <f t="shared" si="456"/>
        <v>1.4655344781284183</v>
      </c>
      <c r="Q499" s="76">
        <f t="shared" si="456"/>
        <v>1.4537904425836894</v>
      </c>
      <c r="R499" s="76">
        <f t="shared" si="456"/>
        <v>1.4452220145844981</v>
      </c>
      <c r="S499" s="76">
        <f t="shared" si="456"/>
        <v>1.4389497864740219</v>
      </c>
      <c r="T499" s="76">
        <f t="shared" si="456"/>
        <v>1.4342973388858964</v>
      </c>
      <c r="U499" s="76">
        <f t="shared" si="456"/>
        <v>1.4307684250814461</v>
      </c>
      <c r="V499" s="76">
        <f t="shared" si="456"/>
        <v>1.4280099780041142</v>
      </c>
      <c r="W499" s="76">
        <f t="shared" si="456"/>
        <v>1.4257758167414332</v>
      </c>
      <c r="X499" s="76">
        <f t="shared" si="456"/>
        <v>1.4238965683092175</v>
      </c>
      <c r="Y499" s="76">
        <f t="shared" si="456"/>
        <v>1.4222567363775365</v>
      </c>
      <c r="Z499" s="76">
        <f t="shared" si="456"/>
        <v>1.4207780298541184</v>
      </c>
      <c r="AA499" s="76">
        <f t="shared" si="456"/>
        <v>1.4194075881463548</v>
      </c>
      <c r="AB499" s="76">
        <f t="shared" si="456"/>
        <v>1.4181098155324163</v>
      </c>
      <c r="AC499" s="76">
        <f t="shared" si="456"/>
        <v>1.4168607848632804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5.6498629919985045E-3</v>
      </c>
      <c r="C509" s="66">
        <f t="shared" ref="C509:AC509" si="465">C467*C468*C475/C475/(C472)</f>
        <v>5.6190012627422327E-3</v>
      </c>
      <c r="D509" s="66">
        <f t="shared" si="465"/>
        <v>5.5766909864714709E-3</v>
      </c>
      <c r="E509" s="66">
        <f t="shared" si="465"/>
        <v>5.5198305089494771E-3</v>
      </c>
      <c r="F509" s="66">
        <f t="shared" si="465"/>
        <v>5.4455028801918244E-3</v>
      </c>
      <c r="G509" s="66">
        <f t="shared" si="465"/>
        <v>5.351899794771413E-3</v>
      </c>
      <c r="H509" s="66">
        <f t="shared" si="465"/>
        <v>5.2395787791439065E-3</v>
      </c>
      <c r="I509" s="66">
        <f t="shared" si="465"/>
        <v>5.1125691338802541E-3</v>
      </c>
      <c r="J509" s="66">
        <f t="shared" si="465"/>
        <v>5.0754118361485091E-3</v>
      </c>
      <c r="K509" s="66">
        <f t="shared" si="465"/>
        <v>5.0357748380792742E-3</v>
      </c>
      <c r="L509" s="66">
        <f t="shared" si="465"/>
        <v>5.0034960388245023E-3</v>
      </c>
      <c r="M509" s="66">
        <f t="shared" si="465"/>
        <v>4.985922725015586E-3</v>
      </c>
      <c r="N509" s="66">
        <f t="shared" si="465"/>
        <v>4.9866162750207485E-3</v>
      </c>
      <c r="O509" s="66">
        <f t="shared" si="465"/>
        <v>4.8708297684699415E-3</v>
      </c>
      <c r="P509" s="66">
        <f t="shared" si="465"/>
        <v>4.7740779781753843E-3</v>
      </c>
      <c r="Q509" s="66">
        <f t="shared" si="465"/>
        <v>4.6921677133808879E-3</v>
      </c>
      <c r="R509" s="66">
        <f t="shared" si="465"/>
        <v>4.6212569767431775E-3</v>
      </c>
      <c r="S509" s="66">
        <f t="shared" si="465"/>
        <v>4.5582165909603799E-3</v>
      </c>
      <c r="T509" s="66">
        <f t="shared" si="465"/>
        <v>4.5006729401458308E-3</v>
      </c>
      <c r="U509" s="66">
        <f t="shared" si="465"/>
        <v>4.4469052757363106E-3</v>
      </c>
      <c r="V509" s="66">
        <f t="shared" si="465"/>
        <v>4.3957024805844356E-3</v>
      </c>
      <c r="W509" s="66">
        <f t="shared" si="465"/>
        <v>4.3462286221406981E-3</v>
      </c>
      <c r="X509" s="66">
        <f t="shared" si="465"/>
        <v>4.2979141796596499E-3</v>
      </c>
      <c r="Y509" s="66">
        <f t="shared" si="465"/>
        <v>4.250374498502834E-3</v>
      </c>
      <c r="Z509" s="66">
        <f t="shared" si="465"/>
        <v>4.2033512956061586E-3</v>
      </c>
      <c r="AA509" s="66">
        <f t="shared" si="465"/>
        <v>4.1566718240766774E-3</v>
      </c>
      <c r="AB509" s="66">
        <f t="shared" si="465"/>
        <v>4.1102208541030291E-3</v>
      </c>
      <c r="AC509" s="66">
        <f t="shared" si="465"/>
        <v>4.0639216623124209E-3</v>
      </c>
    </row>
    <row r="510" spans="1:29" x14ac:dyDescent="0.25">
      <c r="A510" s="59" t="str">
        <f>A473</f>
        <v>Market failure (av. utilization)</v>
      </c>
      <c r="B510" s="66">
        <f t="shared" ref="B510:AC510" si="466">B499/B473-B499/B472</f>
        <v>4.1573008468517095E-2</v>
      </c>
      <c r="C510" s="66">
        <f t="shared" si="466"/>
        <v>4.1349488017861979E-2</v>
      </c>
      <c r="D510" s="66">
        <f t="shared" si="466"/>
        <v>4.1043049841930468E-2</v>
      </c>
      <c r="E510" s="66">
        <f t="shared" si="466"/>
        <v>4.0631229770065933E-2</v>
      </c>
      <c r="F510" s="66">
        <f t="shared" si="466"/>
        <v>4.0092901378352058E-2</v>
      </c>
      <c r="G510" s="66">
        <f t="shared" si="466"/>
        <v>3.9414967758296435E-2</v>
      </c>
      <c r="H510" s="66">
        <f t="shared" si="466"/>
        <v>3.8601466874317286E-2</v>
      </c>
      <c r="I510" s="66">
        <f t="shared" si="466"/>
        <v>3.7681581507196762E-2</v>
      </c>
      <c r="J510" s="66">
        <f t="shared" si="466"/>
        <v>3.6764983322634254E-2</v>
      </c>
      <c r="K510" s="66">
        <f t="shared" si="466"/>
        <v>3.5864615952263548E-2</v>
      </c>
      <c r="L510" s="66">
        <f t="shared" si="466"/>
        <v>3.5047132513730643E-2</v>
      </c>
      <c r="M510" s="66">
        <f t="shared" si="466"/>
        <v>3.4357933729152593E-2</v>
      </c>
      <c r="N510" s="66">
        <f t="shared" si="466"/>
        <v>3.381431515899444E-2</v>
      </c>
      <c r="O510" s="66">
        <f t="shared" si="466"/>
        <v>3.3334082472207351E-2</v>
      </c>
      <c r="P510" s="66">
        <f t="shared" si="466"/>
        <v>3.2974525757889409E-2</v>
      </c>
      <c r="Q510" s="66">
        <f t="shared" si="466"/>
        <v>3.271028495813301E-2</v>
      </c>
      <c r="R510" s="66">
        <f t="shared" si="466"/>
        <v>3.2517495328151208E-2</v>
      </c>
      <c r="S510" s="66">
        <f t="shared" si="466"/>
        <v>3.2376370195665492E-2</v>
      </c>
      <c r="T510" s="66">
        <f t="shared" si="466"/>
        <v>3.2271690124932667E-2</v>
      </c>
      <c r="U510" s="66">
        <f t="shared" si="466"/>
        <v>3.2192289564332538E-2</v>
      </c>
      <c r="V510" s="66">
        <f t="shared" si="466"/>
        <v>3.2130224505092571E-2</v>
      </c>
      <c r="W510" s="66">
        <f t="shared" si="466"/>
        <v>3.2079955876682248E-2</v>
      </c>
      <c r="X510" s="66">
        <f t="shared" si="466"/>
        <v>3.2037672786957391E-2</v>
      </c>
      <c r="Y510" s="66">
        <f t="shared" si="466"/>
        <v>3.2000776568494572E-2</v>
      </c>
      <c r="Z510" s="66">
        <f t="shared" si="466"/>
        <v>3.1967505671717661E-2</v>
      </c>
      <c r="AA510" s="66">
        <f t="shared" si="466"/>
        <v>3.1936670733292982E-2</v>
      </c>
      <c r="AB510" s="66">
        <f t="shared" si="466"/>
        <v>3.1907470849479369E-2</v>
      </c>
      <c r="AC510" s="66">
        <f t="shared" si="466"/>
        <v>3.1879367659423806E-2</v>
      </c>
    </row>
    <row r="511" spans="1:29" x14ac:dyDescent="0.25">
      <c r="A511" s="59" t="str">
        <f>A474</f>
        <v>Payload loss (fuel)</v>
      </c>
      <c r="B511" s="66">
        <f>B499/(B472-B474)-B499/B472</f>
        <v>8.1517656946896305E-3</v>
      </c>
      <c r="C511" s="66">
        <f t="shared" ref="C511:AC511" si="467">C499/(C472-C474)-C499/C472</f>
        <v>8.0823323662181507E-3</v>
      </c>
      <c r="D511" s="66">
        <f t="shared" si="467"/>
        <v>7.9863765124918717E-3</v>
      </c>
      <c r="E511" s="66">
        <f t="shared" si="467"/>
        <v>7.85584303673105E-3</v>
      </c>
      <c r="F511" s="66">
        <f t="shared" si="467"/>
        <v>7.6820431979924414E-3</v>
      </c>
      <c r="G511" s="66">
        <f t="shared" si="467"/>
        <v>7.4570551162725929E-3</v>
      </c>
      <c r="H511" s="66">
        <f t="shared" si="467"/>
        <v>7.1758395539150144E-3</v>
      </c>
      <c r="I511" s="66">
        <f t="shared" si="467"/>
        <v>6.8384826053245334E-3</v>
      </c>
      <c r="J511" s="66">
        <f t="shared" si="467"/>
        <v>6.4610672497010385E-3</v>
      </c>
      <c r="K511" s="66">
        <f t="shared" si="467"/>
        <v>6.0452493602125429E-3</v>
      </c>
      <c r="L511" s="66">
        <f t="shared" si="467"/>
        <v>5.6078365026547214E-3</v>
      </c>
      <c r="M511" s="66">
        <f t="shared" si="467"/>
        <v>5.1685123029004132E-3</v>
      </c>
      <c r="N511" s="66">
        <f t="shared" si="467"/>
        <v>4.7483134349781825E-3</v>
      </c>
      <c r="O511" s="66">
        <f t="shared" si="467"/>
        <v>4.3571719218626417E-3</v>
      </c>
      <c r="P511" s="66">
        <f t="shared" si="467"/>
        <v>4.0214821569721365E-3</v>
      </c>
      <c r="Q511" s="66">
        <f t="shared" si="467"/>
        <v>3.7479329645963774E-3</v>
      </c>
      <c r="R511" s="66">
        <f t="shared" si="467"/>
        <v>3.5350650280281531E-3</v>
      </c>
      <c r="S511" s="66">
        <f t="shared" si="467"/>
        <v>3.3755728807392388E-3</v>
      </c>
      <c r="T511" s="66">
        <f t="shared" si="467"/>
        <v>3.2594714050983228E-3</v>
      </c>
      <c r="U511" s="66">
        <f t="shared" si="467"/>
        <v>3.1766519280337011E-3</v>
      </c>
      <c r="V511" s="66">
        <f t="shared" si="467"/>
        <v>3.1183148284811904E-3</v>
      </c>
      <c r="W511" s="66">
        <f t="shared" si="467"/>
        <v>3.077463146220559E-3</v>
      </c>
      <c r="X511" s="66">
        <f t="shared" si="467"/>
        <v>3.0488459809258836E-3</v>
      </c>
      <c r="Y511" s="66">
        <f t="shared" si="467"/>
        <v>3.0286693957671945E-3</v>
      </c>
      <c r="Z511" s="66">
        <f t="shared" si="467"/>
        <v>3.0142602173640551E-3</v>
      </c>
      <c r="AA511" s="66">
        <f t="shared" si="467"/>
        <v>3.0037662556762768E-3</v>
      </c>
      <c r="AB511" s="66">
        <f t="shared" si="467"/>
        <v>2.9959184582217524E-3</v>
      </c>
      <c r="AC511" s="66">
        <f t="shared" si="467"/>
        <v>2.9898538099160307E-3</v>
      </c>
    </row>
    <row r="512" spans="1:29" ht="15.75" thickBot="1" x14ac:dyDescent="0.3">
      <c r="A512" s="59" t="str">
        <f>A449</f>
        <v>Emission Cost</v>
      </c>
      <c r="B512" s="68">
        <f>B469*B475/B475/(B472)</f>
        <v>0</v>
      </c>
      <c r="C512" s="68">
        <f t="shared" ref="C512:AC512" si="468">C469*C475/C475/(C472)</f>
        <v>0</v>
      </c>
      <c r="D512" s="68">
        <f t="shared" si="468"/>
        <v>0</v>
      </c>
      <c r="E512" s="68">
        <f t="shared" si="468"/>
        <v>0</v>
      </c>
      <c r="F512" s="68">
        <f t="shared" si="468"/>
        <v>0</v>
      </c>
      <c r="G512" s="68">
        <f t="shared" si="468"/>
        <v>0</v>
      </c>
      <c r="H512" s="68">
        <f t="shared" si="468"/>
        <v>0</v>
      </c>
      <c r="I512" s="68">
        <f t="shared" si="468"/>
        <v>0</v>
      </c>
      <c r="J512" s="68">
        <f t="shared" si="468"/>
        <v>0</v>
      </c>
      <c r="K512" s="68">
        <f t="shared" si="468"/>
        <v>0</v>
      </c>
      <c r="L512" s="68">
        <f t="shared" si="468"/>
        <v>0</v>
      </c>
      <c r="M512" s="68">
        <f t="shared" si="468"/>
        <v>0</v>
      </c>
      <c r="N512" s="68">
        <f t="shared" si="468"/>
        <v>0</v>
      </c>
      <c r="O512" s="68">
        <f t="shared" si="468"/>
        <v>0</v>
      </c>
      <c r="P512" s="68">
        <f t="shared" si="468"/>
        <v>0</v>
      </c>
      <c r="Q512" s="68">
        <f t="shared" si="468"/>
        <v>0</v>
      </c>
      <c r="R512" s="68">
        <f t="shared" si="468"/>
        <v>0</v>
      </c>
      <c r="S512" s="68">
        <f t="shared" si="468"/>
        <v>0</v>
      </c>
      <c r="T512" s="68">
        <f t="shared" si="468"/>
        <v>0</v>
      </c>
      <c r="U512" s="68">
        <f t="shared" si="468"/>
        <v>0</v>
      </c>
      <c r="V512" s="68">
        <f t="shared" si="468"/>
        <v>0</v>
      </c>
      <c r="W512" s="68">
        <f t="shared" si="468"/>
        <v>0</v>
      </c>
      <c r="X512" s="68">
        <f t="shared" si="468"/>
        <v>0</v>
      </c>
      <c r="Y512" s="68">
        <f t="shared" si="468"/>
        <v>0</v>
      </c>
      <c r="Z512" s="68">
        <f t="shared" si="468"/>
        <v>0</v>
      </c>
      <c r="AA512" s="68">
        <f t="shared" si="468"/>
        <v>0</v>
      </c>
      <c r="AB512" s="68">
        <f t="shared" si="468"/>
        <v>0</v>
      </c>
      <c r="AC512" s="68">
        <f t="shared" si="468"/>
        <v>0</v>
      </c>
    </row>
    <row r="513" spans="1:29" ht="15.75" thickBot="1" x14ac:dyDescent="0.3">
      <c r="A513" s="31" t="s">
        <v>210</v>
      </c>
      <c r="B513" s="67">
        <f>B502+B503+B504+B505+B506+B507+B508+B509+B510+B511+B512</f>
        <v>0.12257559398774524</v>
      </c>
      <c r="C513" s="67">
        <f t="shared" ref="C513:AC513" si="469">C502+C503+C504+C505+C506+C507+C508+C509+C510+C511+C512</f>
        <v>0.12188527051856508</v>
      </c>
      <c r="D513" s="67">
        <f t="shared" si="469"/>
        <v>0.12093809750947351</v>
      </c>
      <c r="E513" s="67">
        <f t="shared" si="469"/>
        <v>0.11966361938964454</v>
      </c>
      <c r="F513" s="67">
        <f t="shared" si="469"/>
        <v>0.11799446290725628</v>
      </c>
      <c r="G513" s="67">
        <f t="shared" si="469"/>
        <v>0.11588632588093746</v>
      </c>
      <c r="H513" s="67">
        <f t="shared" si="469"/>
        <v>0.11334538564086004</v>
      </c>
      <c r="I513" s="67">
        <f t="shared" si="469"/>
        <v>0.11045279156137923</v>
      </c>
      <c r="J513" s="67">
        <f t="shared" si="469"/>
        <v>0.10752927013752651</v>
      </c>
      <c r="K513" s="67">
        <f t="shared" si="469"/>
        <v>0.10461243177478609</v>
      </c>
      <c r="L513" s="67">
        <f t="shared" si="469"/>
        <v>0.10190423158797018</v>
      </c>
      <c r="M513" s="67">
        <f t="shared" si="469"/>
        <v>9.9550466319943506E-2</v>
      </c>
      <c r="N513" s="67">
        <f t="shared" si="469"/>
        <v>9.7620215868248636E-2</v>
      </c>
      <c r="O513" s="67">
        <f t="shared" si="469"/>
        <v>9.5895094669613379E-2</v>
      </c>
      <c r="P513" s="67">
        <f t="shared" si="469"/>
        <v>9.456063625383973E-2</v>
      </c>
      <c r="Q513" s="67">
        <f t="shared" si="469"/>
        <v>9.3553084839918421E-2</v>
      </c>
      <c r="R513" s="67">
        <f t="shared" si="469"/>
        <v>9.2804690153400746E-2</v>
      </c>
      <c r="S513" s="67">
        <f t="shared" si="469"/>
        <v>9.225318374920706E-2</v>
      </c>
      <c r="T513" s="67">
        <f t="shared" si="469"/>
        <v>9.184630429930829E-2</v>
      </c>
      <c r="U513" s="67">
        <f t="shared" si="469"/>
        <v>9.1542927709465538E-2</v>
      </c>
      <c r="V513" s="67">
        <f t="shared" si="469"/>
        <v>9.1312187667579786E-2</v>
      </c>
      <c r="W513" s="67">
        <f t="shared" si="469"/>
        <v>9.1131700906401603E-2</v>
      </c>
      <c r="X513" s="67">
        <f t="shared" si="469"/>
        <v>9.0985630714093435E-2</v>
      </c>
      <c r="Y513" s="67">
        <f t="shared" si="469"/>
        <v>9.0862964633204688E-2</v>
      </c>
      <c r="Z513" s="67">
        <f t="shared" si="469"/>
        <v>9.0756136297087897E-2</v>
      </c>
      <c r="AA513" s="67">
        <f t="shared" si="469"/>
        <v>9.0659989728664903E-2</v>
      </c>
      <c r="AB513" s="67">
        <f t="shared" si="469"/>
        <v>9.0571031142839237E-2</v>
      </c>
      <c r="AC513" s="67">
        <f t="shared" si="469"/>
        <v>9.0486902077712511E-2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63"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Input'!$L$101</f>
        <v>390000</v>
      </c>
      <c r="C11" s="42">
        <f>'Parameter Input'!$M$101</f>
        <v>155000</v>
      </c>
      <c r="D11" s="1" t="s">
        <v>15</v>
      </c>
      <c r="L11" s="51">
        <f>'Parameter Input'!$O$101</f>
        <v>9</v>
      </c>
      <c r="M11" s="52">
        <v>0</v>
      </c>
      <c r="N11" s="52">
        <v>1</v>
      </c>
      <c r="O11" s="52">
        <f>'Parameter Input'!$P$101</f>
        <v>0.9</v>
      </c>
      <c r="P11" s="53">
        <f>'Parameter Input'!$Q$101</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Input'!$L$102</f>
        <v>-58500</v>
      </c>
      <c r="C12" s="61">
        <f>'Parameter Input'!$M$102</f>
        <v>-38750</v>
      </c>
      <c r="D12" s="1" t="s">
        <v>15</v>
      </c>
      <c r="L12" s="54">
        <f>'Parameter Input'!$O$102</f>
        <v>9</v>
      </c>
      <c r="M12" s="37">
        <v>0</v>
      </c>
      <c r="N12" s="37">
        <v>1</v>
      </c>
      <c r="O12" s="37">
        <f>'Parameter Input'!$P$102</f>
        <v>0.9</v>
      </c>
      <c r="P12" s="55">
        <f>'Parameter Input'!$Q$102</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Input'!$L$108</f>
        <v>0.06</v>
      </c>
      <c r="C15" s="46">
        <f>'Parameter Input'!$M$108</f>
        <v>0.06</v>
      </c>
      <c r="D15" s="1" t="s">
        <v>57</v>
      </c>
      <c r="L15" s="54">
        <f>'Parameter Input'!$O$108</f>
        <v>12</v>
      </c>
      <c r="M15" s="37">
        <v>0</v>
      </c>
      <c r="N15" s="37">
        <v>1</v>
      </c>
      <c r="O15" s="37">
        <f>'Parameter Input'!$P$108</f>
        <v>0.9</v>
      </c>
      <c r="P15" s="55">
        <f>'Parameter Input'!$Q$108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Input'!$L$104</f>
        <v>26000</v>
      </c>
      <c r="C17" s="44">
        <f>'Parameter Input'!$M$104</f>
        <v>18000</v>
      </c>
      <c r="D17" s="1" t="s">
        <v>38</v>
      </c>
      <c r="L17" s="54">
        <f>'Parameter Input'!$O$104</f>
        <v>9</v>
      </c>
      <c r="M17" s="37">
        <v>0</v>
      </c>
      <c r="N17" s="37">
        <v>1</v>
      </c>
      <c r="O17" s="37">
        <f>'Parameter Input'!$P$104</f>
        <v>0.9</v>
      </c>
      <c r="P17" s="55">
        <f>'Parameter Input'!$Q$104</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Input'!$L$105</f>
        <v>2.5299999999999998</v>
      </c>
      <c r="C19" s="48">
        <f>'Parameter Input'!$M$105</f>
        <v>1.79</v>
      </c>
      <c r="D19" s="1" t="s">
        <v>60</v>
      </c>
      <c r="L19" s="54">
        <f>'Parameter Input'!$O$105</f>
        <v>9</v>
      </c>
      <c r="M19" s="37">
        <v>0</v>
      </c>
      <c r="N19" s="37">
        <v>1</v>
      </c>
      <c r="O19" s="37">
        <f>'Parameter Input'!$P$105</f>
        <v>0.9</v>
      </c>
      <c r="P19" s="55">
        <f>'Parameter Input'!$Q$105</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Input'!$L$106</f>
        <v>0.2544561408768215</v>
      </c>
      <c r="C20" s="46">
        <f>'Parameter Input'!$M$106</f>
        <v>0.10949010032952979</v>
      </c>
      <c r="D20" s="1" t="s">
        <v>68</v>
      </c>
      <c r="L20" s="54">
        <f>'Parameter Input'!$O$106</f>
        <v>12</v>
      </c>
      <c r="M20" s="37">
        <v>0</v>
      </c>
      <c r="N20" s="37">
        <v>1</v>
      </c>
      <c r="O20" s="37">
        <f>'Parameter Input'!$P$106</f>
        <v>0.9</v>
      </c>
      <c r="P20" s="55">
        <f>'Parameter Input'!$Q$106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Input'!$L$109</f>
        <v>0</v>
      </c>
      <c r="C21" s="116">
        <f>'Parameter Input'!$M$109</f>
        <v>0</v>
      </c>
      <c r="D21" s="1" t="s">
        <v>76</v>
      </c>
      <c r="L21" s="54">
        <f>'Parameter Input'!$O$109</f>
        <v>17</v>
      </c>
      <c r="M21" s="37">
        <v>0</v>
      </c>
      <c r="N21" s="37">
        <v>1</v>
      </c>
      <c r="O21" s="37">
        <f>'Parameter Input'!$P$109</f>
        <v>0.9</v>
      </c>
      <c r="P21" s="55">
        <f>'Parameter Input'!$Q$109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Input'!$L$103</f>
        <v>8</v>
      </c>
      <c r="C22" s="44">
        <f>'Parameter Input'!$M$103</f>
        <v>8</v>
      </c>
      <c r="D22" s="1" t="s">
        <v>42</v>
      </c>
      <c r="L22" s="54">
        <f>'Parameter Input'!$O$103</f>
        <v>9</v>
      </c>
      <c r="M22" s="37">
        <v>0</v>
      </c>
      <c r="N22" s="37">
        <v>1</v>
      </c>
      <c r="O22" s="37">
        <f>'Parameter Input'!$P$103</f>
        <v>0.9</v>
      </c>
      <c r="P22" s="55">
        <f>'Parameter Input'!$Q$103</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Input'!$L$107</f>
        <v>0.05</v>
      </c>
      <c r="C26" s="73">
        <f>'Parameter Input'!$M$107</f>
        <v>0.02</v>
      </c>
      <c r="D26" s="1" t="s">
        <v>57</v>
      </c>
      <c r="L26" s="54">
        <f>'Parameter Input'!$O$107</f>
        <v>12</v>
      </c>
      <c r="M26" s="37">
        <v>0</v>
      </c>
      <c r="N26" s="37">
        <v>1</v>
      </c>
      <c r="O26" s="37">
        <f>'Parameter Input'!$P$107</f>
        <v>0.9</v>
      </c>
      <c r="P26" s="55">
        <f>'Parameter Input'!$Q$107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1.240098396181128</v>
      </c>
      <c r="C46" s="62">
        <f t="shared" si="38"/>
        <v>1.2358588232214369</v>
      </c>
      <c r="D46" s="62">
        <f t="shared" si="38"/>
        <v>1.2298392373690403</v>
      </c>
      <c r="E46" s="62">
        <f t="shared" si="38"/>
        <v>1.2213311312119457</v>
      </c>
      <c r="F46" s="62">
        <f t="shared" si="38"/>
        <v>1.2093859036663352</v>
      </c>
      <c r="G46" s="62">
        <f t="shared" si="38"/>
        <v>1.1927777011260612</v>
      </c>
      <c r="H46" s="62">
        <f t="shared" si="38"/>
        <v>1.1700084767574384</v>
      </c>
      <c r="I46" s="62">
        <f t="shared" si="38"/>
        <v>1.1394090790574525</v>
      </c>
      <c r="J46" s="62">
        <f t="shared" si="38"/>
        <v>1.0994097548946793</v>
      </c>
      <c r="K46" s="62">
        <f t="shared" si="38"/>
        <v>1.0490373668749504</v>
      </c>
      <c r="L46" s="62">
        <f t="shared" si="39"/>
        <v>0.98859194719090016</v>
      </c>
      <c r="M46" s="62">
        <f t="shared" si="39"/>
        <v>0.92024185910637191</v>
      </c>
      <c r="N46" s="62">
        <f t="shared" si="39"/>
        <v>0.84808495154888996</v>
      </c>
      <c r="O46" s="62">
        <f t="shared" si="39"/>
        <v>0.77734795696642955</v>
      </c>
      <c r="P46" s="62">
        <f t="shared" si="39"/>
        <v>0.71295461477923405</v>
      </c>
      <c r="Q46" s="62">
        <f t="shared" si="39"/>
        <v>0.65822944370838299</v>
      </c>
      <c r="R46" s="62">
        <f t="shared" si="39"/>
        <v>0.61440438240348649</v>
      </c>
      <c r="S46" s="62">
        <f t="shared" si="39"/>
        <v>0.580963915532825</v>
      </c>
      <c r="T46" s="62">
        <f t="shared" si="39"/>
        <v>0.55638249045356891</v>
      </c>
      <c r="U46" s="62">
        <f t="shared" si="39"/>
        <v>0.53880712713312673</v>
      </c>
      <c r="V46" s="62">
        <f t="shared" si="40"/>
        <v>0.52648939296900943</v>
      </c>
      <c r="W46" s="62">
        <f t="shared" si="40"/>
        <v>0.51797708155449362</v>
      </c>
      <c r="X46" s="62">
        <f t="shared" si="40"/>
        <v>0.5121516826687923</v>
      </c>
      <c r="Y46" s="62">
        <f t="shared" si="40"/>
        <v>0.50819168042308127</v>
      </c>
      <c r="Z46" s="62">
        <f t="shared" si="40"/>
        <v>0.50551199096795685</v>
      </c>
      <c r="AA46" s="62">
        <f t="shared" si="40"/>
        <v>0.50370426966387927</v>
      </c>
      <c r="AB46" s="62">
        <f t="shared" si="40"/>
        <v>0.50248732066197166</v>
      </c>
      <c r="AC46" s="62">
        <f t="shared" si="40"/>
        <v>0.50166922716100104</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2">((1+C35)^C42)*C35/(((1+C35)^C42)-1)*(C31)</f>
        <v>60754.714455896952</v>
      </c>
      <c r="D50" s="63">
        <f t="shared" si="42"/>
        <v>59916.698956344211</v>
      </c>
      <c r="E50" s="63">
        <f t="shared" si="42"/>
        <v>58767.811056679595</v>
      </c>
      <c r="F50" s="63">
        <f t="shared" si="42"/>
        <v>57223.828829380502</v>
      </c>
      <c r="G50" s="63">
        <f t="shared" si="42"/>
        <v>55205.54578287054</v>
      </c>
      <c r="H50" s="63">
        <f t="shared" si="42"/>
        <v>52663.859419902983</v>
      </c>
      <c r="I50" s="63">
        <f t="shared" si="42"/>
        <v>49613.908743460379</v>
      </c>
      <c r="J50" s="63">
        <f t="shared" si="42"/>
        <v>46165.10487249765</v>
      </c>
      <c r="K50" s="63">
        <f t="shared" si="42"/>
        <v>42524.216776008514</v>
      </c>
      <c r="L50" s="63">
        <f t="shared" si="42"/>
        <v>38954.974547168116</v>
      </c>
      <c r="M50" s="63">
        <f t="shared" si="42"/>
        <v>35705.819878562834</v>
      </c>
      <c r="N50" s="63">
        <f t="shared" si="42"/>
        <v>32944.501098770794</v>
      </c>
      <c r="O50" s="63">
        <f t="shared" si="42"/>
        <v>30733.179280332359</v>
      </c>
      <c r="P50" s="63">
        <f t="shared" si="42"/>
        <v>29045.842587397736</v>
      </c>
      <c r="Q50" s="63">
        <f t="shared" si="42"/>
        <v>27805.514793492392</v>
      </c>
      <c r="R50" s="63">
        <f t="shared" si="42"/>
        <v>26918.698364255953</v>
      </c>
      <c r="S50" s="63">
        <f t="shared" si="42"/>
        <v>26297.171012101549</v>
      </c>
      <c r="T50" s="63">
        <f t="shared" si="42"/>
        <v>25867.657409706244</v>
      </c>
      <c r="U50" s="63">
        <f t="shared" si="42"/>
        <v>25573.719848103356</v>
      </c>
      <c r="V50" s="63">
        <f t="shared" si="42"/>
        <v>25373.906337151635</v>
      </c>
      <c r="W50" s="63">
        <f t="shared" si="42"/>
        <v>25238.694757696427</v>
      </c>
      <c r="X50" s="63">
        <f t="shared" si="42"/>
        <v>25147.480885032299</v>
      </c>
      <c r="Y50" s="63">
        <f t="shared" si="42"/>
        <v>25086.076159066874</v>
      </c>
      <c r="Z50" s="63">
        <f t="shared" si="42"/>
        <v>25044.796855527889</v>
      </c>
      <c r="AA50" s="63">
        <f t="shared" si="42"/>
        <v>25017.073074171451</v>
      </c>
      <c r="AB50" s="63">
        <f t="shared" si="42"/>
        <v>24998.465197207195</v>
      </c>
      <c r="AC50" s="63">
        <f t="shared" si="42"/>
        <v>24985.981130564032</v>
      </c>
    </row>
    <row r="51" spans="1:29" x14ac:dyDescent="0.25">
      <c r="A51" s="30" t="str">
        <f>A32</f>
        <v>Residual value (vehicle)</v>
      </c>
      <c r="B51" s="62">
        <f>((1+B35)^B42)*B35/(((1+B35)^B42)-1)*(B32)</f>
        <v>-9299.0290627537943</v>
      </c>
      <c r="C51" s="62">
        <f t="shared" ref="C51:AC51" si="43">((1+C35)^C42)*C35/(((1+C35)^C42)-1)*(C32)</f>
        <v>-9248.373973667678</v>
      </c>
      <c r="D51" s="62">
        <f t="shared" si="43"/>
        <v>-9177.9450114712236</v>
      </c>
      <c r="E51" s="62">
        <f t="shared" si="43"/>
        <v>-9081.3895390526031</v>
      </c>
      <c r="F51" s="62">
        <f t="shared" si="43"/>
        <v>-8951.6293305881045</v>
      </c>
      <c r="G51" s="62">
        <f t="shared" si="43"/>
        <v>-8782.0076702963088</v>
      </c>
      <c r="H51" s="62">
        <f t="shared" si="43"/>
        <v>-8568.3978589405251</v>
      </c>
      <c r="I51" s="62">
        <f t="shared" si="43"/>
        <v>-8312.0722169841792</v>
      </c>
      <c r="J51" s="62">
        <f t="shared" si="43"/>
        <v>-8022.2259342117786</v>
      </c>
      <c r="K51" s="62">
        <f t="shared" si="43"/>
        <v>-7716.2364026983305</v>
      </c>
      <c r="L51" s="62">
        <f t="shared" si="43"/>
        <v>-7416.2681728277021</v>
      </c>
      <c r="M51" s="62">
        <f t="shared" si="43"/>
        <v>-7143.2009187640651</v>
      </c>
      <c r="N51" s="62">
        <f t="shared" si="43"/>
        <v>-6911.1326383347341</v>
      </c>
      <c r="O51" s="62">
        <f t="shared" si="43"/>
        <v>-6725.2875067851219</v>
      </c>
      <c r="P51" s="62">
        <f t="shared" si="43"/>
        <v>-6583.4794230172129</v>
      </c>
      <c r="Q51" s="62">
        <f t="shared" si="43"/>
        <v>-6479.2391084230394</v>
      </c>
      <c r="R51" s="62">
        <f t="shared" si="43"/>
        <v>-6404.7087914978501</v>
      </c>
      <c r="S51" s="62">
        <f t="shared" si="43"/>
        <v>-6352.4740459444474</v>
      </c>
      <c r="T51" s="62">
        <f t="shared" si="43"/>
        <v>-6316.3766261686715</v>
      </c>
      <c r="U51" s="62">
        <f t="shared" si="43"/>
        <v>-6291.6733630126846</v>
      </c>
      <c r="V51" s="62">
        <f t="shared" si="43"/>
        <v>-6274.8805253901455</v>
      </c>
      <c r="W51" s="62">
        <f t="shared" si="43"/>
        <v>-6263.5169990316763</v>
      </c>
      <c r="X51" s="62">
        <f t="shared" si="43"/>
        <v>-6255.8511522865001</v>
      </c>
      <c r="Y51" s="62">
        <f t="shared" si="43"/>
        <v>-6250.6905423383423</v>
      </c>
      <c r="Z51" s="62">
        <f t="shared" si="43"/>
        <v>-6247.2213242749585</v>
      </c>
      <c r="AA51" s="62">
        <f t="shared" si="43"/>
        <v>-6244.8913469056415</v>
      </c>
      <c r="AB51" s="62">
        <f t="shared" si="43"/>
        <v>-6243.3274934160918</v>
      </c>
      <c r="AC51" s="62">
        <f t="shared" si="43"/>
        <v>-6242.278300581188</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 t="shared" ref="A55:AC55" si="47">A37</f>
        <v>Opex maintenance &amp; repair</v>
      </c>
      <c r="B55" s="62">
        <f t="shared" si="47"/>
        <v>25694.198732927423</v>
      </c>
      <c r="C55" s="62">
        <f t="shared" si="47"/>
        <v>25566.782972440909</v>
      </c>
      <c r="D55" s="62">
        <f t="shared" si="47"/>
        <v>25389.62881201132</v>
      </c>
      <c r="E55" s="62">
        <f t="shared" si="47"/>
        <v>25146.757085412675</v>
      </c>
      <c r="F55" s="62">
        <f t="shared" si="47"/>
        <v>24820.363509946161</v>
      </c>
      <c r="G55" s="62">
        <f t="shared" si="47"/>
        <v>24393.704052209912</v>
      </c>
      <c r="H55" s="62">
        <f t="shared" si="47"/>
        <v>23856.39857999947</v>
      </c>
      <c r="I55" s="62">
        <f t="shared" si="47"/>
        <v>23211.647436702937</v>
      </c>
      <c r="J55" s="62">
        <f t="shared" si="47"/>
        <v>22482.579830467967</v>
      </c>
      <c r="K55" s="62">
        <f t="shared" si="47"/>
        <v>21712.906149854825</v>
      </c>
      <c r="L55" s="62">
        <f t="shared" si="47"/>
        <v>20958.378207641916</v>
      </c>
      <c r="M55" s="62">
        <f t="shared" si="47"/>
        <v>20271.515890978495</v>
      </c>
      <c r="N55" s="62">
        <f t="shared" si="47"/>
        <v>19687.78073288942</v>
      </c>
      <c r="O55" s="62">
        <f t="shared" si="47"/>
        <v>19220.313412303854</v>
      </c>
      <c r="P55" s="62">
        <f t="shared" si="47"/>
        <v>18863.615099016799</v>
      </c>
      <c r="Q55" s="62">
        <f t="shared" si="47"/>
        <v>18601.413231504735</v>
      </c>
      <c r="R55" s="62">
        <f t="shared" si="47"/>
        <v>18413.942689420019</v>
      </c>
      <c r="S55" s="62">
        <f t="shared" si="47"/>
        <v>18282.553525002768</v>
      </c>
      <c r="T55" s="62">
        <f t="shared" si="47"/>
        <v>18191.755536581266</v>
      </c>
      <c r="U55" s="62">
        <f t="shared" si="47"/>
        <v>18129.617948467116</v>
      </c>
      <c r="V55" s="62">
        <f t="shared" si="47"/>
        <v>18087.377924512868</v>
      </c>
      <c r="W55" s="62">
        <f t="shared" si="47"/>
        <v>18058.794570324873</v>
      </c>
      <c r="X55" s="62">
        <f t="shared" si="47"/>
        <v>18039.512209748045</v>
      </c>
      <c r="Y55" s="62">
        <f t="shared" si="47"/>
        <v>18026.531420394364</v>
      </c>
      <c r="Z55" s="62">
        <f t="shared" si="47"/>
        <v>18017.805089717345</v>
      </c>
      <c r="AA55" s="62">
        <f t="shared" si="47"/>
        <v>18011.94435896385</v>
      </c>
      <c r="AB55" s="62">
        <f t="shared" si="47"/>
        <v>18008.010705203578</v>
      </c>
      <c r="AC55" s="62">
        <f t="shared" si="47"/>
        <v>18005.371608019701</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27100.447484181685</v>
      </c>
      <c r="C57" s="62">
        <f t="shared" ref="C57:AC57" si="49">C39*C40*C47</f>
        <v>26272.345225719884</v>
      </c>
      <c r="D57" s="62">
        <f t="shared" si="49"/>
        <v>25403.622947281663</v>
      </c>
      <c r="E57" s="62">
        <f t="shared" si="49"/>
        <v>24692.371819180993</v>
      </c>
      <c r="F57" s="62">
        <f t="shared" si="49"/>
        <v>23913.61376339904</v>
      </c>
      <c r="G57" s="62">
        <f t="shared" si="49"/>
        <v>23056.896908889499</v>
      </c>
      <c r="H57" s="62">
        <f t="shared" si="49"/>
        <v>22118.567964906197</v>
      </c>
      <c r="I57" s="62">
        <f t="shared" si="49"/>
        <v>21107.396518490506</v>
      </c>
      <c r="J57" s="62">
        <f t="shared" si="49"/>
        <v>20463.190522070268</v>
      </c>
      <c r="K57" s="62">
        <f t="shared" si="49"/>
        <v>19785.234610814412</v>
      </c>
      <c r="L57" s="62">
        <f t="shared" si="49"/>
        <v>19121.403496965198</v>
      </c>
      <c r="M57" s="62">
        <f t="shared" si="49"/>
        <v>18516.638578959024</v>
      </c>
      <c r="N57" s="62">
        <f t="shared" si="49"/>
        <v>18001.130022082383</v>
      </c>
      <c r="O57" s="62">
        <f t="shared" si="49"/>
        <v>17214.536064727938</v>
      </c>
      <c r="P57" s="62">
        <f t="shared" si="49"/>
        <v>16536.124039830574</v>
      </c>
      <c r="Q57" s="62">
        <f t="shared" si="49"/>
        <v>15946.643152835615</v>
      </c>
      <c r="R57" s="62">
        <f t="shared" si="49"/>
        <v>15425.340245734385</v>
      </c>
      <c r="S57" s="62">
        <f t="shared" si="49"/>
        <v>14953.797388862195</v>
      </c>
      <c r="T57" s="62">
        <f t="shared" si="49"/>
        <v>14543.690366846449</v>
      </c>
      <c r="U57" s="62">
        <f t="shared" si="49"/>
        <v>14157.580130330827</v>
      </c>
      <c r="V57" s="62">
        <f t="shared" si="49"/>
        <v>13787.751219577076</v>
      </c>
      <c r="W57" s="62">
        <f t="shared" si="49"/>
        <v>13428.844483636662</v>
      </c>
      <c r="X57" s="62">
        <f t="shared" si="49"/>
        <v>13077.207682543427</v>
      </c>
      <c r="Y57" s="62">
        <f t="shared" si="49"/>
        <v>12788.855480279934</v>
      </c>
      <c r="Z57" s="62">
        <f t="shared" si="49"/>
        <v>12503.624306467944</v>
      </c>
      <c r="AA57" s="62">
        <f t="shared" si="49"/>
        <v>12220.453473322928</v>
      </c>
      <c r="AB57" s="62">
        <f t="shared" si="49"/>
        <v>11938.640166475483</v>
      </c>
      <c r="AC57" s="62">
        <f t="shared" si="49"/>
        <v>11657.720030402674</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184979.10179662262</v>
      </c>
      <c r="C59" s="64">
        <f t="shared" ref="C59:AC59" si="51">C50+C51+C52+C53+C54+C55+C56+C57+C58</f>
        <v>183471.50742700158</v>
      </c>
      <c r="D59" s="64">
        <f t="shared" si="51"/>
        <v>181658.0444507775</v>
      </c>
      <c r="E59" s="64">
        <f t="shared" si="51"/>
        <v>179651.58916883217</v>
      </c>
      <c r="F59" s="64">
        <f t="shared" si="51"/>
        <v>177132.21551874912</v>
      </c>
      <c r="G59" s="64">
        <f t="shared" si="51"/>
        <v>174000.17782028514</v>
      </c>
      <c r="H59" s="64">
        <f t="shared" si="51"/>
        <v>170196.46685247964</v>
      </c>
      <c r="I59" s="64">
        <f t="shared" si="51"/>
        <v>165746.91922828116</v>
      </c>
      <c r="J59" s="64">
        <f t="shared" si="51"/>
        <v>161214.68803743561</v>
      </c>
      <c r="K59" s="64">
        <f t="shared" si="51"/>
        <v>156432.15988059092</v>
      </c>
      <c r="L59" s="64">
        <f t="shared" si="51"/>
        <v>151744.52682555903</v>
      </c>
      <c r="M59" s="64">
        <f t="shared" si="51"/>
        <v>147476.8121763478</v>
      </c>
      <c r="N59" s="64">
        <f t="shared" si="51"/>
        <v>143848.31796201938</v>
      </c>
      <c r="O59" s="64">
        <f t="shared" si="51"/>
        <v>140568.77999719055</v>
      </c>
      <c r="P59" s="64">
        <f t="shared" si="51"/>
        <v>137988.14104983941</v>
      </c>
      <c r="Q59" s="64">
        <f t="shared" si="51"/>
        <v>136000.3708160212</v>
      </c>
      <c r="R59" s="64">
        <f t="shared" si="51"/>
        <v>134479.31125452401</v>
      </c>
      <c r="S59" s="64">
        <f t="shared" si="51"/>
        <v>133307.08662663359</v>
      </c>
      <c r="T59" s="64">
        <f t="shared" si="51"/>
        <v>132412.7654335768</v>
      </c>
      <c r="U59" s="64">
        <f t="shared" si="51"/>
        <v>131695.28331050015</v>
      </c>
      <c r="V59" s="64">
        <f t="shared" si="51"/>
        <v>131100.19370246294</v>
      </c>
      <c r="W59" s="64">
        <f t="shared" si="51"/>
        <v>130588.8555592378</v>
      </c>
      <c r="X59" s="64">
        <f t="shared" si="51"/>
        <v>130134.38837164879</v>
      </c>
      <c r="Y59" s="64">
        <f t="shared" si="51"/>
        <v>129776.81126401435</v>
      </c>
      <c r="Z59" s="64">
        <f t="shared" si="51"/>
        <v>129445.04367404972</v>
      </c>
      <c r="AA59" s="64">
        <f t="shared" si="51"/>
        <v>129130.61830616411</v>
      </c>
      <c r="AB59" s="64">
        <f t="shared" si="51"/>
        <v>128827.82732208168</v>
      </c>
      <c r="AC59" s="64">
        <f t="shared" si="51"/>
        <v>128532.83321501674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1.1155899253755601</v>
      </c>
      <c r="C62" s="65">
        <f t="shared" ref="C62:AC62" si="53">((1+C35)^C42)*C35/(((1+C35)^C42)-1)*(C31)/C47</f>
        <v>1.1046311719253992</v>
      </c>
      <c r="D62" s="65">
        <f t="shared" si="53"/>
        <v>1.0893945264789857</v>
      </c>
      <c r="E62" s="65">
        <f t="shared" si="53"/>
        <v>1.0685056555759926</v>
      </c>
      <c r="F62" s="65">
        <f t="shared" si="53"/>
        <v>1.0404332514432819</v>
      </c>
      <c r="G62" s="65">
        <f t="shared" si="53"/>
        <v>1.0037371960521917</v>
      </c>
      <c r="H62" s="65">
        <f t="shared" si="53"/>
        <v>0.95752471672550876</v>
      </c>
      <c r="I62" s="65">
        <f t="shared" si="53"/>
        <v>0.90207106806291593</v>
      </c>
      <c r="J62" s="65">
        <f t="shared" si="53"/>
        <v>0.83936554313632095</v>
      </c>
      <c r="K62" s="65">
        <f t="shared" si="53"/>
        <v>0.77316757774560929</v>
      </c>
      <c r="L62" s="65">
        <f t="shared" si="53"/>
        <v>0.70827226449396574</v>
      </c>
      <c r="M62" s="65">
        <f t="shared" si="53"/>
        <v>0.64919672506477877</v>
      </c>
      <c r="N62" s="65">
        <f t="shared" si="53"/>
        <v>0.59899092906855989</v>
      </c>
      <c r="O62" s="65">
        <f t="shared" si="53"/>
        <v>0.55878507782422471</v>
      </c>
      <c r="P62" s="65">
        <f t="shared" si="53"/>
        <v>0.52810622886177705</v>
      </c>
      <c r="Q62" s="65">
        <f t="shared" si="53"/>
        <v>0.50555481442713435</v>
      </c>
      <c r="R62" s="65">
        <f t="shared" si="53"/>
        <v>0.48943087935010826</v>
      </c>
      <c r="S62" s="65">
        <f t="shared" si="53"/>
        <v>0.47813038203821001</v>
      </c>
      <c r="T62" s="65">
        <f t="shared" si="53"/>
        <v>0.47032104381284079</v>
      </c>
      <c r="U62" s="65">
        <f t="shared" si="53"/>
        <v>0.46497672451097011</v>
      </c>
      <c r="V62" s="65">
        <f t="shared" si="53"/>
        <v>0.46134375158457519</v>
      </c>
      <c r="W62" s="65">
        <f t="shared" si="53"/>
        <v>0.45888535923084411</v>
      </c>
      <c r="X62" s="65">
        <f t="shared" si="53"/>
        <v>0.45722692518240543</v>
      </c>
      <c r="Y62" s="65">
        <f t="shared" si="53"/>
        <v>0.45611047561939771</v>
      </c>
      <c r="Z62" s="65">
        <f t="shared" si="53"/>
        <v>0.45535994282777981</v>
      </c>
      <c r="AA62" s="65">
        <f t="shared" si="53"/>
        <v>0.45485587407584455</v>
      </c>
      <c r="AB62" s="65">
        <f t="shared" si="53"/>
        <v>0.45451754904013081</v>
      </c>
      <c r="AC62" s="65">
        <f t="shared" si="53"/>
        <v>0.45429056601025514</v>
      </c>
    </row>
    <row r="63" spans="1:29" x14ac:dyDescent="0.25">
      <c r="A63" s="30" t="str">
        <f t="shared" si="52"/>
        <v>Residual value (vehicle)</v>
      </c>
      <c r="B63" s="66">
        <f>((1+B35)^B42)*B35/(((1+B35)^B42)-1)*(B32)/B47</f>
        <v>-0.16907325568643261</v>
      </c>
      <c r="C63" s="66">
        <f t="shared" ref="C63:AC63" si="54">((1+C35)^C42)*C35/(((1+C35)^C42)-1)*(C32)/C47</f>
        <v>-0.16815225406668505</v>
      </c>
      <c r="D63" s="66">
        <f t="shared" si="54"/>
        <v>-0.16687172748129497</v>
      </c>
      <c r="E63" s="66">
        <f t="shared" si="54"/>
        <v>-0.16511617343732005</v>
      </c>
      <c r="F63" s="66">
        <f t="shared" si="54"/>
        <v>-0.16275689691978371</v>
      </c>
      <c r="G63" s="66">
        <f t="shared" si="54"/>
        <v>-0.15967286673266015</v>
      </c>
      <c r="H63" s="66">
        <f t="shared" si="54"/>
        <v>-0.15578905198073681</v>
      </c>
      <c r="I63" s="66">
        <f t="shared" si="54"/>
        <v>-0.15112858576334873</v>
      </c>
      <c r="J63" s="66">
        <f t="shared" si="54"/>
        <v>-0.14585865334930506</v>
      </c>
      <c r="K63" s="66">
        <f t="shared" si="54"/>
        <v>-0.14029520732178782</v>
      </c>
      <c r="L63" s="66">
        <f t="shared" si="54"/>
        <v>-0.13484123950595822</v>
      </c>
      <c r="M63" s="66">
        <f t="shared" si="54"/>
        <v>-0.12987638034116483</v>
      </c>
      <c r="N63" s="66">
        <f t="shared" si="54"/>
        <v>-0.12565695706063154</v>
      </c>
      <c r="O63" s="66">
        <f t="shared" si="54"/>
        <v>-0.1222779546688204</v>
      </c>
      <c r="P63" s="66">
        <f t="shared" si="54"/>
        <v>-0.11969962587304023</v>
      </c>
      <c r="Q63" s="66">
        <f t="shared" si="54"/>
        <v>-0.11780434742587344</v>
      </c>
      <c r="R63" s="66">
        <f t="shared" si="54"/>
        <v>-0.11644925075450636</v>
      </c>
      <c r="S63" s="66">
        <f t="shared" si="54"/>
        <v>-0.11549952810808087</v>
      </c>
      <c r="T63" s="66">
        <f t="shared" si="54"/>
        <v>-0.11484321138488493</v>
      </c>
      <c r="U63" s="66">
        <f t="shared" si="54"/>
        <v>-0.11439406114568518</v>
      </c>
      <c r="V63" s="66">
        <f t="shared" si="54"/>
        <v>-0.11408873682527537</v>
      </c>
      <c r="W63" s="66">
        <f t="shared" si="54"/>
        <v>-0.11388212725512138</v>
      </c>
      <c r="X63" s="66">
        <f t="shared" si="54"/>
        <v>-0.11374274822339091</v>
      </c>
      <c r="Y63" s="66">
        <f t="shared" si="54"/>
        <v>-0.11364891895160623</v>
      </c>
      <c r="Z63" s="66">
        <f t="shared" si="54"/>
        <v>-0.1135858422595447</v>
      </c>
      <c r="AA63" s="66">
        <f t="shared" si="54"/>
        <v>-0.11354347903464802</v>
      </c>
      <c r="AB63" s="66">
        <f t="shared" si="54"/>
        <v>-0.11351504533483803</v>
      </c>
      <c r="AC63" s="66">
        <f t="shared" si="54"/>
        <v>-0.11349596910147615</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0.4671672496895895</v>
      </c>
      <c r="C67" s="66">
        <f t="shared" ref="C67:AC67" si="58">C37/C47</f>
        <v>0.4648505994989256</v>
      </c>
      <c r="D67" s="66">
        <f t="shared" si="58"/>
        <v>0.46162961476384218</v>
      </c>
      <c r="E67" s="66">
        <f t="shared" si="58"/>
        <v>0.45721376518932139</v>
      </c>
      <c r="F67" s="66">
        <f t="shared" si="58"/>
        <v>0.45127933654447566</v>
      </c>
      <c r="G67" s="66">
        <f t="shared" si="58"/>
        <v>0.44352189185836205</v>
      </c>
      <c r="H67" s="66">
        <f t="shared" si="58"/>
        <v>0.43375270145453582</v>
      </c>
      <c r="I67" s="66">
        <f t="shared" si="58"/>
        <v>0.42202995339459887</v>
      </c>
      <c r="J67" s="66">
        <f t="shared" si="58"/>
        <v>0.4087741787357812</v>
      </c>
      <c r="K67" s="66">
        <f t="shared" si="58"/>
        <v>0.39478011181554229</v>
      </c>
      <c r="L67" s="66">
        <f t="shared" si="58"/>
        <v>0.38106142195712572</v>
      </c>
      <c r="M67" s="66">
        <f t="shared" si="58"/>
        <v>0.36857301619960903</v>
      </c>
      <c r="N67" s="66">
        <f t="shared" si="58"/>
        <v>0.35795964968889854</v>
      </c>
      <c r="O67" s="66">
        <f t="shared" si="58"/>
        <v>0.34946024386007007</v>
      </c>
      <c r="P67" s="66">
        <f t="shared" si="58"/>
        <v>0.34297481998212359</v>
      </c>
      <c r="Q67" s="66">
        <f t="shared" si="58"/>
        <v>0.33820751330008608</v>
      </c>
      <c r="R67" s="66">
        <f t="shared" si="58"/>
        <v>0.33479895798945486</v>
      </c>
      <c r="S67" s="66">
        <f t="shared" si="58"/>
        <v>0.33241006409095941</v>
      </c>
      <c r="T67" s="66">
        <f t="shared" si="58"/>
        <v>0.33075919157420486</v>
      </c>
      <c r="U67" s="66">
        <f t="shared" si="58"/>
        <v>0.32962941724485667</v>
      </c>
      <c r="V67" s="66">
        <f t="shared" si="58"/>
        <v>0.32886141680932485</v>
      </c>
      <c r="W67" s="66">
        <f t="shared" si="58"/>
        <v>0.32834171946045226</v>
      </c>
      <c r="X67" s="66">
        <f t="shared" si="58"/>
        <v>0.3279911310863281</v>
      </c>
      <c r="Y67" s="66">
        <f t="shared" si="58"/>
        <v>0.32775511673444296</v>
      </c>
      <c r="Z67" s="66">
        <f t="shared" si="58"/>
        <v>0.32759645617667899</v>
      </c>
      <c r="AA67" s="66">
        <f t="shared" si="58"/>
        <v>0.32748989743570639</v>
      </c>
      <c r="AB67" s="66">
        <f t="shared" si="58"/>
        <v>0.3274183764582469</v>
      </c>
      <c r="AC67" s="66">
        <f t="shared" si="58"/>
        <v>0.32737039287308545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0.49273540880330335</v>
      </c>
      <c r="C69" s="66">
        <f t="shared" ref="C69:AC69" si="60">C39*C40*C47/C47</f>
        <v>0.47767900410399788</v>
      </c>
      <c r="D69" s="66">
        <f t="shared" si="60"/>
        <v>0.46188405358693935</v>
      </c>
      <c r="E69" s="66">
        <f t="shared" si="60"/>
        <v>0.4489522148941999</v>
      </c>
      <c r="F69" s="66">
        <f t="shared" si="60"/>
        <v>0.43479297751634616</v>
      </c>
      <c r="G69" s="66">
        <f t="shared" si="60"/>
        <v>0.41921630743435451</v>
      </c>
      <c r="H69" s="66">
        <f t="shared" si="60"/>
        <v>0.40215578118011269</v>
      </c>
      <c r="I69" s="66">
        <f t="shared" si="60"/>
        <v>0.3837708457907365</v>
      </c>
      <c r="J69" s="66">
        <f t="shared" si="60"/>
        <v>0.3720580094921867</v>
      </c>
      <c r="K69" s="66">
        <f t="shared" si="60"/>
        <v>0.35973153837844385</v>
      </c>
      <c r="L69" s="66">
        <f t="shared" si="60"/>
        <v>0.34766188176300361</v>
      </c>
      <c r="M69" s="66">
        <f t="shared" si="60"/>
        <v>0.33666615598107319</v>
      </c>
      <c r="N69" s="66">
        <f t="shared" si="60"/>
        <v>0.3272932731287706</v>
      </c>
      <c r="O69" s="66">
        <f t="shared" si="60"/>
        <v>0.31299156481323526</v>
      </c>
      <c r="P69" s="66">
        <f t="shared" si="60"/>
        <v>0.30065680072419226</v>
      </c>
      <c r="Q69" s="66">
        <f t="shared" si="60"/>
        <v>0.28993896641519301</v>
      </c>
      <c r="R69" s="66">
        <f t="shared" si="60"/>
        <v>0.28046073174062519</v>
      </c>
      <c r="S69" s="66">
        <f t="shared" si="60"/>
        <v>0.2718872252520399</v>
      </c>
      <c r="T69" s="66">
        <f t="shared" si="60"/>
        <v>0.2644307339426627</v>
      </c>
      <c r="U69" s="66">
        <f t="shared" si="60"/>
        <v>0.25741054782419687</v>
      </c>
      <c r="V69" s="66">
        <f t="shared" si="60"/>
        <v>0.2506863858104923</v>
      </c>
      <c r="W69" s="66">
        <f t="shared" si="60"/>
        <v>0.24416080879339386</v>
      </c>
      <c r="X69" s="66">
        <f t="shared" si="60"/>
        <v>0.2377674124098805</v>
      </c>
      <c r="Y69" s="66">
        <f t="shared" si="60"/>
        <v>0.23252464509599879</v>
      </c>
      <c r="Z69" s="66">
        <f t="shared" si="60"/>
        <v>0.2273386237539626</v>
      </c>
      <c r="AA69" s="66">
        <f t="shared" si="60"/>
        <v>0.22219006315132597</v>
      </c>
      <c r="AB69" s="66">
        <f t="shared" si="60"/>
        <v>0.21706618484500878</v>
      </c>
      <c r="AC69" s="66">
        <f t="shared" si="60"/>
        <v>0.21195854600732134</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3.4126629265641868</v>
      </c>
      <c r="C71" s="76">
        <f t="shared" ref="C71:AC71" si="63">C62+C63+C64-C65+C66+C67+C68+C69+C70</f>
        <v>3.3852521198438046</v>
      </c>
      <c r="D71" s="76">
        <f t="shared" si="63"/>
        <v>3.3522800657306395</v>
      </c>
      <c r="E71" s="76">
        <f t="shared" si="63"/>
        <v>3.3157990606043612</v>
      </c>
      <c r="F71" s="76">
        <f t="shared" si="63"/>
        <v>3.2699922669664874</v>
      </c>
      <c r="G71" s="76">
        <f t="shared" si="63"/>
        <v>3.2130461269944148</v>
      </c>
      <c r="H71" s="76">
        <f t="shared" si="63"/>
        <v>3.1438877457615875</v>
      </c>
      <c r="I71" s="76">
        <f t="shared" si="63"/>
        <v>3.0629868798670694</v>
      </c>
      <c r="J71" s="76">
        <f t="shared" si="63"/>
        <v>2.9805826763971504</v>
      </c>
      <c r="K71" s="76">
        <f t="shared" si="63"/>
        <v>2.8936276189999743</v>
      </c>
      <c r="L71" s="76">
        <f t="shared" si="63"/>
        <v>2.8083979270903034</v>
      </c>
      <c r="M71" s="76">
        <f t="shared" si="63"/>
        <v>2.7308031152864629</v>
      </c>
      <c r="N71" s="76">
        <f t="shared" si="63"/>
        <v>2.6648304932077647</v>
      </c>
      <c r="O71" s="76">
        <f t="shared" si="63"/>
        <v>2.6052025302108763</v>
      </c>
      <c r="P71" s="76">
        <f t="shared" si="63"/>
        <v>2.5582818220772197</v>
      </c>
      <c r="Q71" s="76">
        <f t="shared" si="63"/>
        <v>2.5221405450987069</v>
      </c>
      <c r="R71" s="76">
        <f t="shared" si="63"/>
        <v>2.4944849167078487</v>
      </c>
      <c r="S71" s="76">
        <f t="shared" si="63"/>
        <v>2.4731717416552952</v>
      </c>
      <c r="T71" s="76">
        <f t="shared" si="63"/>
        <v>2.45691135632699</v>
      </c>
      <c r="U71" s="76">
        <f t="shared" si="63"/>
        <v>2.4438662268165054</v>
      </c>
      <c r="V71" s="76">
        <f t="shared" si="63"/>
        <v>2.4330464157612837</v>
      </c>
      <c r="W71" s="76">
        <f t="shared" si="63"/>
        <v>2.4237493586117358</v>
      </c>
      <c r="X71" s="76">
        <f t="shared" si="63"/>
        <v>2.4154863188373898</v>
      </c>
      <c r="Y71" s="76">
        <f t="shared" si="63"/>
        <v>2.4089849168804003</v>
      </c>
      <c r="Z71" s="76">
        <f t="shared" si="63"/>
        <v>2.4029527788810436</v>
      </c>
      <c r="AA71" s="76">
        <f t="shared" si="63"/>
        <v>2.3972359540103958</v>
      </c>
      <c r="AB71" s="76">
        <f t="shared" si="63"/>
        <v>2.3917306633907152</v>
      </c>
      <c r="AC71" s="76">
        <f t="shared" si="63"/>
        <v>2.3863671341713526</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4.4623597015022408E-2</v>
      </c>
      <c r="C74" s="65">
        <f t="shared" ref="C74:AC74" si="65">((1+C35)^C42)*C35/(((1+C35)^C42)-1)*(C31)/C47/(C44)</f>
        <v>4.4185246877015964E-2</v>
      </c>
      <c r="D74" s="65">
        <f t="shared" si="65"/>
        <v>4.3575781059159428E-2</v>
      </c>
      <c r="E74" s="65">
        <f t="shared" si="65"/>
        <v>4.2740226223039704E-2</v>
      </c>
      <c r="F74" s="65">
        <f t="shared" si="65"/>
        <v>4.1617330057731279E-2</v>
      </c>
      <c r="G74" s="65">
        <f t="shared" si="65"/>
        <v>4.0149487842087668E-2</v>
      </c>
      <c r="H74" s="65">
        <f t="shared" si="65"/>
        <v>3.8300988669020347E-2</v>
      </c>
      <c r="I74" s="65">
        <f t="shared" si="65"/>
        <v>3.6082842722516634E-2</v>
      </c>
      <c r="J74" s="65">
        <f t="shared" si="65"/>
        <v>3.3574621725452836E-2</v>
      </c>
      <c r="K74" s="65">
        <f t="shared" si="65"/>
        <v>3.0926703109824372E-2</v>
      </c>
      <c r="L74" s="65">
        <f t="shared" si="65"/>
        <v>2.8330890579758631E-2</v>
      </c>
      <c r="M74" s="65">
        <f t="shared" si="65"/>
        <v>2.5967869002591151E-2</v>
      </c>
      <c r="N74" s="65">
        <f t="shared" si="65"/>
        <v>2.3959637162742395E-2</v>
      </c>
      <c r="O74" s="65">
        <f t="shared" si="65"/>
        <v>2.2351403112968987E-2</v>
      </c>
      <c r="P74" s="65">
        <f t="shared" si="65"/>
        <v>2.1124249154471083E-2</v>
      </c>
      <c r="Q74" s="65">
        <f t="shared" si="65"/>
        <v>2.0222192577085372E-2</v>
      </c>
      <c r="R74" s="65">
        <f t="shared" si="65"/>
        <v>1.957723517400433E-2</v>
      </c>
      <c r="S74" s="65">
        <f t="shared" si="65"/>
        <v>1.9125215281528399E-2</v>
      </c>
      <c r="T74" s="65">
        <f t="shared" si="65"/>
        <v>1.8812841752513632E-2</v>
      </c>
      <c r="U74" s="65">
        <f t="shared" si="65"/>
        <v>1.8599068980438803E-2</v>
      </c>
      <c r="V74" s="65">
        <f t="shared" si="65"/>
        <v>1.8453750063383009E-2</v>
      </c>
      <c r="W74" s="65">
        <f t="shared" si="65"/>
        <v>1.8355414369233766E-2</v>
      </c>
      <c r="X74" s="65">
        <f t="shared" si="65"/>
        <v>1.8289077007296217E-2</v>
      </c>
      <c r="Y74" s="65">
        <f t="shared" si="65"/>
        <v>1.8244419024775908E-2</v>
      </c>
      <c r="Z74" s="65">
        <f t="shared" si="65"/>
        <v>1.8214397713111192E-2</v>
      </c>
      <c r="AA74" s="65">
        <f t="shared" si="65"/>
        <v>1.8194234963033781E-2</v>
      </c>
      <c r="AB74" s="65">
        <f t="shared" si="65"/>
        <v>1.8180701961605233E-2</v>
      </c>
      <c r="AC74" s="65">
        <f t="shared" si="65"/>
        <v>1.8171622640410206E-2</v>
      </c>
    </row>
    <row r="75" spans="1:29" x14ac:dyDescent="0.25">
      <c r="A75" s="30" t="str">
        <f t="shared" si="64"/>
        <v>Residual value (vehicle)</v>
      </c>
      <c r="B75" s="68">
        <f>((1+B35)^B42)*B35/(((1+B35)^B42)-1)*(B32)/B47/(B44)</f>
        <v>-6.7629302274573042E-3</v>
      </c>
      <c r="C75" s="68">
        <f t="shared" ref="C75:AC75" si="66">((1+C35)^C42)*C35/(((1+C35)^C42)-1)*(C32)/C47/(C44)</f>
        <v>-6.7260901626674018E-3</v>
      </c>
      <c r="D75" s="68">
        <f t="shared" si="66"/>
        <v>-6.6748690992517986E-3</v>
      </c>
      <c r="E75" s="68">
        <f t="shared" si="66"/>
        <v>-6.6046469374928017E-3</v>
      </c>
      <c r="F75" s="68">
        <f t="shared" si="66"/>
        <v>-6.5102758767913481E-3</v>
      </c>
      <c r="G75" s="68">
        <f t="shared" si="66"/>
        <v>-6.3869146693064059E-3</v>
      </c>
      <c r="H75" s="68">
        <f t="shared" si="66"/>
        <v>-6.2315620792294723E-3</v>
      </c>
      <c r="I75" s="68">
        <f t="shared" si="66"/>
        <v>-6.045143430533949E-3</v>
      </c>
      <c r="J75" s="68">
        <f t="shared" si="66"/>
        <v>-5.8343461339722021E-3</v>
      </c>
      <c r="K75" s="68">
        <f t="shared" si="66"/>
        <v>-5.6118082928715129E-3</v>
      </c>
      <c r="L75" s="68">
        <f t="shared" si="66"/>
        <v>-5.3936495802383291E-3</v>
      </c>
      <c r="M75" s="68">
        <f t="shared" si="66"/>
        <v>-5.1950552136465931E-3</v>
      </c>
      <c r="N75" s="68">
        <f t="shared" si="66"/>
        <v>-5.0262782824252615E-3</v>
      </c>
      <c r="O75" s="68">
        <f t="shared" si="66"/>
        <v>-4.8911181867528162E-3</v>
      </c>
      <c r="P75" s="68">
        <f t="shared" si="66"/>
        <v>-4.7879850349216088E-3</v>
      </c>
      <c r="Q75" s="68">
        <f t="shared" si="66"/>
        <v>-4.7121738970349377E-3</v>
      </c>
      <c r="R75" s="68">
        <f t="shared" si="66"/>
        <v>-4.657970030180255E-3</v>
      </c>
      <c r="S75" s="68">
        <f t="shared" si="66"/>
        <v>-4.6199811243232344E-3</v>
      </c>
      <c r="T75" s="68">
        <f t="shared" si="66"/>
        <v>-4.5937284553953968E-3</v>
      </c>
      <c r="U75" s="68">
        <f t="shared" si="66"/>
        <v>-4.5757624458274068E-3</v>
      </c>
      <c r="V75" s="68">
        <f t="shared" si="66"/>
        <v>-4.563549473011015E-3</v>
      </c>
      <c r="W75" s="68">
        <f t="shared" si="66"/>
        <v>-4.5552850902048549E-3</v>
      </c>
      <c r="X75" s="68">
        <f t="shared" si="66"/>
        <v>-4.5497099289356366E-3</v>
      </c>
      <c r="Y75" s="68">
        <f t="shared" si="66"/>
        <v>-4.5459567580642488E-3</v>
      </c>
      <c r="Z75" s="68">
        <f t="shared" si="66"/>
        <v>-4.5434336903817877E-3</v>
      </c>
      <c r="AA75" s="68">
        <f t="shared" si="66"/>
        <v>-4.5417391613859206E-3</v>
      </c>
      <c r="AB75" s="68">
        <f t="shared" si="66"/>
        <v>-4.540601813393521E-3</v>
      </c>
      <c r="AC75" s="68">
        <f t="shared" si="66"/>
        <v>-4.5398387640590461E-3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1.868668998758358E-2</v>
      </c>
      <c r="C79" s="66">
        <f t="shared" ref="C79:AC79" si="70">C37/C47/(C44)</f>
        <v>1.8594023979957023E-2</v>
      </c>
      <c r="D79" s="66">
        <f t="shared" si="70"/>
        <v>1.8465184590553688E-2</v>
      </c>
      <c r="E79" s="66">
        <f t="shared" si="70"/>
        <v>1.8288550607572854E-2</v>
      </c>
      <c r="F79" s="66">
        <f t="shared" si="70"/>
        <v>1.8051173461779025E-2</v>
      </c>
      <c r="G79" s="66">
        <f t="shared" si="70"/>
        <v>1.774087567433448E-2</v>
      </c>
      <c r="H79" s="66">
        <f t="shared" si="70"/>
        <v>1.7350108058181431E-2</v>
      </c>
      <c r="I79" s="66">
        <f t="shared" si="70"/>
        <v>1.6881198135783954E-2</v>
      </c>
      <c r="J79" s="66">
        <f t="shared" si="70"/>
        <v>1.635096714943125E-2</v>
      </c>
      <c r="K79" s="66">
        <f t="shared" si="70"/>
        <v>1.5791204472621691E-2</v>
      </c>
      <c r="L79" s="66">
        <f t="shared" si="70"/>
        <v>1.5242456878285029E-2</v>
      </c>
      <c r="M79" s="66">
        <f t="shared" si="70"/>
        <v>1.474292064798436E-2</v>
      </c>
      <c r="N79" s="66">
        <f t="shared" si="70"/>
        <v>1.4318385987555941E-2</v>
      </c>
      <c r="O79" s="66">
        <f t="shared" si="70"/>
        <v>1.3978409754402803E-2</v>
      </c>
      <c r="P79" s="66">
        <f t="shared" si="70"/>
        <v>1.3718992799284943E-2</v>
      </c>
      <c r="Q79" s="66">
        <f t="shared" si="70"/>
        <v>1.3528300532003443E-2</v>
      </c>
      <c r="R79" s="66">
        <f t="shared" si="70"/>
        <v>1.3391958319578194E-2</v>
      </c>
      <c r="S79" s="66">
        <f t="shared" si="70"/>
        <v>1.3296402563638376E-2</v>
      </c>
      <c r="T79" s="66">
        <f t="shared" si="70"/>
        <v>1.3230367662968194E-2</v>
      </c>
      <c r="U79" s="66">
        <f t="shared" si="70"/>
        <v>1.3185176689794267E-2</v>
      </c>
      <c r="V79" s="66">
        <f t="shared" si="70"/>
        <v>1.3154456672372994E-2</v>
      </c>
      <c r="W79" s="66">
        <f t="shared" si="70"/>
        <v>1.313366877841809E-2</v>
      </c>
      <c r="X79" s="66">
        <f t="shared" si="70"/>
        <v>1.3119645243453125E-2</v>
      </c>
      <c r="Y79" s="66">
        <f t="shared" si="70"/>
        <v>1.3110204669377718E-2</v>
      </c>
      <c r="Z79" s="66">
        <f t="shared" si="70"/>
        <v>1.310385824706716E-2</v>
      </c>
      <c r="AA79" s="66">
        <f t="shared" si="70"/>
        <v>1.3099595897428255E-2</v>
      </c>
      <c r="AB79" s="66">
        <f t="shared" si="70"/>
        <v>1.3096735058329876E-2</v>
      </c>
      <c r="AC79" s="66">
        <f t="shared" si="70"/>
        <v>1.3094815714923418E-2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1.9709416352132133E-2</v>
      </c>
      <c r="C81" s="66">
        <f t="shared" ref="C81:AC81" si="72">C39*C40*C47/C47/(C44)</f>
        <v>1.9107160164159916E-2</v>
      </c>
      <c r="D81" s="66">
        <f t="shared" si="72"/>
        <v>1.8475362143477572E-2</v>
      </c>
      <c r="E81" s="66">
        <f t="shared" si="72"/>
        <v>1.7958088595767994E-2</v>
      </c>
      <c r="F81" s="66">
        <f t="shared" si="72"/>
        <v>1.7391719100653846E-2</v>
      </c>
      <c r="G81" s="66">
        <f t="shared" si="72"/>
        <v>1.6768652297374179E-2</v>
      </c>
      <c r="H81" s="66">
        <f t="shared" si="72"/>
        <v>1.6086231247204506E-2</v>
      </c>
      <c r="I81" s="66">
        <f t="shared" si="72"/>
        <v>1.5350833831629461E-2</v>
      </c>
      <c r="J81" s="66">
        <f t="shared" si="72"/>
        <v>1.4882320379687468E-2</v>
      </c>
      <c r="K81" s="66">
        <f t="shared" si="72"/>
        <v>1.4389261535137754E-2</v>
      </c>
      <c r="L81" s="66">
        <f t="shared" si="72"/>
        <v>1.3906475270520144E-2</v>
      </c>
      <c r="M81" s="66">
        <f t="shared" si="72"/>
        <v>1.3466646239242928E-2</v>
      </c>
      <c r="N81" s="66">
        <f t="shared" si="72"/>
        <v>1.3091730925150823E-2</v>
      </c>
      <c r="O81" s="66">
        <f t="shared" si="72"/>
        <v>1.251966259252941E-2</v>
      </c>
      <c r="P81" s="66">
        <f t="shared" si="72"/>
        <v>1.202627202896769E-2</v>
      </c>
      <c r="Q81" s="66">
        <f t="shared" si="72"/>
        <v>1.159755865660772E-2</v>
      </c>
      <c r="R81" s="66">
        <f t="shared" si="72"/>
        <v>1.1218429269625008E-2</v>
      </c>
      <c r="S81" s="66">
        <f t="shared" si="72"/>
        <v>1.0875489010081596E-2</v>
      </c>
      <c r="T81" s="66">
        <f t="shared" si="72"/>
        <v>1.0577229357706507E-2</v>
      </c>
      <c r="U81" s="66">
        <f t="shared" si="72"/>
        <v>1.0296421912967875E-2</v>
      </c>
      <c r="V81" s="66">
        <f t="shared" si="72"/>
        <v>1.0027455432419691E-2</v>
      </c>
      <c r="W81" s="66">
        <f t="shared" si="72"/>
        <v>9.7664323517357536E-3</v>
      </c>
      <c r="X81" s="66">
        <f t="shared" si="72"/>
        <v>9.5106964963952208E-3</v>
      </c>
      <c r="Y81" s="66">
        <f t="shared" si="72"/>
        <v>9.3009858038399524E-3</v>
      </c>
      <c r="Z81" s="66">
        <f t="shared" si="72"/>
        <v>9.0935449501585042E-3</v>
      </c>
      <c r="AA81" s="66">
        <f t="shared" si="72"/>
        <v>8.8876025260530393E-3</v>
      </c>
      <c r="AB81" s="66">
        <f t="shared" si="72"/>
        <v>8.6826473938003516E-3</v>
      </c>
      <c r="AC81" s="66">
        <f t="shared" si="72"/>
        <v>8.478341840292853E-3</v>
      </c>
    </row>
    <row r="82" spans="1:29" x14ac:dyDescent="0.25">
      <c r="A82" s="59" t="str">
        <f>A45</f>
        <v>Market failure (av. utilization)</v>
      </c>
      <c r="B82" s="66">
        <f t="shared" ref="B82:AC82" si="73">B71/B45-B71/B44</f>
        <v>0.1072551205491602</v>
      </c>
      <c r="C82" s="66">
        <f t="shared" si="73"/>
        <v>0.1063936380522339</v>
      </c>
      <c r="D82" s="66">
        <f t="shared" si="73"/>
        <v>0.10535737349439156</v>
      </c>
      <c r="E82" s="66">
        <f t="shared" si="73"/>
        <v>0.10421082761899425</v>
      </c>
      <c r="F82" s="66">
        <f t="shared" si="73"/>
        <v>0.1027711855332325</v>
      </c>
      <c r="G82" s="66">
        <f t="shared" si="73"/>
        <v>0.10098144970553877</v>
      </c>
      <c r="H82" s="66">
        <f t="shared" si="73"/>
        <v>9.8807900581078495E-2</v>
      </c>
      <c r="I82" s="66">
        <f t="shared" si="73"/>
        <v>9.6265301938679368E-2</v>
      </c>
      <c r="J82" s="66">
        <f t="shared" si="73"/>
        <v>9.3675455543910463E-2</v>
      </c>
      <c r="K82" s="66">
        <f t="shared" si="73"/>
        <v>9.0942582311427794E-2</v>
      </c>
      <c r="L82" s="66">
        <f t="shared" si="73"/>
        <v>8.8263934851409556E-2</v>
      </c>
      <c r="M82" s="66">
        <f t="shared" si="73"/>
        <v>8.5825240766145991E-2</v>
      </c>
      <c r="N82" s="66">
        <f t="shared" si="73"/>
        <v>8.3751815500815494E-2</v>
      </c>
      <c r="O82" s="66">
        <f t="shared" si="73"/>
        <v>8.1877793806627561E-2</v>
      </c>
      <c r="P82" s="66">
        <f t="shared" si="73"/>
        <v>8.0403142979569783E-2</v>
      </c>
      <c r="Q82" s="66">
        <f t="shared" si="73"/>
        <v>7.9267274274530813E-2</v>
      </c>
      <c r="R82" s="66">
        <f t="shared" si="73"/>
        <v>7.8398097382246679E-2</v>
      </c>
      <c r="S82" s="66">
        <f t="shared" si="73"/>
        <v>7.7728254737737867E-2</v>
      </c>
      <c r="T82" s="66">
        <f t="shared" si="73"/>
        <v>7.7217214055991135E-2</v>
      </c>
      <c r="U82" s="66">
        <f t="shared" si="73"/>
        <v>7.6807224271375915E-2</v>
      </c>
      <c r="V82" s="66">
        <f t="shared" si="73"/>
        <v>7.6467173066783217E-2</v>
      </c>
      <c r="W82" s="66">
        <f t="shared" si="73"/>
        <v>7.6174979842083143E-2</v>
      </c>
      <c r="X82" s="66">
        <f t="shared" si="73"/>
        <v>7.5915284306317998E-2</v>
      </c>
      <c r="Y82" s="66">
        <f t="shared" si="73"/>
        <v>7.5710954530526897E-2</v>
      </c>
      <c r="Z82" s="66">
        <f t="shared" si="73"/>
        <v>7.5521373050547097E-2</v>
      </c>
      <c r="AA82" s="66">
        <f t="shared" si="73"/>
        <v>7.5341701411755321E-2</v>
      </c>
      <c r="AB82" s="66">
        <f t="shared" si="73"/>
        <v>7.5168677992279651E-2</v>
      </c>
      <c r="AC82" s="66">
        <f t="shared" si="73"/>
        <v>7.5000109931099665E-2</v>
      </c>
    </row>
    <row r="83" spans="1:29" x14ac:dyDescent="0.25">
      <c r="A83" s="59" t="str">
        <f>A46</f>
        <v>Payload loss (fuel)</v>
      </c>
      <c r="B83" s="66">
        <f>B71/(B44-B46)-B71/B44</f>
        <v>7.1246723029506909E-3</v>
      </c>
      <c r="C83" s="66">
        <f t="shared" ref="C83:AC83" si="74">C71/(C44-C46)-C71/C44</f>
        <v>7.042028020311869E-3</v>
      </c>
      <c r="D83" s="66">
        <f t="shared" si="74"/>
        <v>6.9377159046681847E-3</v>
      </c>
      <c r="E83" s="66">
        <f t="shared" si="74"/>
        <v>6.8123049947090564E-3</v>
      </c>
      <c r="F83" s="66">
        <f t="shared" si="74"/>
        <v>6.6491474944762319E-3</v>
      </c>
      <c r="G83" s="66">
        <f t="shared" si="74"/>
        <v>6.4391380478682203E-3</v>
      </c>
      <c r="H83" s="66">
        <f t="shared" si="74"/>
        <v>6.1743627712619042E-3</v>
      </c>
      <c r="I83" s="66">
        <f t="shared" si="74"/>
        <v>5.8506431320461821E-3</v>
      </c>
      <c r="J83" s="66">
        <f t="shared" si="74"/>
        <v>5.4841853462128665E-3</v>
      </c>
      <c r="K83" s="66">
        <f t="shared" si="74"/>
        <v>5.069564083331049E-3</v>
      </c>
      <c r="L83" s="66">
        <f t="shared" si="74"/>
        <v>4.6250674997866947E-3</v>
      </c>
      <c r="M83" s="66">
        <f t="shared" si="74"/>
        <v>4.1744594293029319E-3</v>
      </c>
      <c r="N83" s="66">
        <f t="shared" si="74"/>
        <v>3.7429787827330946E-3</v>
      </c>
      <c r="O83" s="66">
        <f t="shared" si="74"/>
        <v>3.3442231853809401E-3</v>
      </c>
      <c r="P83" s="66">
        <f t="shared" si="74"/>
        <v>3.0039698975746071E-3</v>
      </c>
      <c r="Q83" s="66">
        <f t="shared" si="74"/>
        <v>2.7280631277260686E-3</v>
      </c>
      <c r="R83" s="66">
        <f t="shared" si="74"/>
        <v>2.5139799555418813E-3</v>
      </c>
      <c r="S83" s="66">
        <f t="shared" si="74"/>
        <v>2.3536122127787856E-3</v>
      </c>
      <c r="T83" s="66">
        <f t="shared" si="74"/>
        <v>2.2369560622080426E-3</v>
      </c>
      <c r="U83" s="66">
        <f t="shared" si="74"/>
        <v>2.1532433804228313E-3</v>
      </c>
      <c r="V83" s="66">
        <f t="shared" si="74"/>
        <v>2.0936483548568974E-3</v>
      </c>
      <c r="W83" s="66">
        <f t="shared" si="74"/>
        <v>2.0512138614940945E-3</v>
      </c>
      <c r="X83" s="66">
        <f t="shared" si="74"/>
        <v>2.0207498292619946E-3</v>
      </c>
      <c r="Y83" s="66">
        <f t="shared" si="74"/>
        <v>1.9994049880665693E-3</v>
      </c>
      <c r="Z83" s="66">
        <f t="shared" si="74"/>
        <v>1.9836649665936762E-3</v>
      </c>
      <c r="AA83" s="66">
        <f t="shared" si="74"/>
        <v>1.9717233964177544E-3</v>
      </c>
      <c r="AB83" s="66">
        <f t="shared" si="74"/>
        <v>1.9623450731892922E-3</v>
      </c>
      <c r="AC83" s="66">
        <f t="shared" si="74"/>
        <v>1.9546914718768515E-3</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0.24891004870420008</v>
      </c>
      <c r="C85" s="67">
        <f t="shared" ref="C85:AC85" si="76">C74+C75+C76+C77+C78+C79+C80+C81+C82+C83+C84</f>
        <v>0.24686948965581962</v>
      </c>
      <c r="D85" s="67">
        <f t="shared" si="76"/>
        <v>0.24441003081780699</v>
      </c>
      <c r="E85" s="67">
        <f t="shared" si="76"/>
        <v>0.24167883382739944</v>
      </c>
      <c r="F85" s="67">
        <f t="shared" si="76"/>
        <v>0.23824376249588991</v>
      </c>
      <c r="G85" s="67">
        <f t="shared" si="76"/>
        <v>0.23396617162270528</v>
      </c>
      <c r="H85" s="67">
        <f t="shared" si="76"/>
        <v>0.22876151197232558</v>
      </c>
      <c r="I85" s="67">
        <f t="shared" si="76"/>
        <v>0.22265915905493006</v>
      </c>
      <c r="J85" s="67">
        <f t="shared" si="76"/>
        <v>0.21640668673553104</v>
      </c>
      <c r="K85" s="67">
        <f t="shared" si="76"/>
        <v>0.20978098994427952</v>
      </c>
      <c r="L85" s="67">
        <f t="shared" si="76"/>
        <v>0.20324865822433011</v>
      </c>
      <c r="M85" s="67">
        <f t="shared" si="76"/>
        <v>0.19725556359642915</v>
      </c>
      <c r="N85" s="67">
        <f t="shared" si="76"/>
        <v>0.19211175280138088</v>
      </c>
      <c r="O85" s="67">
        <f t="shared" si="76"/>
        <v>0.18745385698996528</v>
      </c>
      <c r="P85" s="67">
        <f t="shared" si="76"/>
        <v>0.18376212454975488</v>
      </c>
      <c r="Q85" s="67">
        <f t="shared" si="76"/>
        <v>0.18090469799572684</v>
      </c>
      <c r="R85" s="67">
        <f t="shared" si="76"/>
        <v>0.17871521279562419</v>
      </c>
      <c r="S85" s="67">
        <f t="shared" si="76"/>
        <v>0.17703247540625017</v>
      </c>
      <c r="T85" s="67">
        <f t="shared" si="76"/>
        <v>0.17575436316080051</v>
      </c>
      <c r="U85" s="67">
        <f t="shared" si="76"/>
        <v>0.17473885551398066</v>
      </c>
      <c r="V85" s="67">
        <f t="shared" si="76"/>
        <v>0.17390641684161318</v>
      </c>
      <c r="W85" s="67">
        <f t="shared" si="76"/>
        <v>0.17319990683756836</v>
      </c>
      <c r="X85" s="67">
        <f t="shared" si="76"/>
        <v>0.17257922567859729</v>
      </c>
      <c r="Y85" s="67">
        <f t="shared" si="76"/>
        <v>0.17209349498333115</v>
      </c>
      <c r="Z85" s="67">
        <f t="shared" si="76"/>
        <v>0.17164688796190419</v>
      </c>
      <c r="AA85" s="67">
        <f t="shared" si="76"/>
        <v>0.17122660175811061</v>
      </c>
      <c r="AB85" s="67">
        <f t="shared" si="76"/>
        <v>0.17082398839061927</v>
      </c>
      <c r="AC85" s="67">
        <f t="shared" si="76"/>
        <v>0.17043322555935234</v>
      </c>
    </row>
    <row r="87" spans="1:29" x14ac:dyDescent="0.25">
      <c r="B87" s="40"/>
    </row>
    <row r="107" spans="1:2" s="3" customFormat="1" ht="21" x14ac:dyDescent="0.35">
      <c r="A107" s="2" t="str">
        <f>'Parameter Input'!A88</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Input'!$L$101</f>
        <v>390000</v>
      </c>
      <c r="C117" s="42">
        <f>'Parameter Input'!$M$101</f>
        <v>155000</v>
      </c>
      <c r="D117" s="1" t="s">
        <v>15</v>
      </c>
      <c r="L117" s="51">
        <f>'Parameter Input'!$O$101</f>
        <v>9</v>
      </c>
      <c r="M117" s="52">
        <v>0</v>
      </c>
      <c r="N117" s="52">
        <v>1</v>
      </c>
      <c r="O117" s="52">
        <f>'Parameter Input'!$P$101</f>
        <v>0.9</v>
      </c>
      <c r="P117" s="53">
        <f>'Parameter Input'!$Q$101</f>
        <v>0.4</v>
      </c>
      <c r="Q117" s="4">
        <f t="shared" ref="Q117:AR126" si="77">$N117+($M117-$N117)*((1/(1+EXP(-$P117*(Q$9-$L117)))^$O117))</f>
        <v>0.96177484161592774</v>
      </c>
      <c r="R117" s="4">
        <f t="shared" si="77"/>
        <v>0.94584787155511363</v>
      </c>
      <c r="S117" s="4">
        <f t="shared" si="77"/>
        <v>0.92370360150141495</v>
      </c>
      <c r="T117" s="4">
        <f t="shared" si="77"/>
        <v>0.89334463567658451</v>
      </c>
      <c r="U117" s="4">
        <f t="shared" si="77"/>
        <v>0.85254543874327005</v>
      </c>
      <c r="V117" s="4">
        <f t="shared" si="77"/>
        <v>0.79921300652623883</v>
      </c>
      <c r="W117" s="4">
        <f t="shared" si="77"/>
        <v>0.73204982249993378</v>
      </c>
      <c r="X117" s="4">
        <f t="shared" si="77"/>
        <v>0.65145592958786691</v>
      </c>
      <c r="Y117" s="4">
        <f t="shared" si="77"/>
        <v>0.56032247880849573</v>
      </c>
      <c r="Z117" s="4">
        <f t="shared" si="77"/>
        <v>0.46411326873185343</v>
      </c>
      <c r="AA117" s="4">
        <f t="shared" si="77"/>
        <v>0.36979727595523937</v>
      </c>
      <c r="AB117" s="4">
        <f t="shared" si="77"/>
        <v>0.28393948637231203</v>
      </c>
      <c r="AC117" s="4">
        <f t="shared" si="77"/>
        <v>0.21097259161117732</v>
      </c>
      <c r="AD117" s="4">
        <f t="shared" si="77"/>
        <v>0.15253917653798199</v>
      </c>
      <c r="AE117" s="4">
        <f t="shared" si="77"/>
        <v>0.10795188737709993</v>
      </c>
      <c r="AF117" s="4">
        <f t="shared" si="77"/>
        <v>7.5176653938091809E-2</v>
      </c>
      <c r="AG117" s="4">
        <f t="shared" si="77"/>
        <v>5.1742836177502194E-2</v>
      </c>
      <c r="AH117" s="4">
        <f t="shared" si="77"/>
        <v>3.5319190625345942E-2</v>
      </c>
      <c r="AI117" s="4">
        <f t="shared" si="77"/>
        <v>2.3969442072658165E-2</v>
      </c>
      <c r="AJ117" s="4">
        <f t="shared" si="77"/>
        <v>1.6202243558389728E-2</v>
      </c>
      <c r="AK117" s="4">
        <f t="shared" si="77"/>
        <v>1.0922240564108399E-2</v>
      </c>
      <c r="AL117" s="4">
        <f t="shared" si="77"/>
        <v>7.3493212906090566E-3</v>
      </c>
      <c r="AM117" s="4">
        <f t="shared" si="77"/>
        <v>4.9390262185057265E-3</v>
      </c>
      <c r="AN117" s="4">
        <f t="shared" si="77"/>
        <v>3.3164275492956197E-3</v>
      </c>
      <c r="AO117" s="4">
        <f t="shared" si="77"/>
        <v>2.2256362146679809E-3</v>
      </c>
      <c r="AP117" s="4">
        <f t="shared" si="77"/>
        <v>1.4930448704811861E-3</v>
      </c>
      <c r="AQ117" s="4">
        <f t="shared" si="77"/>
        <v>1.0013381504474506E-3</v>
      </c>
      <c r="AR117" s="4">
        <f t="shared" si="77"/>
        <v>6.7145100246257527E-4</v>
      </c>
    </row>
    <row r="118" spans="1:44" x14ac:dyDescent="0.25">
      <c r="A118" s="24" t="s">
        <v>28</v>
      </c>
      <c r="B118" s="60">
        <f>'Parameter Input'!$L$102</f>
        <v>-58500</v>
      </c>
      <c r="C118" s="61">
        <f>'Parameter Input'!$M$102</f>
        <v>-38750</v>
      </c>
      <c r="D118" s="1" t="s">
        <v>15</v>
      </c>
      <c r="L118" s="54">
        <f>'Parameter Input'!$O$102</f>
        <v>9</v>
      </c>
      <c r="M118" s="37">
        <v>0</v>
      </c>
      <c r="N118" s="37">
        <v>1</v>
      </c>
      <c r="O118" s="37">
        <f>'Parameter Input'!$P$102</f>
        <v>0.9</v>
      </c>
      <c r="P118" s="55">
        <f>'Parameter Input'!$Q$102</f>
        <v>0.4</v>
      </c>
      <c r="Q118" s="4">
        <f t="shared" si="77"/>
        <v>0.96177484161592774</v>
      </c>
      <c r="R118" s="4">
        <f t="shared" si="77"/>
        <v>0.94584787155511363</v>
      </c>
      <c r="S118" s="4">
        <f t="shared" si="77"/>
        <v>0.92370360150141495</v>
      </c>
      <c r="T118" s="4">
        <f t="shared" si="77"/>
        <v>0.89334463567658451</v>
      </c>
      <c r="U118" s="4">
        <f t="shared" si="77"/>
        <v>0.85254543874327005</v>
      </c>
      <c r="V118" s="4">
        <f t="shared" si="77"/>
        <v>0.79921300652623883</v>
      </c>
      <c r="W118" s="4">
        <f t="shared" si="77"/>
        <v>0.73204982249993378</v>
      </c>
      <c r="X118" s="4">
        <f t="shared" si="77"/>
        <v>0.65145592958786691</v>
      </c>
      <c r="Y118" s="4">
        <f t="shared" si="77"/>
        <v>0.56032247880849573</v>
      </c>
      <c r="Z118" s="4">
        <f t="shared" si="77"/>
        <v>0.46411326873185343</v>
      </c>
      <c r="AA118" s="4">
        <f t="shared" si="77"/>
        <v>0.36979727595523937</v>
      </c>
      <c r="AB118" s="4">
        <f t="shared" si="77"/>
        <v>0.28393948637231203</v>
      </c>
      <c r="AC118" s="4">
        <f t="shared" si="77"/>
        <v>0.21097259161117732</v>
      </c>
      <c r="AD118" s="4">
        <f t="shared" si="77"/>
        <v>0.15253917653798199</v>
      </c>
      <c r="AE118" s="4">
        <f t="shared" si="77"/>
        <v>0.10795188737709993</v>
      </c>
      <c r="AF118" s="4">
        <f t="shared" si="77"/>
        <v>7.5176653938091809E-2</v>
      </c>
      <c r="AG118" s="4">
        <f t="shared" si="77"/>
        <v>5.1742836177502194E-2</v>
      </c>
      <c r="AH118" s="4">
        <f t="shared" si="77"/>
        <v>3.5319190625345942E-2</v>
      </c>
      <c r="AI118" s="4">
        <f t="shared" si="77"/>
        <v>2.3969442072658165E-2</v>
      </c>
      <c r="AJ118" s="4">
        <f t="shared" si="77"/>
        <v>1.6202243558389728E-2</v>
      </c>
      <c r="AK118" s="4">
        <f t="shared" si="77"/>
        <v>1.0922240564108399E-2</v>
      </c>
      <c r="AL118" s="4">
        <f t="shared" si="77"/>
        <v>7.3493212906090566E-3</v>
      </c>
      <c r="AM118" s="4">
        <f t="shared" si="77"/>
        <v>4.9390262185057265E-3</v>
      </c>
      <c r="AN118" s="4">
        <f t="shared" si="77"/>
        <v>3.3164275492956197E-3</v>
      </c>
      <c r="AO118" s="4">
        <f t="shared" si="77"/>
        <v>2.2256362146679809E-3</v>
      </c>
      <c r="AP118" s="4">
        <f t="shared" si="77"/>
        <v>1.4930448704811861E-3</v>
      </c>
      <c r="AQ118" s="4">
        <f t="shared" si="77"/>
        <v>1.0013381504474506E-3</v>
      </c>
      <c r="AR118" s="4">
        <f t="shared" si="77"/>
        <v>6.7145100246257527E-4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45">
        <f>'Parameter Input'!$L$108</f>
        <v>0.06</v>
      </c>
      <c r="C121" s="46">
        <f>'Parameter Input'!$M$108</f>
        <v>0.06</v>
      </c>
      <c r="D121" s="1" t="s">
        <v>57</v>
      </c>
      <c r="L121" s="54">
        <f>'Parameter Input'!$O$108</f>
        <v>12</v>
      </c>
      <c r="M121" s="37">
        <v>0</v>
      </c>
      <c r="N121" s="37">
        <v>1</v>
      </c>
      <c r="O121" s="37">
        <f>'Parameter Input'!$P$108</f>
        <v>0.9</v>
      </c>
      <c r="P121" s="55">
        <f>'Parameter Input'!$Q$108</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43">
        <f>'Parameter Input'!$L$104</f>
        <v>26000</v>
      </c>
      <c r="C123" s="44">
        <f>'Parameter Input'!$M$104</f>
        <v>18000</v>
      </c>
      <c r="D123" s="1" t="s">
        <v>38</v>
      </c>
      <c r="L123" s="54">
        <f>'Parameter Input'!$O$104</f>
        <v>9</v>
      </c>
      <c r="M123" s="37">
        <v>0</v>
      </c>
      <c r="N123" s="37">
        <v>1</v>
      </c>
      <c r="O123" s="37">
        <f>'Parameter Input'!$P$104</f>
        <v>0.9</v>
      </c>
      <c r="P123" s="55">
        <f>'Parameter Input'!$Q$104</f>
        <v>0.4</v>
      </c>
      <c r="Q123" s="4">
        <f t="shared" si="77"/>
        <v>0.96177484161592774</v>
      </c>
      <c r="R123" s="4">
        <f t="shared" si="77"/>
        <v>0.94584787155511363</v>
      </c>
      <c r="S123" s="4">
        <f t="shared" si="77"/>
        <v>0.92370360150141495</v>
      </c>
      <c r="T123" s="4">
        <f t="shared" si="77"/>
        <v>0.89334463567658451</v>
      </c>
      <c r="U123" s="4">
        <f t="shared" si="77"/>
        <v>0.85254543874327005</v>
      </c>
      <c r="V123" s="4">
        <f t="shared" si="77"/>
        <v>0.79921300652623883</v>
      </c>
      <c r="W123" s="4">
        <f t="shared" si="77"/>
        <v>0.73204982249993378</v>
      </c>
      <c r="X123" s="4">
        <f t="shared" si="77"/>
        <v>0.65145592958786691</v>
      </c>
      <c r="Y123" s="4">
        <f t="shared" si="77"/>
        <v>0.56032247880849573</v>
      </c>
      <c r="Z123" s="4">
        <f t="shared" si="77"/>
        <v>0.46411326873185343</v>
      </c>
      <c r="AA123" s="4">
        <f t="shared" si="77"/>
        <v>0.36979727595523937</v>
      </c>
      <c r="AB123" s="4">
        <f t="shared" si="77"/>
        <v>0.28393948637231203</v>
      </c>
      <c r="AC123" s="4">
        <f t="shared" si="77"/>
        <v>0.21097259161117732</v>
      </c>
      <c r="AD123" s="4">
        <f t="shared" si="77"/>
        <v>0.15253917653798199</v>
      </c>
      <c r="AE123" s="4">
        <f t="shared" si="77"/>
        <v>0.10795188737709993</v>
      </c>
      <c r="AF123" s="4">
        <f t="shared" si="77"/>
        <v>7.5176653938091809E-2</v>
      </c>
      <c r="AG123" s="4">
        <f t="shared" si="77"/>
        <v>5.1742836177502194E-2</v>
      </c>
      <c r="AH123" s="4">
        <f t="shared" si="77"/>
        <v>3.5319190625345942E-2</v>
      </c>
      <c r="AI123" s="4">
        <f t="shared" si="77"/>
        <v>2.3969442072658165E-2</v>
      </c>
      <c r="AJ123" s="4">
        <f t="shared" si="77"/>
        <v>1.6202243558389728E-2</v>
      </c>
      <c r="AK123" s="4">
        <f t="shared" si="77"/>
        <v>1.0922240564108399E-2</v>
      </c>
      <c r="AL123" s="4">
        <f t="shared" si="77"/>
        <v>7.3493212906090566E-3</v>
      </c>
      <c r="AM123" s="4">
        <f t="shared" si="77"/>
        <v>4.9390262185057265E-3</v>
      </c>
      <c r="AN123" s="4">
        <f t="shared" si="77"/>
        <v>3.3164275492956197E-3</v>
      </c>
      <c r="AO123" s="4">
        <f t="shared" si="77"/>
        <v>2.2256362146679809E-3</v>
      </c>
      <c r="AP123" s="4">
        <f t="shared" si="77"/>
        <v>1.4930448704811861E-3</v>
      </c>
      <c r="AQ123" s="4">
        <f t="shared" si="77"/>
        <v>1.0013381504474506E-3</v>
      </c>
      <c r="AR123" s="4">
        <f t="shared" si="77"/>
        <v>6.7145100246257527E-4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47">
        <f>'Parameter Input'!$L$105</f>
        <v>2.5299999999999998</v>
      </c>
      <c r="C125" s="48">
        <f>'Parameter Input'!$M$105</f>
        <v>1.79</v>
      </c>
      <c r="D125" s="1" t="s">
        <v>60</v>
      </c>
      <c r="L125" s="54">
        <f>'Parameter Input'!$O$105</f>
        <v>9</v>
      </c>
      <c r="M125" s="37">
        <v>0</v>
      </c>
      <c r="N125" s="37">
        <v>1</v>
      </c>
      <c r="O125" s="37">
        <f>'Parameter Input'!$P$105</f>
        <v>0.9</v>
      </c>
      <c r="P125" s="55">
        <f>'Parameter Input'!$Q$105</f>
        <v>0.4</v>
      </c>
      <c r="Q125" s="4">
        <f t="shared" si="77"/>
        <v>0.96177484161592774</v>
      </c>
      <c r="R125" s="4">
        <f t="shared" si="77"/>
        <v>0.94584787155511363</v>
      </c>
      <c r="S125" s="4">
        <f t="shared" si="77"/>
        <v>0.92370360150141495</v>
      </c>
      <c r="T125" s="4">
        <f t="shared" si="77"/>
        <v>0.89334463567658451</v>
      </c>
      <c r="U125" s="4">
        <f t="shared" si="77"/>
        <v>0.85254543874327005</v>
      </c>
      <c r="V125" s="4">
        <f t="shared" si="77"/>
        <v>0.79921300652623883</v>
      </c>
      <c r="W125" s="4">
        <f t="shared" si="77"/>
        <v>0.73204982249993378</v>
      </c>
      <c r="X125" s="4">
        <f t="shared" si="77"/>
        <v>0.65145592958786691</v>
      </c>
      <c r="Y125" s="4">
        <f t="shared" si="77"/>
        <v>0.56032247880849573</v>
      </c>
      <c r="Z125" s="4">
        <f t="shared" si="77"/>
        <v>0.46411326873185343</v>
      </c>
      <c r="AA125" s="4">
        <f t="shared" si="77"/>
        <v>0.36979727595523937</v>
      </c>
      <c r="AB125" s="4">
        <f t="shared" si="77"/>
        <v>0.28393948637231203</v>
      </c>
      <c r="AC125" s="4">
        <f t="shared" si="77"/>
        <v>0.21097259161117732</v>
      </c>
      <c r="AD125" s="4">
        <f t="shared" si="77"/>
        <v>0.15253917653798199</v>
      </c>
      <c r="AE125" s="4">
        <f t="shared" si="77"/>
        <v>0.10795188737709993</v>
      </c>
      <c r="AF125" s="4">
        <f t="shared" si="77"/>
        <v>7.5176653938091809E-2</v>
      </c>
      <c r="AG125" s="4">
        <f t="shared" si="77"/>
        <v>5.1742836177502194E-2</v>
      </c>
      <c r="AH125" s="4">
        <f t="shared" si="77"/>
        <v>3.5319190625345942E-2</v>
      </c>
      <c r="AI125" s="4">
        <f t="shared" si="77"/>
        <v>2.3969442072658165E-2</v>
      </c>
      <c r="AJ125" s="4">
        <f t="shared" si="77"/>
        <v>1.6202243558389728E-2</v>
      </c>
      <c r="AK125" s="4">
        <f t="shared" si="77"/>
        <v>1.0922240564108399E-2</v>
      </c>
      <c r="AL125" s="4">
        <f t="shared" si="77"/>
        <v>7.3493212906090566E-3</v>
      </c>
      <c r="AM125" s="4">
        <f t="shared" si="77"/>
        <v>4.9390262185057265E-3</v>
      </c>
      <c r="AN125" s="4">
        <f t="shared" si="77"/>
        <v>3.3164275492956197E-3</v>
      </c>
      <c r="AO125" s="4">
        <f t="shared" si="77"/>
        <v>2.2256362146679809E-3</v>
      </c>
      <c r="AP125" s="4">
        <f t="shared" si="77"/>
        <v>1.4930448704811861E-3</v>
      </c>
      <c r="AQ125" s="4">
        <f t="shared" si="77"/>
        <v>1.0013381504474506E-3</v>
      </c>
      <c r="AR125" s="4">
        <f t="shared" si="77"/>
        <v>6.7145100246257527E-4</v>
      </c>
    </row>
    <row r="126" spans="1:44" x14ac:dyDescent="0.25">
      <c r="A126" s="24" t="s">
        <v>67</v>
      </c>
      <c r="B126" s="45">
        <f>'Parameter Input'!$L$106</f>
        <v>0.2544561408768215</v>
      </c>
      <c r="C126" s="46">
        <f>'Parameter Input'!$M$106</f>
        <v>0.10949010032952979</v>
      </c>
      <c r="D126" s="1" t="s">
        <v>68</v>
      </c>
      <c r="L126" s="54">
        <f>'Parameter Input'!$O$106</f>
        <v>12</v>
      </c>
      <c r="M126" s="37">
        <v>0</v>
      </c>
      <c r="N126" s="37">
        <v>1</v>
      </c>
      <c r="O126" s="37">
        <f>'Parameter Input'!$P$106</f>
        <v>0.9</v>
      </c>
      <c r="P126" s="55">
        <f>'Parameter Input'!$Q$106</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Input'!$L$109</f>
        <v>0</v>
      </c>
      <c r="C127" s="116">
        <f>'Parameter Input'!$M$109</f>
        <v>0</v>
      </c>
      <c r="D127" s="1" t="s">
        <v>76</v>
      </c>
      <c r="L127" s="54">
        <f>'Parameter Input'!$O$109</f>
        <v>17</v>
      </c>
      <c r="M127" s="37">
        <v>0</v>
      </c>
      <c r="N127" s="37">
        <v>1</v>
      </c>
      <c r="O127" s="37">
        <f>'Parameter Input'!$P$109</f>
        <v>0.9</v>
      </c>
      <c r="P127" s="55">
        <f>'Parameter Input'!$Q$109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43">
        <f>'Parameter Input'!$L$103</f>
        <v>8</v>
      </c>
      <c r="C128" s="44">
        <f>'Parameter Input'!$M$103</f>
        <v>8</v>
      </c>
      <c r="D128" s="1" t="s">
        <v>42</v>
      </c>
      <c r="L128" s="54">
        <f>'Parameter Input'!$O$103</f>
        <v>9</v>
      </c>
      <c r="M128" s="37">
        <v>0</v>
      </c>
      <c r="N128" s="37">
        <v>1</v>
      </c>
      <c r="O128" s="37">
        <f>'Parameter Input'!$P$103</f>
        <v>0.9</v>
      </c>
      <c r="P128" s="55">
        <f>'Parameter Input'!$Q$103</f>
        <v>0.4</v>
      </c>
      <c r="Q128" s="4">
        <f t="shared" ref="Q128:AF133" si="81">$N128+($M128-$N128)*((1/(1+EXP(-$P128*(Q$9-$L128)))^$O128))</f>
        <v>0.96177484161592774</v>
      </c>
      <c r="R128" s="4">
        <f t="shared" si="81"/>
        <v>0.94584787155511363</v>
      </c>
      <c r="S128" s="4">
        <f t="shared" si="81"/>
        <v>0.92370360150141495</v>
      </c>
      <c r="T128" s="4">
        <f t="shared" si="81"/>
        <v>0.89334463567658451</v>
      </c>
      <c r="U128" s="4">
        <f t="shared" si="81"/>
        <v>0.85254543874327005</v>
      </c>
      <c r="V128" s="4">
        <f t="shared" si="81"/>
        <v>0.79921300652623883</v>
      </c>
      <c r="W128" s="4">
        <f t="shared" si="81"/>
        <v>0.73204982249993378</v>
      </c>
      <c r="X128" s="4">
        <f t="shared" si="81"/>
        <v>0.65145592958786691</v>
      </c>
      <c r="Y128" s="4">
        <f t="shared" si="81"/>
        <v>0.56032247880849573</v>
      </c>
      <c r="Z128" s="4">
        <f t="shared" si="81"/>
        <v>0.46411326873185343</v>
      </c>
      <c r="AA128" s="4">
        <f t="shared" si="81"/>
        <v>0.36979727595523937</v>
      </c>
      <c r="AB128" s="4">
        <f t="shared" si="81"/>
        <v>0.28393948637231203</v>
      </c>
      <c r="AC128" s="4">
        <f t="shared" si="81"/>
        <v>0.21097259161117732</v>
      </c>
      <c r="AD128" s="4">
        <f t="shared" si="81"/>
        <v>0.15253917653798199</v>
      </c>
      <c r="AE128" s="4">
        <f t="shared" si="81"/>
        <v>0.10795188737709993</v>
      </c>
      <c r="AF128" s="4">
        <f t="shared" si="81"/>
        <v>7.5176653938091809E-2</v>
      </c>
      <c r="AG128" s="4">
        <f t="shared" si="78"/>
        <v>5.1742836177502194E-2</v>
      </c>
      <c r="AH128" s="4">
        <f t="shared" si="78"/>
        <v>3.5319190625345942E-2</v>
      </c>
      <c r="AI128" s="4">
        <f t="shared" si="78"/>
        <v>2.3969442072658165E-2</v>
      </c>
      <c r="AJ128" s="4">
        <f t="shared" si="79"/>
        <v>1.6202243558389728E-2</v>
      </c>
      <c r="AK128" s="4">
        <f t="shared" si="79"/>
        <v>1.0922240564108399E-2</v>
      </c>
      <c r="AL128" s="4">
        <f t="shared" si="79"/>
        <v>7.3493212906090566E-3</v>
      </c>
      <c r="AM128" s="4">
        <f t="shared" si="79"/>
        <v>4.9390262185057265E-3</v>
      </c>
      <c r="AN128" s="4">
        <f t="shared" si="79"/>
        <v>3.3164275492956197E-3</v>
      </c>
      <c r="AO128" s="4">
        <f t="shared" si="79"/>
        <v>2.2256362146679809E-3</v>
      </c>
      <c r="AP128" s="4">
        <f t="shared" si="79"/>
        <v>1.4930448704811861E-3</v>
      </c>
      <c r="AQ128" s="4">
        <f t="shared" si="79"/>
        <v>1.0013381504474506E-3</v>
      </c>
      <c r="AR128" s="4">
        <f t="shared" si="79"/>
        <v>6.7145100246257527E-4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25">
      <c r="A132" s="24" t="s">
        <v>73</v>
      </c>
      <c r="B132" s="72">
        <f>'Parameter Input'!$L$107</f>
        <v>0.05</v>
      </c>
      <c r="C132" s="73">
        <f>'Parameter Input'!$M$107</f>
        <v>0.02</v>
      </c>
      <c r="D132" s="1" t="s">
        <v>57</v>
      </c>
      <c r="L132" s="54">
        <f>'Parameter Input'!$O$107</f>
        <v>12</v>
      </c>
      <c r="M132" s="37">
        <v>0</v>
      </c>
      <c r="N132" s="37">
        <v>1</v>
      </c>
      <c r="O132" s="37">
        <f>'Parameter Input'!$P$107</f>
        <v>0.9</v>
      </c>
      <c r="P132" s="55">
        <f>'Parameter Input'!$Q$107</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381017.08777974301</v>
      </c>
      <c r="C137" s="62">
        <f t="shared" ref="C137:C145" si="84">$B117+($C117-$B117)*(1-R117)</f>
        <v>377274.24981545168</v>
      </c>
      <c r="D137" s="62">
        <f t="shared" ref="D137:D145" si="85">$B117+($C117-$B117)*(1-S117)</f>
        <v>372070.34635283251</v>
      </c>
      <c r="E137" s="62">
        <f t="shared" ref="E137:E145" si="86">$B117+($C117-$B117)*(1-T117)</f>
        <v>364935.98938399734</v>
      </c>
      <c r="F137" s="62">
        <f t="shared" ref="F137:F145" si="87">$B117+($C117-$B117)*(1-U117)</f>
        <v>355348.17810466845</v>
      </c>
      <c r="G137" s="62">
        <f t="shared" ref="G137:G145" si="88">$B117+($C117-$B117)*(1-V117)</f>
        <v>342815.05653366609</v>
      </c>
      <c r="H137" s="62">
        <f t="shared" ref="H137:H145" si="89">$B117+($C117-$B117)*(1-W117)</f>
        <v>327031.70828748442</v>
      </c>
      <c r="I137" s="62">
        <f t="shared" ref="I137:I145" si="90">$B117+($C117-$B117)*(1-X117)</f>
        <v>308092.14345314872</v>
      </c>
      <c r="J137" s="62">
        <f t="shared" ref="J137:J145" si="91">$B117+($C117-$B117)*(1-Y117)</f>
        <v>286675.78251999652</v>
      </c>
      <c r="K137" s="62">
        <f t="shared" ref="K137:K145" si="92">$B117+($C117-$B117)*(1-Z117)</f>
        <v>264066.61815198557</v>
      </c>
      <c r="L137" s="62">
        <f t="shared" ref="L137:L145" si="93">$B117+($C117-$B117)*(1-AA117)</f>
        <v>241902.35984948126</v>
      </c>
      <c r="M137" s="62">
        <f t="shared" ref="M137:M145" si="94">$B117+($C117-$B117)*(1-AB117)</f>
        <v>221725.77929749334</v>
      </c>
      <c r="N137" s="62">
        <f t="shared" ref="N137:N145" si="95">$B117+($C117-$B117)*(1-AC117)</f>
        <v>204578.55902862668</v>
      </c>
      <c r="O137" s="62">
        <f t="shared" ref="O137:O145" si="96">$B117+($C117-$B117)*(1-AD117)</f>
        <v>190846.70648642577</v>
      </c>
      <c r="P137" s="62">
        <f t="shared" ref="P137:P145" si="97">$B117+($C117-$B117)*(1-AE117)</f>
        <v>180368.6935336185</v>
      </c>
      <c r="Q137" s="62">
        <f t="shared" ref="Q137:Q145" si="98">$B117+($C117-$B117)*(1-AF117)</f>
        <v>172666.51367545157</v>
      </c>
      <c r="R137" s="62">
        <f t="shared" ref="R137:R145" si="99">$B117+($C117-$B117)*(1-AG117)</f>
        <v>167159.56650171301</v>
      </c>
      <c r="S137" s="62">
        <f t="shared" ref="S137:S145" si="100">$B117+($C117-$B117)*(1-AH117)</f>
        <v>163300.00979695629</v>
      </c>
      <c r="T137" s="62">
        <f t="shared" ref="T137:T145" si="101">$B117+($C117-$B117)*(1-AI117)</f>
        <v>160632.81888707468</v>
      </c>
      <c r="U137" s="62">
        <f t="shared" ref="U137:U145" si="102">$B117+($C117-$B117)*(1-AJ117)</f>
        <v>158807.52723622159</v>
      </c>
      <c r="V137" s="62">
        <f t="shared" ref="V137:V145" si="103">$B117+($C117-$B117)*(1-AK117)</f>
        <v>157566.72653256549</v>
      </c>
      <c r="W137" s="62">
        <f t="shared" ref="W137:W145" si="104">$B117+($C117-$B117)*(1-AL117)</f>
        <v>156727.09050329312</v>
      </c>
      <c r="X137" s="62">
        <f t="shared" ref="X137:X145" si="105">$B117+($C117-$B117)*(1-AM117)</f>
        <v>156160.67116134884</v>
      </c>
      <c r="Y137" s="62">
        <f t="shared" ref="Y137:Y145" si="106">$B117+($C117-$B117)*(1-AN117)</f>
        <v>155779.36047408447</v>
      </c>
      <c r="Z137" s="62">
        <f t="shared" ref="Z137:Z145" si="107">$B117+($C117-$B117)*(1-AO117)</f>
        <v>155523.02451044696</v>
      </c>
      <c r="AA137" s="62">
        <f t="shared" ref="AA137:AA145" si="108">$B117+($C117-$B117)*(1-AP117)</f>
        <v>155350.86554456307</v>
      </c>
      <c r="AB137" s="62">
        <f t="shared" ref="AB137:AB145" si="109">$B117+($C117-$B117)*(1-AQ117)</f>
        <v>155235.31446535516</v>
      </c>
      <c r="AC137" s="62">
        <f t="shared" ref="AC137:AC145" si="110">$B117+($C117-$B117)*(1-AR117)</f>
        <v>155157.7909855787</v>
      </c>
    </row>
    <row r="138" spans="1:44" x14ac:dyDescent="0.25">
      <c r="A138" s="30" t="str">
        <f t="shared" si="82"/>
        <v>Residual value (vehicle)</v>
      </c>
      <c r="B138" s="62">
        <f t="shared" si="83"/>
        <v>-57745.053121914571</v>
      </c>
      <c r="C138" s="62">
        <f t="shared" si="84"/>
        <v>-57430.49546321349</v>
      </c>
      <c r="D138" s="62">
        <f t="shared" si="85"/>
        <v>-56993.146129652945</v>
      </c>
      <c r="E138" s="62">
        <f t="shared" si="86"/>
        <v>-56393.556554612544</v>
      </c>
      <c r="F138" s="62">
        <f t="shared" si="87"/>
        <v>-55587.772415179585</v>
      </c>
      <c r="G138" s="62">
        <f t="shared" si="88"/>
        <v>-54534.456878893216</v>
      </c>
      <c r="H138" s="62">
        <f t="shared" si="89"/>
        <v>-53207.983994373695</v>
      </c>
      <c r="I138" s="62">
        <f t="shared" si="90"/>
        <v>-51616.254609360374</v>
      </c>
      <c r="J138" s="62">
        <f t="shared" si="91"/>
        <v>-49816.368956467792</v>
      </c>
      <c r="K138" s="62">
        <f t="shared" si="92"/>
        <v>-47916.237057454106</v>
      </c>
      <c r="L138" s="62">
        <f t="shared" si="93"/>
        <v>-46053.49620011598</v>
      </c>
      <c r="M138" s="62">
        <f t="shared" si="94"/>
        <v>-44357.804855853159</v>
      </c>
      <c r="N138" s="62">
        <f t="shared" si="95"/>
        <v>-42916.708684320751</v>
      </c>
      <c r="O138" s="62">
        <f t="shared" si="96"/>
        <v>-41762.648736625146</v>
      </c>
      <c r="P138" s="62">
        <f t="shared" si="97"/>
        <v>-40882.049775697727</v>
      </c>
      <c r="Q138" s="62">
        <f t="shared" si="98"/>
        <v>-40234.73891527731</v>
      </c>
      <c r="R138" s="62">
        <f t="shared" si="99"/>
        <v>-39771.921014505671</v>
      </c>
      <c r="S138" s="62">
        <f t="shared" si="100"/>
        <v>-39447.554014850582</v>
      </c>
      <c r="T138" s="62">
        <f t="shared" si="101"/>
        <v>-39223.396480935</v>
      </c>
      <c r="U138" s="62">
        <f t="shared" si="102"/>
        <v>-39069.994310278198</v>
      </c>
      <c r="V138" s="62">
        <f t="shared" si="103"/>
        <v>-38965.714251141137</v>
      </c>
      <c r="W138" s="62">
        <f t="shared" si="104"/>
        <v>-38895.149095489527</v>
      </c>
      <c r="X138" s="62">
        <f t="shared" si="105"/>
        <v>-38847.545767815493</v>
      </c>
      <c r="Y138" s="62">
        <f t="shared" si="106"/>
        <v>-38815.49944409859</v>
      </c>
      <c r="Z138" s="62">
        <f t="shared" si="107"/>
        <v>-38793.956315239688</v>
      </c>
      <c r="AA138" s="62">
        <f t="shared" si="108"/>
        <v>-38779.487636192003</v>
      </c>
      <c r="AB138" s="62">
        <f t="shared" si="109"/>
        <v>-38769.776428471334</v>
      </c>
      <c r="AC138" s="62">
        <f t="shared" si="110"/>
        <v>-38763.261157298635</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25694.198732927423</v>
      </c>
      <c r="C143" s="62">
        <f t="shared" si="84"/>
        <v>25566.782972440909</v>
      </c>
      <c r="D143" s="62">
        <f t="shared" si="85"/>
        <v>25389.62881201132</v>
      </c>
      <c r="E143" s="62">
        <f t="shared" si="86"/>
        <v>25146.757085412675</v>
      </c>
      <c r="F143" s="62">
        <f t="shared" si="87"/>
        <v>24820.363509946161</v>
      </c>
      <c r="G143" s="62">
        <f t="shared" si="88"/>
        <v>24393.704052209912</v>
      </c>
      <c r="H143" s="62">
        <f t="shared" si="89"/>
        <v>23856.39857999947</v>
      </c>
      <c r="I143" s="62">
        <f t="shared" si="90"/>
        <v>23211.647436702937</v>
      </c>
      <c r="J143" s="62">
        <f t="shared" si="91"/>
        <v>22482.579830467967</v>
      </c>
      <c r="K143" s="62">
        <f t="shared" si="92"/>
        <v>21712.906149854825</v>
      </c>
      <c r="L143" s="62">
        <f t="shared" si="93"/>
        <v>20958.378207641916</v>
      </c>
      <c r="M143" s="62">
        <f t="shared" si="94"/>
        <v>20271.515890978495</v>
      </c>
      <c r="N143" s="62">
        <f t="shared" si="95"/>
        <v>19687.78073288942</v>
      </c>
      <c r="O143" s="62">
        <f t="shared" si="96"/>
        <v>19220.313412303854</v>
      </c>
      <c r="P143" s="62">
        <f t="shared" si="97"/>
        <v>18863.615099016799</v>
      </c>
      <c r="Q143" s="62">
        <f t="shared" si="98"/>
        <v>18601.413231504735</v>
      </c>
      <c r="R143" s="62">
        <f t="shared" si="99"/>
        <v>18413.942689420019</v>
      </c>
      <c r="S143" s="62">
        <f t="shared" si="100"/>
        <v>18282.553525002768</v>
      </c>
      <c r="T143" s="62">
        <f t="shared" si="101"/>
        <v>18191.755536581266</v>
      </c>
      <c r="U143" s="62">
        <f t="shared" si="102"/>
        <v>18129.617948467116</v>
      </c>
      <c r="V143" s="62">
        <f t="shared" si="103"/>
        <v>18087.377924512868</v>
      </c>
      <c r="W143" s="62">
        <f t="shared" si="104"/>
        <v>18058.794570324873</v>
      </c>
      <c r="X143" s="62">
        <f t="shared" si="105"/>
        <v>18039.512209748045</v>
      </c>
      <c r="Y143" s="62">
        <f t="shared" si="106"/>
        <v>18026.531420394364</v>
      </c>
      <c r="Z143" s="62">
        <f t="shared" si="107"/>
        <v>18017.805089717345</v>
      </c>
      <c r="AA143" s="62">
        <f t="shared" si="108"/>
        <v>18011.94435896385</v>
      </c>
      <c r="AB143" s="62">
        <f t="shared" si="109"/>
        <v>18008.010705203578</v>
      </c>
      <c r="AC143" s="62">
        <f t="shared" si="110"/>
        <v>18005.371608019701</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2.5017133827957863</v>
      </c>
      <c r="C145" s="62">
        <f t="shared" si="84"/>
        <v>2.4899274249507841</v>
      </c>
      <c r="D145" s="62">
        <f t="shared" si="85"/>
        <v>2.473540665111047</v>
      </c>
      <c r="E145" s="62">
        <f t="shared" si="86"/>
        <v>2.4510750304006725</v>
      </c>
      <c r="F145" s="62">
        <f t="shared" si="87"/>
        <v>2.4208836246700196</v>
      </c>
      <c r="G145" s="62">
        <f t="shared" si="88"/>
        <v>2.3814176248294165</v>
      </c>
      <c r="H145" s="62">
        <f t="shared" si="89"/>
        <v>2.3317168686499508</v>
      </c>
      <c r="I145" s="62">
        <f t="shared" si="90"/>
        <v>2.2720773878950213</v>
      </c>
      <c r="J145" s="62">
        <f t="shared" si="91"/>
        <v>2.2046386343182869</v>
      </c>
      <c r="K145" s="62">
        <f t="shared" si="92"/>
        <v>2.1334438188615716</v>
      </c>
      <c r="L145" s="62">
        <f t="shared" si="93"/>
        <v>2.0636499842068772</v>
      </c>
      <c r="M145" s="62">
        <f t="shared" si="94"/>
        <v>2.0001152199155108</v>
      </c>
      <c r="N145" s="62">
        <f t="shared" si="95"/>
        <v>1.9461197177922713</v>
      </c>
      <c r="O145" s="62">
        <f t="shared" si="96"/>
        <v>1.9028789906381067</v>
      </c>
      <c r="P145" s="62">
        <f t="shared" si="97"/>
        <v>1.8698843966590539</v>
      </c>
      <c r="Q145" s="62">
        <f t="shared" si="98"/>
        <v>1.845630723914188</v>
      </c>
      <c r="R145" s="62">
        <f t="shared" si="99"/>
        <v>1.8282896987713517</v>
      </c>
      <c r="S145" s="62">
        <f t="shared" si="100"/>
        <v>1.816136201062756</v>
      </c>
      <c r="T145" s="62">
        <f t="shared" si="101"/>
        <v>1.8077373871337672</v>
      </c>
      <c r="U145" s="62">
        <f t="shared" si="102"/>
        <v>1.8019896602332084</v>
      </c>
      <c r="V145" s="62">
        <f t="shared" si="103"/>
        <v>1.7980824580174404</v>
      </c>
      <c r="W145" s="62">
        <f t="shared" si="104"/>
        <v>1.7954384977550508</v>
      </c>
      <c r="X145" s="62">
        <f t="shared" si="105"/>
        <v>1.7936548794016942</v>
      </c>
      <c r="Y145" s="62">
        <f t="shared" si="106"/>
        <v>1.7924541563864786</v>
      </c>
      <c r="Z145" s="62">
        <f t="shared" si="107"/>
        <v>1.7916469707988543</v>
      </c>
      <c r="AA145" s="62">
        <f t="shared" si="108"/>
        <v>1.791104853204156</v>
      </c>
      <c r="AB145" s="62">
        <f t="shared" si="109"/>
        <v>1.7907409902313312</v>
      </c>
      <c r="AC145" s="62">
        <f t="shared" si="110"/>
        <v>1.7904968737418223</v>
      </c>
    </row>
    <row r="146" spans="1:29" x14ac:dyDescent="0.25">
      <c r="A146" s="30" t="str">
        <f t="shared" si="82"/>
        <v>Fuel Cost</v>
      </c>
      <c r="B146" s="66">
        <f>'Parameter Input'!J5</f>
        <v>0.19695917693522813</v>
      </c>
      <c r="C146" s="66">
        <f>'Parameter Input'!K5</f>
        <v>0.1918445490889919</v>
      </c>
      <c r="D146" s="66">
        <f>'Parameter Input'!L5</f>
        <v>0.1867299212427557</v>
      </c>
      <c r="E146" s="66">
        <f>'Parameter Input'!M5</f>
        <v>0.18316543121930073</v>
      </c>
      <c r="F146" s="66">
        <f>'Parameter Input'!N5</f>
        <v>0.1796009411958458</v>
      </c>
      <c r="G146" s="66">
        <f>'Parameter Input'!O5</f>
        <v>0.17603645117239083</v>
      </c>
      <c r="H146" s="66">
        <f>'Parameter Input'!P5</f>
        <v>0.17247196114893587</v>
      </c>
      <c r="I146" s="66">
        <f>'Parameter Input'!Q5</f>
        <v>0.16890747112548093</v>
      </c>
      <c r="J146" s="66">
        <f>'Parameter Input'!R5</f>
        <v>0.16876144856602932</v>
      </c>
      <c r="K146" s="66">
        <f>'Parameter Input'!S5</f>
        <v>0.16861542600657767</v>
      </c>
      <c r="L146" s="66">
        <f>'Parameter Input'!T5</f>
        <v>0.16846940344712602</v>
      </c>
      <c r="M146" s="66">
        <f>'Parameter Input'!U5</f>
        <v>0.1683233808876744</v>
      </c>
      <c r="N146" s="66">
        <f>'Parameter Input'!V5</f>
        <v>0.16817735832822278</v>
      </c>
      <c r="O146" s="66">
        <f>'Parameter Input'!W5</f>
        <v>0.16448316805908789</v>
      </c>
      <c r="P146" s="66">
        <f>'Parameter Input'!X5</f>
        <v>0.16078897778995299</v>
      </c>
      <c r="Q146" s="66">
        <f>'Parameter Input'!Y5</f>
        <v>0.15709478752081807</v>
      </c>
      <c r="R146" s="66">
        <f>'Parameter Input'!Z5</f>
        <v>0.15340059725168312</v>
      </c>
      <c r="S146" s="66">
        <f>'Parameter Input'!AA5</f>
        <v>0.1497064069825482</v>
      </c>
      <c r="T146" s="66">
        <f>'Parameter Input'!AB5</f>
        <v>0.14627718374621171</v>
      </c>
      <c r="U146" s="66">
        <f>'Parameter Input'!AC5</f>
        <v>0.14284796050987525</v>
      </c>
      <c r="V146" s="66">
        <f>'Parameter Input'!AD5</f>
        <v>0.13941873727353876</v>
      </c>
      <c r="W146" s="66">
        <f>'Parameter Input'!AE5</f>
        <v>0.13598951403720227</v>
      </c>
      <c r="X146" s="66">
        <f>'Parameter Input'!AF5</f>
        <v>0.13256029080086582</v>
      </c>
      <c r="Y146" s="66">
        <f>'Parameter Input'!AG5</f>
        <v>0.12972417970496936</v>
      </c>
      <c r="Z146" s="66">
        <f>'Parameter Input'!AH5</f>
        <v>0.12688806860907287</v>
      </c>
      <c r="AA146" s="66">
        <f>'Parameter Input'!AI5</f>
        <v>0.12405195751317638</v>
      </c>
      <c r="AB146" s="66">
        <f>'Parameter Input'!AJ5</f>
        <v>0.12121584641727991</v>
      </c>
      <c r="AC146" s="66">
        <f>'Parameter Input'!AK5</f>
        <v>0.11837973532138339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8</v>
      </c>
      <c r="C148" s="62">
        <f t="shared" ref="C148:L150" si="113">$B128+($C128-$B128)*(1-R128)</f>
        <v>8</v>
      </c>
      <c r="D148" s="62">
        <f t="shared" si="113"/>
        <v>8</v>
      </c>
      <c r="E148" s="62">
        <f t="shared" si="113"/>
        <v>8</v>
      </c>
      <c r="F148" s="62">
        <f t="shared" si="113"/>
        <v>8</v>
      </c>
      <c r="G148" s="62">
        <f t="shared" si="113"/>
        <v>8</v>
      </c>
      <c r="H148" s="62">
        <f t="shared" si="113"/>
        <v>8</v>
      </c>
      <c r="I148" s="62">
        <f t="shared" si="113"/>
        <v>8</v>
      </c>
      <c r="J148" s="62">
        <f t="shared" si="113"/>
        <v>8</v>
      </c>
      <c r="K148" s="62">
        <f t="shared" si="113"/>
        <v>8</v>
      </c>
      <c r="L148" s="62">
        <f t="shared" si="113"/>
        <v>8</v>
      </c>
      <c r="M148" s="62">
        <f t="shared" ref="M148:V150" si="114">$B128+($C128-$B128)*(1-AB128)</f>
        <v>8</v>
      </c>
      <c r="N148" s="62">
        <f t="shared" si="114"/>
        <v>8</v>
      </c>
      <c r="O148" s="62">
        <f t="shared" si="114"/>
        <v>8</v>
      </c>
      <c r="P148" s="62">
        <f t="shared" si="114"/>
        <v>8</v>
      </c>
      <c r="Q148" s="62">
        <f t="shared" si="114"/>
        <v>8</v>
      </c>
      <c r="R148" s="62">
        <f t="shared" si="114"/>
        <v>8</v>
      </c>
      <c r="S148" s="62">
        <f t="shared" si="114"/>
        <v>8</v>
      </c>
      <c r="T148" s="62">
        <f t="shared" si="114"/>
        <v>8</v>
      </c>
      <c r="U148" s="62">
        <f t="shared" si="114"/>
        <v>8</v>
      </c>
      <c r="V148" s="62">
        <f t="shared" si="114"/>
        <v>8</v>
      </c>
      <c r="W148" s="62">
        <f t="shared" ref="W148:AC150" si="115">$B128+($C128-$B128)*(1-AL128)</f>
        <v>8</v>
      </c>
      <c r="X148" s="62">
        <f t="shared" si="115"/>
        <v>8</v>
      </c>
      <c r="Y148" s="62">
        <f t="shared" si="115"/>
        <v>8</v>
      </c>
      <c r="Z148" s="62">
        <f t="shared" si="115"/>
        <v>8</v>
      </c>
      <c r="AA148" s="62">
        <f t="shared" si="115"/>
        <v>8</v>
      </c>
      <c r="AB148" s="62">
        <f t="shared" si="115"/>
        <v>8</v>
      </c>
      <c r="AC148" s="62">
        <f t="shared" si="115"/>
        <v>8</v>
      </c>
    </row>
    <row r="149" spans="1:29" x14ac:dyDescent="0.25">
      <c r="A149" s="30" t="str">
        <f>A129</f>
        <v>Lifetime costumization</v>
      </c>
      <c r="B149" s="62">
        <f>$B129+($C129-$B129)*(1-Q129)</f>
        <v>10</v>
      </c>
      <c r="C149" s="62">
        <f t="shared" si="113"/>
        <v>10</v>
      </c>
      <c r="D149" s="62">
        <f t="shared" si="113"/>
        <v>10</v>
      </c>
      <c r="E149" s="62">
        <f t="shared" si="113"/>
        <v>10</v>
      </c>
      <c r="F149" s="62">
        <f t="shared" si="113"/>
        <v>10</v>
      </c>
      <c r="G149" s="62">
        <f t="shared" si="113"/>
        <v>10</v>
      </c>
      <c r="H149" s="62">
        <f t="shared" si="113"/>
        <v>10</v>
      </c>
      <c r="I149" s="62">
        <f t="shared" si="113"/>
        <v>10</v>
      </c>
      <c r="J149" s="62">
        <f t="shared" si="113"/>
        <v>10</v>
      </c>
      <c r="K149" s="62">
        <f t="shared" si="113"/>
        <v>10</v>
      </c>
      <c r="L149" s="62">
        <f t="shared" si="113"/>
        <v>10</v>
      </c>
      <c r="M149" s="62">
        <f t="shared" si="114"/>
        <v>10</v>
      </c>
      <c r="N149" s="62">
        <f t="shared" si="114"/>
        <v>10</v>
      </c>
      <c r="O149" s="62">
        <f t="shared" si="114"/>
        <v>10</v>
      </c>
      <c r="P149" s="62">
        <f t="shared" si="114"/>
        <v>10</v>
      </c>
      <c r="Q149" s="62">
        <f t="shared" si="114"/>
        <v>10</v>
      </c>
      <c r="R149" s="62">
        <f t="shared" si="114"/>
        <v>10</v>
      </c>
      <c r="S149" s="62">
        <f t="shared" si="114"/>
        <v>10</v>
      </c>
      <c r="T149" s="62">
        <f t="shared" si="114"/>
        <v>10</v>
      </c>
      <c r="U149" s="62">
        <f t="shared" si="114"/>
        <v>10</v>
      </c>
      <c r="V149" s="62">
        <f t="shared" si="114"/>
        <v>10</v>
      </c>
      <c r="W149" s="62">
        <f t="shared" si="115"/>
        <v>10</v>
      </c>
      <c r="X149" s="62">
        <f t="shared" si="115"/>
        <v>10</v>
      </c>
      <c r="Y149" s="62">
        <f t="shared" si="115"/>
        <v>10</v>
      </c>
      <c r="Z149" s="62">
        <f t="shared" si="115"/>
        <v>10</v>
      </c>
      <c r="AA149" s="62">
        <f t="shared" si="115"/>
        <v>10</v>
      </c>
      <c r="AB149" s="62">
        <f t="shared" si="115"/>
        <v>10</v>
      </c>
      <c r="AC149" s="62">
        <f t="shared" si="115"/>
        <v>10</v>
      </c>
    </row>
    <row r="150" spans="1:29" x14ac:dyDescent="0.25">
      <c r="A150" s="30" t="str">
        <f>A130</f>
        <v>Tonnage .</v>
      </c>
      <c r="B150" s="62">
        <f>$B130+($C130-$B130)*(1-Q130)</f>
        <v>25</v>
      </c>
      <c r="C150" s="62">
        <f t="shared" si="113"/>
        <v>25</v>
      </c>
      <c r="D150" s="62">
        <f t="shared" si="113"/>
        <v>25</v>
      </c>
      <c r="E150" s="62">
        <f t="shared" si="113"/>
        <v>25</v>
      </c>
      <c r="F150" s="62">
        <f t="shared" si="113"/>
        <v>25</v>
      </c>
      <c r="G150" s="62">
        <f t="shared" si="113"/>
        <v>25</v>
      </c>
      <c r="H150" s="62">
        <f t="shared" si="113"/>
        <v>25</v>
      </c>
      <c r="I150" s="62">
        <f t="shared" si="113"/>
        <v>25</v>
      </c>
      <c r="J150" s="62">
        <f t="shared" si="113"/>
        <v>25</v>
      </c>
      <c r="K150" s="62">
        <f t="shared" si="113"/>
        <v>25</v>
      </c>
      <c r="L150" s="62">
        <f t="shared" si="113"/>
        <v>25</v>
      </c>
      <c r="M150" s="62">
        <f t="shared" si="114"/>
        <v>25</v>
      </c>
      <c r="N150" s="62">
        <f t="shared" si="114"/>
        <v>25</v>
      </c>
      <c r="O150" s="62">
        <f t="shared" si="114"/>
        <v>25</v>
      </c>
      <c r="P150" s="62">
        <f t="shared" si="114"/>
        <v>25</v>
      </c>
      <c r="Q150" s="62">
        <f t="shared" si="114"/>
        <v>25</v>
      </c>
      <c r="R150" s="62">
        <f t="shared" si="114"/>
        <v>25</v>
      </c>
      <c r="S150" s="62">
        <f t="shared" si="114"/>
        <v>25</v>
      </c>
      <c r="T150" s="62">
        <f t="shared" si="114"/>
        <v>25</v>
      </c>
      <c r="U150" s="62">
        <f t="shared" si="114"/>
        <v>25</v>
      </c>
      <c r="V150" s="62">
        <f t="shared" si="114"/>
        <v>25</v>
      </c>
      <c r="W150" s="62">
        <f t="shared" si="115"/>
        <v>25</v>
      </c>
      <c r="X150" s="62">
        <f t="shared" si="115"/>
        <v>25</v>
      </c>
      <c r="Y150" s="62">
        <f t="shared" si="115"/>
        <v>25</v>
      </c>
      <c r="Z150" s="62">
        <f t="shared" si="115"/>
        <v>25</v>
      </c>
      <c r="AA150" s="62">
        <f t="shared" si="115"/>
        <v>25</v>
      </c>
      <c r="AB150" s="62">
        <f t="shared" si="115"/>
        <v>25</v>
      </c>
      <c r="AC150" s="62">
        <f t="shared" si="115"/>
        <v>25</v>
      </c>
    </row>
    <row r="151" spans="1:29" x14ac:dyDescent="0.25">
      <c r="A151" s="30" t="str">
        <f>A131</f>
        <v>Market failure (av. utilization)</v>
      </c>
      <c r="B151" s="62">
        <f t="shared" ref="B151:K152" si="116">($B131+($C131-$B131)*(1-Q131))*B$44</f>
        <v>16</v>
      </c>
      <c r="C151" s="62">
        <f t="shared" si="116"/>
        <v>16</v>
      </c>
      <c r="D151" s="62">
        <f t="shared" si="116"/>
        <v>16</v>
      </c>
      <c r="E151" s="62">
        <f t="shared" si="116"/>
        <v>16</v>
      </c>
      <c r="F151" s="62">
        <f t="shared" si="116"/>
        <v>16</v>
      </c>
      <c r="G151" s="62">
        <f t="shared" si="116"/>
        <v>16</v>
      </c>
      <c r="H151" s="62">
        <f t="shared" si="116"/>
        <v>16</v>
      </c>
      <c r="I151" s="62">
        <f t="shared" si="116"/>
        <v>16</v>
      </c>
      <c r="J151" s="62">
        <f t="shared" si="116"/>
        <v>16</v>
      </c>
      <c r="K151" s="62">
        <f t="shared" si="116"/>
        <v>16</v>
      </c>
      <c r="L151" s="62">
        <f t="shared" ref="L151:U152" si="117">($B131+($C131-$B131)*(1-AA131))*L$44</f>
        <v>16</v>
      </c>
      <c r="M151" s="62">
        <f t="shared" si="117"/>
        <v>16</v>
      </c>
      <c r="N151" s="62">
        <f t="shared" si="117"/>
        <v>16</v>
      </c>
      <c r="O151" s="62">
        <f t="shared" si="117"/>
        <v>16</v>
      </c>
      <c r="P151" s="62">
        <f t="shared" si="117"/>
        <v>16</v>
      </c>
      <c r="Q151" s="62">
        <f t="shared" si="117"/>
        <v>16</v>
      </c>
      <c r="R151" s="62">
        <f t="shared" si="117"/>
        <v>16</v>
      </c>
      <c r="S151" s="62">
        <f t="shared" si="117"/>
        <v>16</v>
      </c>
      <c r="T151" s="62">
        <f t="shared" si="117"/>
        <v>16</v>
      </c>
      <c r="U151" s="62">
        <f t="shared" si="117"/>
        <v>16</v>
      </c>
      <c r="V151" s="62">
        <f t="shared" ref="V151:AC152" si="118">($B131+($C131-$B131)*(1-AK131))*V$44</f>
        <v>16</v>
      </c>
      <c r="W151" s="62">
        <f t="shared" si="118"/>
        <v>16</v>
      </c>
      <c r="X151" s="62">
        <f t="shared" si="118"/>
        <v>16</v>
      </c>
      <c r="Y151" s="62">
        <f t="shared" si="118"/>
        <v>16</v>
      </c>
      <c r="Z151" s="62">
        <f t="shared" si="118"/>
        <v>16</v>
      </c>
      <c r="AA151" s="62">
        <f t="shared" si="118"/>
        <v>16</v>
      </c>
      <c r="AB151" s="62">
        <f t="shared" si="118"/>
        <v>16</v>
      </c>
      <c r="AC151" s="62">
        <f t="shared" si="118"/>
        <v>16</v>
      </c>
    </row>
    <row r="152" spans="1:29" x14ac:dyDescent="0.25">
      <c r="A152" s="30" t="s">
        <v>73</v>
      </c>
      <c r="B152" s="62">
        <f t="shared" si="116"/>
        <v>1.240098396181128</v>
      </c>
      <c r="C152" s="62">
        <f t="shared" si="116"/>
        <v>1.2358588232214369</v>
      </c>
      <c r="D152" s="62">
        <f t="shared" si="116"/>
        <v>1.2298392373690403</v>
      </c>
      <c r="E152" s="62">
        <f t="shared" si="116"/>
        <v>1.2213311312119457</v>
      </c>
      <c r="F152" s="62">
        <f t="shared" si="116"/>
        <v>1.2093859036663352</v>
      </c>
      <c r="G152" s="62">
        <f t="shared" si="116"/>
        <v>1.1927777011260612</v>
      </c>
      <c r="H152" s="62">
        <f t="shared" si="116"/>
        <v>1.1700084767574384</v>
      </c>
      <c r="I152" s="62">
        <f t="shared" si="116"/>
        <v>1.1394090790574525</v>
      </c>
      <c r="J152" s="62">
        <f t="shared" si="116"/>
        <v>1.0994097548946793</v>
      </c>
      <c r="K152" s="62">
        <f t="shared" si="116"/>
        <v>1.0490373668749504</v>
      </c>
      <c r="L152" s="62">
        <f t="shared" si="117"/>
        <v>0.98859194719090016</v>
      </c>
      <c r="M152" s="62">
        <f t="shared" si="117"/>
        <v>0.92024185910637191</v>
      </c>
      <c r="N152" s="62">
        <f t="shared" si="117"/>
        <v>0.84808495154888996</v>
      </c>
      <c r="O152" s="62">
        <f t="shared" si="117"/>
        <v>0.77734795696642955</v>
      </c>
      <c r="P152" s="62">
        <f t="shared" si="117"/>
        <v>0.71295461477923405</v>
      </c>
      <c r="Q152" s="62">
        <f t="shared" si="117"/>
        <v>0.65822944370838299</v>
      </c>
      <c r="R152" s="62">
        <f t="shared" si="117"/>
        <v>0.61440438240348649</v>
      </c>
      <c r="S152" s="62">
        <f t="shared" si="117"/>
        <v>0.580963915532825</v>
      </c>
      <c r="T152" s="62">
        <f t="shared" si="117"/>
        <v>0.55638249045356891</v>
      </c>
      <c r="U152" s="62">
        <f t="shared" si="117"/>
        <v>0.53880712713312673</v>
      </c>
      <c r="V152" s="62">
        <f t="shared" si="118"/>
        <v>0.52648939296900943</v>
      </c>
      <c r="W152" s="62">
        <f t="shared" si="118"/>
        <v>0.51797708155449362</v>
      </c>
      <c r="X152" s="62">
        <f t="shared" si="118"/>
        <v>0.5121516826687923</v>
      </c>
      <c r="Y152" s="62">
        <f t="shared" si="118"/>
        <v>0.50819168042308127</v>
      </c>
      <c r="Z152" s="62">
        <f t="shared" si="118"/>
        <v>0.50551199096795685</v>
      </c>
      <c r="AA152" s="62">
        <f t="shared" si="118"/>
        <v>0.50370426966387927</v>
      </c>
      <c r="AB152" s="62">
        <f t="shared" si="118"/>
        <v>0.50248732066197166</v>
      </c>
      <c r="AC152" s="62">
        <f t="shared" si="118"/>
        <v>0.50166922716100104</v>
      </c>
    </row>
    <row r="153" spans="1:29" x14ac:dyDescent="0.25">
      <c r="A153" s="30" t="str">
        <f>A133</f>
        <v>Annual Mileage</v>
      </c>
      <c r="B153" s="62">
        <f t="shared" ref="B153:AC153" si="119">$B133+($C133-$B133)*(1-Q133)</f>
        <v>110000</v>
      </c>
      <c r="C153" s="62">
        <f t="shared" si="119"/>
        <v>110000</v>
      </c>
      <c r="D153" s="62">
        <f t="shared" si="119"/>
        <v>110000</v>
      </c>
      <c r="E153" s="62">
        <f t="shared" si="119"/>
        <v>110000</v>
      </c>
      <c r="F153" s="62">
        <f t="shared" si="119"/>
        <v>110000</v>
      </c>
      <c r="G153" s="62">
        <f t="shared" si="119"/>
        <v>110000</v>
      </c>
      <c r="H153" s="62">
        <f t="shared" si="119"/>
        <v>110000</v>
      </c>
      <c r="I153" s="62">
        <f t="shared" si="119"/>
        <v>110000</v>
      </c>
      <c r="J153" s="62">
        <f t="shared" si="119"/>
        <v>110000</v>
      </c>
      <c r="K153" s="62">
        <f t="shared" si="119"/>
        <v>110000</v>
      </c>
      <c r="L153" s="62">
        <f t="shared" si="119"/>
        <v>110000</v>
      </c>
      <c r="M153" s="62">
        <f t="shared" si="119"/>
        <v>110000</v>
      </c>
      <c r="N153" s="62">
        <f t="shared" si="119"/>
        <v>110000</v>
      </c>
      <c r="O153" s="62">
        <f t="shared" si="119"/>
        <v>110000</v>
      </c>
      <c r="P153" s="62">
        <f t="shared" si="119"/>
        <v>110000</v>
      </c>
      <c r="Q153" s="62">
        <f t="shared" si="119"/>
        <v>110000</v>
      </c>
      <c r="R153" s="62">
        <f t="shared" si="119"/>
        <v>110000</v>
      </c>
      <c r="S153" s="62">
        <f t="shared" si="119"/>
        <v>110000</v>
      </c>
      <c r="T153" s="62">
        <f t="shared" si="119"/>
        <v>110000</v>
      </c>
      <c r="U153" s="62">
        <f t="shared" si="119"/>
        <v>110000</v>
      </c>
      <c r="V153" s="62">
        <f t="shared" si="119"/>
        <v>110000</v>
      </c>
      <c r="W153" s="62">
        <f t="shared" si="119"/>
        <v>110000</v>
      </c>
      <c r="X153" s="62">
        <f t="shared" si="119"/>
        <v>110000</v>
      </c>
      <c r="Y153" s="62">
        <f t="shared" si="119"/>
        <v>110000</v>
      </c>
      <c r="Z153" s="62">
        <f t="shared" si="119"/>
        <v>110000</v>
      </c>
      <c r="AA153" s="62">
        <f t="shared" si="119"/>
        <v>110000</v>
      </c>
      <c r="AB153" s="62">
        <f t="shared" si="119"/>
        <v>110000</v>
      </c>
      <c r="AC153" s="62">
        <f t="shared" si="119"/>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0">((1+C141)^C148)*C141/(((1+C141)^C148)-1)*(C137)</f>
        <v>60754.714455896952</v>
      </c>
      <c r="D156" s="63">
        <f t="shared" si="120"/>
        <v>59916.698956344211</v>
      </c>
      <c r="E156" s="63">
        <f t="shared" si="120"/>
        <v>58767.811056679595</v>
      </c>
      <c r="F156" s="63">
        <f t="shared" si="120"/>
        <v>57223.828829380502</v>
      </c>
      <c r="G156" s="63">
        <f t="shared" si="120"/>
        <v>55205.54578287054</v>
      </c>
      <c r="H156" s="63">
        <f t="shared" si="120"/>
        <v>52663.859419902983</v>
      </c>
      <c r="I156" s="63">
        <f t="shared" si="120"/>
        <v>49613.908743460379</v>
      </c>
      <c r="J156" s="63">
        <f t="shared" si="120"/>
        <v>46165.10487249765</v>
      </c>
      <c r="K156" s="63">
        <f t="shared" si="120"/>
        <v>42524.216776008514</v>
      </c>
      <c r="L156" s="63">
        <f t="shared" si="120"/>
        <v>38954.974547168116</v>
      </c>
      <c r="M156" s="63">
        <f t="shared" si="120"/>
        <v>35705.819878562834</v>
      </c>
      <c r="N156" s="63">
        <f t="shared" si="120"/>
        <v>32944.501098770794</v>
      </c>
      <c r="O156" s="63">
        <f t="shared" si="120"/>
        <v>30733.179280332359</v>
      </c>
      <c r="P156" s="63">
        <f t="shared" si="120"/>
        <v>29045.842587397736</v>
      </c>
      <c r="Q156" s="63">
        <f t="shared" si="120"/>
        <v>27805.514793492392</v>
      </c>
      <c r="R156" s="63">
        <f t="shared" si="120"/>
        <v>26918.698364255953</v>
      </c>
      <c r="S156" s="63">
        <f t="shared" si="120"/>
        <v>26297.171012101549</v>
      </c>
      <c r="T156" s="63">
        <f t="shared" si="120"/>
        <v>25867.657409706244</v>
      </c>
      <c r="U156" s="63">
        <f t="shared" si="120"/>
        <v>25573.719848103356</v>
      </c>
      <c r="V156" s="63">
        <f t="shared" si="120"/>
        <v>25373.906337151635</v>
      </c>
      <c r="W156" s="63">
        <f t="shared" si="120"/>
        <v>25238.694757696427</v>
      </c>
      <c r="X156" s="63">
        <f t="shared" si="120"/>
        <v>25147.480885032299</v>
      </c>
      <c r="Y156" s="63">
        <f t="shared" si="120"/>
        <v>25086.076159066874</v>
      </c>
      <c r="Z156" s="63">
        <f t="shared" si="120"/>
        <v>25044.796855527889</v>
      </c>
      <c r="AA156" s="63">
        <f t="shared" si="120"/>
        <v>25017.073074171451</v>
      </c>
      <c r="AB156" s="63">
        <f t="shared" si="120"/>
        <v>24998.465197207195</v>
      </c>
      <c r="AC156" s="63">
        <f t="shared" si="120"/>
        <v>24985.981130564032</v>
      </c>
    </row>
    <row r="157" spans="1:29" x14ac:dyDescent="0.25">
      <c r="A157" s="30" t="str">
        <f>A138</f>
        <v>Residual value (vehicle)</v>
      </c>
      <c r="B157" s="62">
        <f>((1+B141)^B148)*B141/(((1+B141)^B148)-1)*(B138)</f>
        <v>-9299.0290627537943</v>
      </c>
      <c r="C157" s="62">
        <f t="shared" ref="C157:AC157" si="121">((1+C141)^C148)*C141/(((1+C141)^C148)-1)*(C138)</f>
        <v>-9248.373973667678</v>
      </c>
      <c r="D157" s="62">
        <f t="shared" si="121"/>
        <v>-9177.9450114712236</v>
      </c>
      <c r="E157" s="62">
        <f t="shared" si="121"/>
        <v>-9081.3895390526031</v>
      </c>
      <c r="F157" s="62">
        <f t="shared" si="121"/>
        <v>-8951.6293305881045</v>
      </c>
      <c r="G157" s="62">
        <f t="shared" si="121"/>
        <v>-8782.0076702963088</v>
      </c>
      <c r="H157" s="62">
        <f t="shared" si="121"/>
        <v>-8568.3978589405251</v>
      </c>
      <c r="I157" s="62">
        <f t="shared" si="121"/>
        <v>-8312.0722169841792</v>
      </c>
      <c r="J157" s="62">
        <f t="shared" si="121"/>
        <v>-8022.2259342117786</v>
      </c>
      <c r="K157" s="62">
        <f t="shared" si="121"/>
        <v>-7716.2364026983305</v>
      </c>
      <c r="L157" s="62">
        <f t="shared" si="121"/>
        <v>-7416.2681728277021</v>
      </c>
      <c r="M157" s="62">
        <f t="shared" si="121"/>
        <v>-7143.2009187640651</v>
      </c>
      <c r="N157" s="62">
        <f t="shared" si="121"/>
        <v>-6911.1326383347341</v>
      </c>
      <c r="O157" s="62">
        <f t="shared" si="121"/>
        <v>-6725.2875067851219</v>
      </c>
      <c r="P157" s="62">
        <f t="shared" si="121"/>
        <v>-6583.4794230172129</v>
      </c>
      <c r="Q157" s="62">
        <f t="shared" si="121"/>
        <v>-6479.2391084230394</v>
      </c>
      <c r="R157" s="62">
        <f t="shared" si="121"/>
        <v>-6404.7087914978501</v>
      </c>
      <c r="S157" s="62">
        <f t="shared" si="121"/>
        <v>-6352.4740459444474</v>
      </c>
      <c r="T157" s="62">
        <f t="shared" si="121"/>
        <v>-6316.3766261686715</v>
      </c>
      <c r="U157" s="62">
        <f t="shared" si="121"/>
        <v>-6291.6733630126846</v>
      </c>
      <c r="V157" s="62">
        <f t="shared" si="121"/>
        <v>-6274.8805253901455</v>
      </c>
      <c r="W157" s="62">
        <f t="shared" si="121"/>
        <v>-6263.5169990316763</v>
      </c>
      <c r="X157" s="62">
        <f t="shared" si="121"/>
        <v>-6255.8511522865001</v>
      </c>
      <c r="Y157" s="62">
        <f t="shared" si="121"/>
        <v>-6250.6905423383423</v>
      </c>
      <c r="Z157" s="62">
        <f t="shared" si="121"/>
        <v>-6247.2213242749585</v>
      </c>
      <c r="AA157" s="62">
        <f t="shared" si="121"/>
        <v>-6244.8913469056415</v>
      </c>
      <c r="AB157" s="62">
        <f t="shared" si="121"/>
        <v>-6243.3274934160918</v>
      </c>
      <c r="AC157" s="62">
        <f t="shared" si="121"/>
        <v>-6242.278300581188</v>
      </c>
    </row>
    <row r="158" spans="1:29" x14ac:dyDescent="0.25">
      <c r="A158" s="30" t="str">
        <f>A139</f>
        <v>Capex costumization</v>
      </c>
      <c r="B158" s="62">
        <f>((1+B141)^B149)*B141/(((1+B141)^B149)-1)*(B139)</f>
        <v>8152.0774932230233</v>
      </c>
      <c r="C158" s="62">
        <f t="shared" ref="C158:AC158" si="122">((1+C141)^C149)*C141/(((1+C141)^C149)-1)*(C139)</f>
        <v>8152.0774932230233</v>
      </c>
      <c r="D158" s="62">
        <f t="shared" si="122"/>
        <v>8152.0774932230233</v>
      </c>
      <c r="E158" s="62">
        <f t="shared" si="122"/>
        <v>8152.0774932230233</v>
      </c>
      <c r="F158" s="62">
        <f t="shared" si="122"/>
        <v>8152.0774932230233</v>
      </c>
      <c r="G158" s="62">
        <f t="shared" si="122"/>
        <v>8152.0774932230233</v>
      </c>
      <c r="H158" s="62">
        <f t="shared" si="122"/>
        <v>8152.0774932230233</v>
      </c>
      <c r="I158" s="62">
        <f t="shared" si="122"/>
        <v>8152.0774932230233</v>
      </c>
      <c r="J158" s="62">
        <f t="shared" si="122"/>
        <v>8152.0774932230233</v>
      </c>
      <c r="K158" s="62">
        <f t="shared" si="122"/>
        <v>8152.0774932230233</v>
      </c>
      <c r="L158" s="62">
        <f t="shared" si="122"/>
        <v>8152.0774932230233</v>
      </c>
      <c r="M158" s="62">
        <f t="shared" si="122"/>
        <v>8152.0774932230233</v>
      </c>
      <c r="N158" s="62">
        <f t="shared" si="122"/>
        <v>8152.0774932230233</v>
      </c>
      <c r="O158" s="62">
        <f t="shared" si="122"/>
        <v>8152.0774932230233</v>
      </c>
      <c r="P158" s="62">
        <f t="shared" si="122"/>
        <v>8152.0774932230233</v>
      </c>
      <c r="Q158" s="62">
        <f t="shared" si="122"/>
        <v>8152.0774932230233</v>
      </c>
      <c r="R158" s="62">
        <f t="shared" si="122"/>
        <v>8152.0774932230233</v>
      </c>
      <c r="S158" s="62">
        <f t="shared" si="122"/>
        <v>8152.0774932230233</v>
      </c>
      <c r="T158" s="62">
        <f t="shared" si="122"/>
        <v>8152.0774932230233</v>
      </c>
      <c r="U158" s="62">
        <f t="shared" si="122"/>
        <v>8152.0774932230233</v>
      </c>
      <c r="V158" s="62">
        <f t="shared" si="122"/>
        <v>8152.0774932230233</v>
      </c>
      <c r="W158" s="62">
        <f t="shared" si="122"/>
        <v>8152.0774932230233</v>
      </c>
      <c r="X158" s="62">
        <f t="shared" si="122"/>
        <v>8152.0774932230233</v>
      </c>
      <c r="Y158" s="62">
        <f t="shared" si="122"/>
        <v>8152.0774932230233</v>
      </c>
      <c r="Z158" s="62">
        <f t="shared" si="122"/>
        <v>8152.0774932230233</v>
      </c>
      <c r="AA158" s="62">
        <f t="shared" si="122"/>
        <v>8152.0774932230233</v>
      </c>
      <c r="AB158" s="62">
        <f t="shared" si="122"/>
        <v>8152.0774932230233</v>
      </c>
      <c r="AC158" s="62">
        <f t="shared" si="122"/>
        <v>8152.0774932230233</v>
      </c>
    </row>
    <row r="159" spans="1:29" x14ac:dyDescent="0.25">
      <c r="A159" s="30" t="str">
        <f>A140</f>
        <v>Residual value (costumization)</v>
      </c>
      <c r="B159" s="62">
        <f>((1+B141)^B149)*B141/(((1+B141)^B149)-1)*(B140)</f>
        <v>-2038.0193733057558</v>
      </c>
      <c r="C159" s="62">
        <f t="shared" ref="C159:AC159" si="123">((1+C141)^C149)*C141/(((1+C141)^C149)-1)*(C140)</f>
        <v>-2038.0193733057558</v>
      </c>
      <c r="D159" s="62">
        <f t="shared" si="123"/>
        <v>-2038.0193733057558</v>
      </c>
      <c r="E159" s="62">
        <f t="shared" si="123"/>
        <v>-2038.0193733057558</v>
      </c>
      <c r="F159" s="62">
        <f t="shared" si="123"/>
        <v>-2038.0193733057558</v>
      </c>
      <c r="G159" s="62">
        <f t="shared" si="123"/>
        <v>-2038.0193733057558</v>
      </c>
      <c r="H159" s="62">
        <f t="shared" si="123"/>
        <v>-2038.0193733057558</v>
      </c>
      <c r="I159" s="62">
        <f t="shared" si="123"/>
        <v>-2038.0193733057558</v>
      </c>
      <c r="J159" s="62">
        <f t="shared" si="123"/>
        <v>-2038.0193733057558</v>
      </c>
      <c r="K159" s="62">
        <f t="shared" si="123"/>
        <v>-2038.0193733057558</v>
      </c>
      <c r="L159" s="62">
        <f t="shared" si="123"/>
        <v>-2038.0193733057558</v>
      </c>
      <c r="M159" s="62">
        <f t="shared" si="123"/>
        <v>-2038.0193733057558</v>
      </c>
      <c r="N159" s="62">
        <f t="shared" si="123"/>
        <v>-2038.0193733057558</v>
      </c>
      <c r="O159" s="62">
        <f t="shared" si="123"/>
        <v>-2038.0193733057558</v>
      </c>
      <c r="P159" s="62">
        <f t="shared" si="123"/>
        <v>-2038.0193733057558</v>
      </c>
      <c r="Q159" s="62">
        <f t="shared" si="123"/>
        <v>-2038.0193733057558</v>
      </c>
      <c r="R159" s="62">
        <f t="shared" si="123"/>
        <v>-2038.0193733057558</v>
      </c>
      <c r="S159" s="62">
        <f t="shared" si="123"/>
        <v>-2038.0193733057558</v>
      </c>
      <c r="T159" s="62">
        <f t="shared" si="123"/>
        <v>-2038.0193733057558</v>
      </c>
      <c r="U159" s="62">
        <f t="shared" si="123"/>
        <v>-2038.0193733057558</v>
      </c>
      <c r="V159" s="62">
        <f t="shared" si="123"/>
        <v>-2038.0193733057558</v>
      </c>
      <c r="W159" s="62">
        <f t="shared" si="123"/>
        <v>-2038.0193733057558</v>
      </c>
      <c r="X159" s="62">
        <f t="shared" si="123"/>
        <v>-2038.0193733057558</v>
      </c>
      <c r="Y159" s="62">
        <f t="shared" si="123"/>
        <v>-2038.0193733057558</v>
      </c>
      <c r="Z159" s="62">
        <f t="shared" si="123"/>
        <v>-2038.0193733057558</v>
      </c>
      <c r="AA159" s="62">
        <f t="shared" si="123"/>
        <v>-2038.0193733057558</v>
      </c>
      <c r="AB159" s="62">
        <f t="shared" si="123"/>
        <v>-2038.0193733057558</v>
      </c>
      <c r="AC159" s="62">
        <f t="shared" si="123"/>
        <v>-2038.0193733057558</v>
      </c>
    </row>
    <row r="160" spans="1:29" x14ac:dyDescent="0.25">
      <c r="A160" s="30" t="str">
        <f t="shared" ref="A160:AC160" si="124">A142</f>
        <v>Opex fix (admin, crew, insurance)</v>
      </c>
      <c r="B160" s="62">
        <f t="shared" si="124"/>
        <v>70000</v>
      </c>
      <c r="C160" s="62">
        <f t="shared" si="124"/>
        <v>70000</v>
      </c>
      <c r="D160" s="62">
        <f t="shared" si="124"/>
        <v>70000</v>
      </c>
      <c r="E160" s="62">
        <f t="shared" si="124"/>
        <v>70000</v>
      </c>
      <c r="F160" s="62">
        <f t="shared" si="124"/>
        <v>70000</v>
      </c>
      <c r="G160" s="62">
        <f t="shared" si="124"/>
        <v>70000</v>
      </c>
      <c r="H160" s="62">
        <f t="shared" si="124"/>
        <v>70000</v>
      </c>
      <c r="I160" s="62">
        <f t="shared" si="124"/>
        <v>70000</v>
      </c>
      <c r="J160" s="62">
        <f t="shared" si="124"/>
        <v>70000</v>
      </c>
      <c r="K160" s="62">
        <f t="shared" si="124"/>
        <v>70000</v>
      </c>
      <c r="L160" s="62">
        <f t="shared" si="124"/>
        <v>70000</v>
      </c>
      <c r="M160" s="62">
        <f t="shared" si="124"/>
        <v>70000</v>
      </c>
      <c r="N160" s="62">
        <f t="shared" si="124"/>
        <v>70000</v>
      </c>
      <c r="O160" s="62">
        <f t="shared" si="124"/>
        <v>70000</v>
      </c>
      <c r="P160" s="62">
        <f t="shared" si="124"/>
        <v>70000</v>
      </c>
      <c r="Q160" s="62">
        <f t="shared" si="124"/>
        <v>70000</v>
      </c>
      <c r="R160" s="62">
        <f t="shared" si="124"/>
        <v>70000</v>
      </c>
      <c r="S160" s="62">
        <f t="shared" si="124"/>
        <v>70000</v>
      </c>
      <c r="T160" s="62">
        <f t="shared" si="124"/>
        <v>70000</v>
      </c>
      <c r="U160" s="62">
        <f t="shared" si="124"/>
        <v>70000</v>
      </c>
      <c r="V160" s="62">
        <f t="shared" si="124"/>
        <v>70000</v>
      </c>
      <c r="W160" s="62">
        <f t="shared" si="124"/>
        <v>70000</v>
      </c>
      <c r="X160" s="62">
        <f t="shared" si="124"/>
        <v>70000</v>
      </c>
      <c r="Y160" s="62">
        <f t="shared" si="124"/>
        <v>70000</v>
      </c>
      <c r="Z160" s="62">
        <f t="shared" si="124"/>
        <v>70000</v>
      </c>
      <c r="AA160" s="62">
        <f t="shared" si="124"/>
        <v>70000</v>
      </c>
      <c r="AB160" s="62">
        <f t="shared" si="124"/>
        <v>70000</v>
      </c>
      <c r="AC160" s="62">
        <f t="shared" si="124"/>
        <v>70000</v>
      </c>
    </row>
    <row r="161" spans="1:29" x14ac:dyDescent="0.25">
      <c r="A161" s="30" t="str">
        <f t="shared" ref="A161:AC161" si="125">A143</f>
        <v>Opex maintenance &amp; repair</v>
      </c>
      <c r="B161" s="62">
        <f t="shared" si="125"/>
        <v>25694.198732927423</v>
      </c>
      <c r="C161" s="62">
        <f t="shared" si="125"/>
        <v>25566.782972440909</v>
      </c>
      <c r="D161" s="62">
        <f t="shared" si="125"/>
        <v>25389.62881201132</v>
      </c>
      <c r="E161" s="62">
        <f t="shared" si="125"/>
        <v>25146.757085412675</v>
      </c>
      <c r="F161" s="62">
        <f t="shared" si="125"/>
        <v>24820.363509946161</v>
      </c>
      <c r="G161" s="62">
        <f t="shared" si="125"/>
        <v>24393.704052209912</v>
      </c>
      <c r="H161" s="62">
        <f t="shared" si="125"/>
        <v>23856.39857999947</v>
      </c>
      <c r="I161" s="62">
        <f t="shared" si="125"/>
        <v>23211.647436702937</v>
      </c>
      <c r="J161" s="62">
        <f t="shared" si="125"/>
        <v>22482.579830467967</v>
      </c>
      <c r="K161" s="62">
        <f t="shared" si="125"/>
        <v>21712.906149854825</v>
      </c>
      <c r="L161" s="62">
        <f t="shared" si="125"/>
        <v>20958.378207641916</v>
      </c>
      <c r="M161" s="62">
        <f t="shared" si="125"/>
        <v>20271.515890978495</v>
      </c>
      <c r="N161" s="62">
        <f t="shared" si="125"/>
        <v>19687.78073288942</v>
      </c>
      <c r="O161" s="62">
        <f t="shared" si="125"/>
        <v>19220.313412303854</v>
      </c>
      <c r="P161" s="62">
        <f t="shared" si="125"/>
        <v>18863.615099016799</v>
      </c>
      <c r="Q161" s="62">
        <f t="shared" si="125"/>
        <v>18601.413231504735</v>
      </c>
      <c r="R161" s="62">
        <f t="shared" si="125"/>
        <v>18413.942689420019</v>
      </c>
      <c r="S161" s="62">
        <f t="shared" si="125"/>
        <v>18282.553525002768</v>
      </c>
      <c r="T161" s="62">
        <f t="shared" si="125"/>
        <v>18191.755536581266</v>
      </c>
      <c r="U161" s="62">
        <f t="shared" si="125"/>
        <v>18129.617948467116</v>
      </c>
      <c r="V161" s="62">
        <f t="shared" si="125"/>
        <v>18087.377924512868</v>
      </c>
      <c r="W161" s="62">
        <f t="shared" si="125"/>
        <v>18058.794570324873</v>
      </c>
      <c r="X161" s="62">
        <f t="shared" si="125"/>
        <v>18039.512209748045</v>
      </c>
      <c r="Y161" s="62">
        <f t="shared" si="125"/>
        <v>18026.531420394364</v>
      </c>
      <c r="Z161" s="62">
        <f t="shared" si="125"/>
        <v>18017.805089717345</v>
      </c>
      <c r="AA161" s="62">
        <f t="shared" si="125"/>
        <v>18011.94435896385</v>
      </c>
      <c r="AB161" s="62">
        <f t="shared" si="125"/>
        <v>18008.010705203578</v>
      </c>
      <c r="AC161" s="62">
        <f t="shared" si="125"/>
        <v>18005.371608019701</v>
      </c>
    </row>
    <row r="162" spans="1:29" x14ac:dyDescent="0.25">
      <c r="A162" s="30" t="str">
        <f>A144</f>
        <v>Opex var (mode-fees)</v>
      </c>
      <c r="B162" s="62">
        <f>B144*B153</f>
        <v>12100</v>
      </c>
      <c r="C162" s="62">
        <f t="shared" ref="C162:AC162" si="126">C144*C153</f>
        <v>12100</v>
      </c>
      <c r="D162" s="62">
        <f t="shared" si="126"/>
        <v>12100</v>
      </c>
      <c r="E162" s="62">
        <f t="shared" si="126"/>
        <v>12100</v>
      </c>
      <c r="F162" s="62">
        <f t="shared" si="126"/>
        <v>12100</v>
      </c>
      <c r="G162" s="62">
        <f t="shared" si="126"/>
        <v>12100</v>
      </c>
      <c r="H162" s="62">
        <f t="shared" si="126"/>
        <v>12100</v>
      </c>
      <c r="I162" s="62">
        <f t="shared" si="126"/>
        <v>12100</v>
      </c>
      <c r="J162" s="62">
        <f t="shared" si="126"/>
        <v>12100</v>
      </c>
      <c r="K162" s="62">
        <f t="shared" si="126"/>
        <v>12100</v>
      </c>
      <c r="L162" s="62">
        <f t="shared" si="126"/>
        <v>12100</v>
      </c>
      <c r="M162" s="62">
        <f t="shared" si="126"/>
        <v>12100</v>
      </c>
      <c r="N162" s="62">
        <f t="shared" si="126"/>
        <v>12100</v>
      </c>
      <c r="O162" s="62">
        <f t="shared" si="126"/>
        <v>12100</v>
      </c>
      <c r="P162" s="62">
        <f t="shared" si="126"/>
        <v>12100</v>
      </c>
      <c r="Q162" s="62">
        <f t="shared" si="126"/>
        <v>12100</v>
      </c>
      <c r="R162" s="62">
        <f t="shared" si="126"/>
        <v>12100</v>
      </c>
      <c r="S162" s="62">
        <f t="shared" si="126"/>
        <v>12100</v>
      </c>
      <c r="T162" s="62">
        <f t="shared" si="126"/>
        <v>12100</v>
      </c>
      <c r="U162" s="62">
        <f t="shared" si="126"/>
        <v>12100</v>
      </c>
      <c r="V162" s="62">
        <f t="shared" si="126"/>
        <v>12100</v>
      </c>
      <c r="W162" s="62">
        <f t="shared" si="126"/>
        <v>12100</v>
      </c>
      <c r="X162" s="62">
        <f t="shared" si="126"/>
        <v>12100</v>
      </c>
      <c r="Y162" s="62">
        <f t="shared" si="126"/>
        <v>12100</v>
      </c>
      <c r="Z162" s="62">
        <f t="shared" si="126"/>
        <v>12100</v>
      </c>
      <c r="AA162" s="62">
        <f t="shared" si="126"/>
        <v>12100</v>
      </c>
      <c r="AB162" s="62">
        <f t="shared" si="126"/>
        <v>12100</v>
      </c>
      <c r="AC162" s="62">
        <f t="shared" si="126"/>
        <v>12100</v>
      </c>
    </row>
    <row r="163" spans="1:29" x14ac:dyDescent="0.25">
      <c r="A163" s="30" t="str">
        <f>A146</f>
        <v>Fuel Cost</v>
      </c>
      <c r="B163" s="62">
        <f>B145*B146*B153</f>
        <v>54200.894968363369</v>
      </c>
      <c r="C163" s="62">
        <f t="shared" ref="C163:AC163" si="127">C145*C146*C153</f>
        <v>52544.690451439768</v>
      </c>
      <c r="D163" s="62">
        <f t="shared" si="127"/>
        <v>50807.245894563326</v>
      </c>
      <c r="E163" s="62">
        <f t="shared" si="127"/>
        <v>49384.743638361986</v>
      </c>
      <c r="F163" s="62">
        <f t="shared" si="127"/>
        <v>47827.22752679808</v>
      </c>
      <c r="G163" s="62">
        <f t="shared" si="127"/>
        <v>46113.793817778998</v>
      </c>
      <c r="H163" s="62">
        <f t="shared" si="127"/>
        <v>44237.135929812393</v>
      </c>
      <c r="I163" s="62">
        <f t="shared" si="127"/>
        <v>42214.793036981013</v>
      </c>
      <c r="J163" s="62">
        <f t="shared" si="127"/>
        <v>40926.381044140537</v>
      </c>
      <c r="K163" s="62">
        <f t="shared" si="127"/>
        <v>39570.469221628824</v>
      </c>
      <c r="L163" s="62">
        <f t="shared" si="127"/>
        <v>38242.806993930397</v>
      </c>
      <c r="M163" s="62">
        <f t="shared" si="127"/>
        <v>37033.277157918048</v>
      </c>
      <c r="N163" s="62">
        <f t="shared" si="127"/>
        <v>36002.260044164766</v>
      </c>
      <c r="O163" s="62">
        <f t="shared" si="127"/>
        <v>34429.072129455875</v>
      </c>
      <c r="P163" s="62">
        <f t="shared" si="127"/>
        <v>33072.248079661149</v>
      </c>
      <c r="Q163" s="62">
        <f t="shared" si="127"/>
        <v>31893.28630567123</v>
      </c>
      <c r="R163" s="62">
        <f t="shared" si="127"/>
        <v>30850.680491468771</v>
      </c>
      <c r="S163" s="62">
        <f t="shared" si="127"/>
        <v>29907.594777724389</v>
      </c>
      <c r="T163" s="62">
        <f t="shared" si="127"/>
        <v>29087.380733692899</v>
      </c>
      <c r="U163" s="62">
        <f t="shared" si="127"/>
        <v>28315.160260661654</v>
      </c>
      <c r="V163" s="62">
        <f t="shared" si="127"/>
        <v>27575.502439154152</v>
      </c>
      <c r="W163" s="62">
        <f t="shared" si="127"/>
        <v>26857.688967273323</v>
      </c>
      <c r="X163" s="62">
        <f t="shared" si="127"/>
        <v>26154.415365086854</v>
      </c>
      <c r="Y163" s="62">
        <f t="shared" si="127"/>
        <v>25577.710960559867</v>
      </c>
      <c r="Z163" s="62">
        <f t="shared" si="127"/>
        <v>25007.248612935888</v>
      </c>
      <c r="AA163" s="62">
        <f t="shared" si="127"/>
        <v>24440.906946645857</v>
      </c>
      <c r="AB163" s="62">
        <f t="shared" si="127"/>
        <v>23877.280332950966</v>
      </c>
      <c r="AC163" s="62">
        <f t="shared" si="127"/>
        <v>23315.440060805347</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220167.56865411007</v>
      </c>
      <c r="C165" s="64">
        <f t="shared" ref="C165:AC165" si="129">C156+C157+C158+C159+C160+C161+C162+C163+C164</f>
        <v>217831.87202602721</v>
      </c>
      <c r="D165" s="64">
        <f t="shared" si="129"/>
        <v>215149.68677136491</v>
      </c>
      <c r="E165" s="64">
        <f t="shared" si="129"/>
        <v>212431.98036131891</v>
      </c>
      <c r="F165" s="64">
        <f t="shared" si="129"/>
        <v>209133.84865545391</v>
      </c>
      <c r="G165" s="64">
        <f t="shared" si="129"/>
        <v>205145.09410248039</v>
      </c>
      <c r="H165" s="64">
        <f t="shared" si="129"/>
        <v>200403.05419069159</v>
      </c>
      <c r="I165" s="64">
        <f t="shared" si="129"/>
        <v>194942.33512007742</v>
      </c>
      <c r="J165" s="64">
        <f t="shared" si="129"/>
        <v>189765.89793281164</v>
      </c>
      <c r="K165" s="64">
        <f t="shared" si="129"/>
        <v>184305.4138647111</v>
      </c>
      <c r="L165" s="64">
        <f t="shared" si="129"/>
        <v>178953.94969583</v>
      </c>
      <c r="M165" s="64">
        <f t="shared" si="129"/>
        <v>174081.47012861259</v>
      </c>
      <c r="N165" s="64">
        <f t="shared" si="129"/>
        <v>169937.4673574075</v>
      </c>
      <c r="O165" s="64">
        <f t="shared" si="129"/>
        <v>165871.33543522423</v>
      </c>
      <c r="P165" s="64">
        <f t="shared" si="129"/>
        <v>162612.28446297575</v>
      </c>
      <c r="Q165" s="64">
        <f t="shared" si="129"/>
        <v>160035.03334216258</v>
      </c>
      <c r="R165" s="64">
        <f t="shared" si="129"/>
        <v>157992.67087356417</v>
      </c>
      <c r="S165" s="64">
        <f t="shared" si="129"/>
        <v>156348.90338880153</v>
      </c>
      <c r="T165" s="64">
        <f t="shared" si="129"/>
        <v>155044.47517372901</v>
      </c>
      <c r="U165" s="64">
        <f t="shared" si="129"/>
        <v>153940.88281413671</v>
      </c>
      <c r="V165" s="64">
        <f t="shared" si="129"/>
        <v>152975.96429534577</v>
      </c>
      <c r="W165" s="64">
        <f t="shared" si="129"/>
        <v>152105.71941618022</v>
      </c>
      <c r="X165" s="64">
        <f t="shared" si="129"/>
        <v>151299.61542749795</v>
      </c>
      <c r="Y165" s="64">
        <f t="shared" si="129"/>
        <v>150653.68611760004</v>
      </c>
      <c r="Z165" s="64">
        <f t="shared" si="129"/>
        <v>150036.68735382342</v>
      </c>
      <c r="AA165" s="64">
        <f t="shared" si="129"/>
        <v>149439.0911527928</v>
      </c>
      <c r="AB165" s="64">
        <f t="shared" si="129"/>
        <v>148854.48686186291</v>
      </c>
      <c r="AC165" s="64">
        <f t="shared" si="129"/>
        <v>148278.57261872516</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0.55779496268778006</v>
      </c>
      <c r="C168" s="65">
        <f t="shared" ref="C168:AC168" si="131">((1+C141)^C148)*C141/(((1+C141)^C148)-1)*(C137)/C153</f>
        <v>0.55231558596269958</v>
      </c>
      <c r="D168" s="65">
        <f t="shared" si="131"/>
        <v>0.54469726323949286</v>
      </c>
      <c r="E168" s="65">
        <f t="shared" si="131"/>
        <v>0.53425282778799632</v>
      </c>
      <c r="F168" s="65">
        <f t="shared" si="131"/>
        <v>0.52021662572164096</v>
      </c>
      <c r="G168" s="65">
        <f t="shared" si="131"/>
        <v>0.50186859802609585</v>
      </c>
      <c r="H168" s="65">
        <f t="shared" si="131"/>
        <v>0.47876235836275438</v>
      </c>
      <c r="I168" s="65">
        <f t="shared" si="131"/>
        <v>0.45103553403145796</v>
      </c>
      <c r="J168" s="65">
        <f t="shared" si="131"/>
        <v>0.41968277156816047</v>
      </c>
      <c r="K168" s="65">
        <f t="shared" si="131"/>
        <v>0.38658378887280465</v>
      </c>
      <c r="L168" s="65">
        <f t="shared" si="131"/>
        <v>0.35413613224698287</v>
      </c>
      <c r="M168" s="65">
        <f t="shared" si="131"/>
        <v>0.32459836253238938</v>
      </c>
      <c r="N168" s="65">
        <f t="shared" si="131"/>
        <v>0.29949546453427994</v>
      </c>
      <c r="O168" s="65">
        <f t="shared" si="131"/>
        <v>0.27939253891211235</v>
      </c>
      <c r="P168" s="65">
        <f t="shared" si="131"/>
        <v>0.26405311443088852</v>
      </c>
      <c r="Q168" s="65">
        <f t="shared" si="131"/>
        <v>0.25277740721356717</v>
      </c>
      <c r="R168" s="65">
        <f t="shared" si="131"/>
        <v>0.24471543967505413</v>
      </c>
      <c r="S168" s="65">
        <f t="shared" si="131"/>
        <v>0.23906519101910501</v>
      </c>
      <c r="T168" s="65">
        <f t="shared" si="131"/>
        <v>0.23516052190642039</v>
      </c>
      <c r="U168" s="65">
        <f t="shared" si="131"/>
        <v>0.23248836225548505</v>
      </c>
      <c r="V168" s="65">
        <f t="shared" si="131"/>
        <v>0.2306718757922876</v>
      </c>
      <c r="W168" s="65">
        <f t="shared" si="131"/>
        <v>0.22944267961542206</v>
      </c>
      <c r="X168" s="65">
        <f t="shared" si="131"/>
        <v>0.22861346259120272</v>
      </c>
      <c r="Y168" s="65">
        <f t="shared" si="131"/>
        <v>0.22805523780969886</v>
      </c>
      <c r="Z168" s="65">
        <f t="shared" si="131"/>
        <v>0.2276799714138899</v>
      </c>
      <c r="AA168" s="65">
        <f t="shared" si="131"/>
        <v>0.22742793703792227</v>
      </c>
      <c r="AB168" s="65">
        <f t="shared" si="131"/>
        <v>0.2272587745200654</v>
      </c>
      <c r="AC168" s="65">
        <f t="shared" si="131"/>
        <v>0.22714528300512757</v>
      </c>
    </row>
    <row r="169" spans="1:29" x14ac:dyDescent="0.25">
      <c r="A169" s="30" t="str">
        <f t="shared" si="130"/>
        <v>Residual value (vehicle)</v>
      </c>
      <c r="B169" s="66">
        <f>((1+B141)^B148)*B141/(((1+B141)^B148)-1)*(B138)/B153</f>
        <v>-8.4536627843216305E-2</v>
      </c>
      <c r="C169" s="66">
        <f t="shared" ref="C169:AC169" si="132">((1+C141)^C148)*C141/(((1+C141)^C148)-1)*(C138)/C153</f>
        <v>-8.4076127033342524E-2</v>
      </c>
      <c r="D169" s="66">
        <f t="shared" si="132"/>
        <v>-8.3435863740647487E-2</v>
      </c>
      <c r="E169" s="66">
        <f t="shared" si="132"/>
        <v>-8.2558086718660023E-2</v>
      </c>
      <c r="F169" s="66">
        <f t="shared" si="132"/>
        <v>-8.1378448459891853E-2</v>
      </c>
      <c r="G169" s="66">
        <f t="shared" si="132"/>
        <v>-7.9836433366330076E-2</v>
      </c>
      <c r="H169" s="66">
        <f t="shared" si="132"/>
        <v>-7.7894525990368405E-2</v>
      </c>
      <c r="I169" s="66">
        <f t="shared" si="132"/>
        <v>-7.5564292881674364E-2</v>
      </c>
      <c r="J169" s="66">
        <f t="shared" si="132"/>
        <v>-7.2929326674652531E-2</v>
      </c>
      <c r="K169" s="66">
        <f t="shared" si="132"/>
        <v>-7.0147603660893912E-2</v>
      </c>
      <c r="L169" s="66">
        <f t="shared" si="132"/>
        <v>-6.7420619752979111E-2</v>
      </c>
      <c r="M169" s="66">
        <f t="shared" si="132"/>
        <v>-6.4938190170582416E-2</v>
      </c>
      <c r="N169" s="66">
        <f t="shared" si="132"/>
        <v>-6.2828478530315771E-2</v>
      </c>
      <c r="O169" s="66">
        <f t="shared" si="132"/>
        <v>-6.1138977334410198E-2</v>
      </c>
      <c r="P169" s="66">
        <f t="shared" si="132"/>
        <v>-5.9849812936520114E-2</v>
      </c>
      <c r="Q169" s="66">
        <f t="shared" si="132"/>
        <v>-5.8902173712936719E-2</v>
      </c>
      <c r="R169" s="66">
        <f t="shared" si="132"/>
        <v>-5.8224625377253182E-2</v>
      </c>
      <c r="S169" s="66">
        <f t="shared" si="132"/>
        <v>-5.7749764054040434E-2</v>
      </c>
      <c r="T169" s="66">
        <f t="shared" si="132"/>
        <v>-5.7421605692442465E-2</v>
      </c>
      <c r="U169" s="66">
        <f t="shared" si="132"/>
        <v>-5.7197030572842589E-2</v>
      </c>
      <c r="V169" s="66">
        <f t="shared" si="132"/>
        <v>-5.7044368412637686E-2</v>
      </c>
      <c r="W169" s="66">
        <f t="shared" si="132"/>
        <v>-5.6941063627560691E-2</v>
      </c>
      <c r="X169" s="66">
        <f t="shared" si="132"/>
        <v>-5.6871374111695454E-2</v>
      </c>
      <c r="Y169" s="66">
        <f t="shared" si="132"/>
        <v>-5.6824459475803113E-2</v>
      </c>
      <c r="Z169" s="66">
        <f t="shared" si="132"/>
        <v>-5.6792921129772349E-2</v>
      </c>
      <c r="AA169" s="66">
        <f t="shared" si="132"/>
        <v>-5.6771739517324012E-2</v>
      </c>
      <c r="AB169" s="66">
        <f t="shared" si="132"/>
        <v>-5.6757522667419014E-2</v>
      </c>
      <c r="AC169" s="66">
        <f t="shared" si="132"/>
        <v>-5.6747984550738075E-2</v>
      </c>
    </row>
    <row r="170" spans="1:29" x14ac:dyDescent="0.25">
      <c r="A170" s="30" t="str">
        <f t="shared" si="130"/>
        <v>Capex costumization</v>
      </c>
      <c r="B170" s="66">
        <f>((1+B141)^B149)*B141/(((1+B141)^B149)-1)*(B139)/B153</f>
        <v>7.4109795392936578E-2</v>
      </c>
      <c r="C170" s="66">
        <f t="shared" ref="C170:AC170" si="133">((1+C141)^C149)*C141/(((1+C141)^C149)-1)*(C139)/C153</f>
        <v>7.4109795392936578E-2</v>
      </c>
      <c r="D170" s="66">
        <f t="shared" si="133"/>
        <v>7.4109795392936578E-2</v>
      </c>
      <c r="E170" s="66">
        <f t="shared" si="133"/>
        <v>7.4109795392936578E-2</v>
      </c>
      <c r="F170" s="66">
        <f t="shared" si="133"/>
        <v>7.4109795392936578E-2</v>
      </c>
      <c r="G170" s="66">
        <f t="shared" si="133"/>
        <v>7.4109795392936578E-2</v>
      </c>
      <c r="H170" s="66">
        <f t="shared" si="133"/>
        <v>7.4109795392936578E-2</v>
      </c>
      <c r="I170" s="66">
        <f t="shared" si="133"/>
        <v>7.4109795392936578E-2</v>
      </c>
      <c r="J170" s="66">
        <f t="shared" si="133"/>
        <v>7.4109795392936578E-2</v>
      </c>
      <c r="K170" s="66">
        <f t="shared" si="133"/>
        <v>7.4109795392936578E-2</v>
      </c>
      <c r="L170" s="66">
        <f t="shared" si="133"/>
        <v>7.4109795392936578E-2</v>
      </c>
      <c r="M170" s="66">
        <f t="shared" si="133"/>
        <v>7.4109795392936578E-2</v>
      </c>
      <c r="N170" s="66">
        <f t="shared" si="133"/>
        <v>7.4109795392936578E-2</v>
      </c>
      <c r="O170" s="66">
        <f t="shared" si="133"/>
        <v>7.4109795392936578E-2</v>
      </c>
      <c r="P170" s="66">
        <f t="shared" si="133"/>
        <v>7.4109795392936578E-2</v>
      </c>
      <c r="Q170" s="66">
        <f t="shared" si="133"/>
        <v>7.4109795392936578E-2</v>
      </c>
      <c r="R170" s="66">
        <f t="shared" si="133"/>
        <v>7.4109795392936578E-2</v>
      </c>
      <c r="S170" s="66">
        <f t="shared" si="133"/>
        <v>7.4109795392936578E-2</v>
      </c>
      <c r="T170" s="66">
        <f t="shared" si="133"/>
        <v>7.4109795392936578E-2</v>
      </c>
      <c r="U170" s="66">
        <f t="shared" si="133"/>
        <v>7.4109795392936578E-2</v>
      </c>
      <c r="V170" s="66">
        <f t="shared" si="133"/>
        <v>7.4109795392936578E-2</v>
      </c>
      <c r="W170" s="66">
        <f t="shared" si="133"/>
        <v>7.4109795392936578E-2</v>
      </c>
      <c r="X170" s="66">
        <f t="shared" si="133"/>
        <v>7.4109795392936578E-2</v>
      </c>
      <c r="Y170" s="66">
        <f t="shared" si="133"/>
        <v>7.4109795392936578E-2</v>
      </c>
      <c r="Z170" s="66">
        <f t="shared" si="133"/>
        <v>7.4109795392936578E-2</v>
      </c>
      <c r="AA170" s="66">
        <f t="shared" si="133"/>
        <v>7.4109795392936578E-2</v>
      </c>
      <c r="AB170" s="66">
        <f t="shared" si="133"/>
        <v>7.4109795392936578E-2</v>
      </c>
      <c r="AC170" s="66">
        <f t="shared" si="133"/>
        <v>7.4109795392936578E-2</v>
      </c>
    </row>
    <row r="171" spans="1:29" x14ac:dyDescent="0.25">
      <c r="A171" s="30" t="str">
        <f t="shared" si="130"/>
        <v>Residual value (costumization)</v>
      </c>
      <c r="B171" s="66">
        <f>((1+B141)^B149)*B141/(((1+B141)^B149)-1)*(B140)/B153</f>
        <v>-1.8527448848234145E-2</v>
      </c>
      <c r="C171" s="66">
        <f t="shared" ref="C171:AC171" si="134">((1+C141)^C149)*C141/(((1+C141)^C149)-1)*(C140)/C153</f>
        <v>-1.8527448848234145E-2</v>
      </c>
      <c r="D171" s="66">
        <f t="shared" si="134"/>
        <v>-1.8527448848234145E-2</v>
      </c>
      <c r="E171" s="66">
        <f t="shared" si="134"/>
        <v>-1.8527448848234145E-2</v>
      </c>
      <c r="F171" s="66">
        <f t="shared" si="134"/>
        <v>-1.8527448848234145E-2</v>
      </c>
      <c r="G171" s="66">
        <f t="shared" si="134"/>
        <v>-1.8527448848234145E-2</v>
      </c>
      <c r="H171" s="66">
        <f t="shared" si="134"/>
        <v>-1.8527448848234145E-2</v>
      </c>
      <c r="I171" s="66">
        <f t="shared" si="134"/>
        <v>-1.8527448848234145E-2</v>
      </c>
      <c r="J171" s="66">
        <f t="shared" si="134"/>
        <v>-1.8527448848234145E-2</v>
      </c>
      <c r="K171" s="66">
        <f t="shared" si="134"/>
        <v>-1.8527448848234145E-2</v>
      </c>
      <c r="L171" s="66">
        <f t="shared" si="134"/>
        <v>-1.8527448848234145E-2</v>
      </c>
      <c r="M171" s="66">
        <f t="shared" si="134"/>
        <v>-1.8527448848234145E-2</v>
      </c>
      <c r="N171" s="66">
        <f t="shared" si="134"/>
        <v>-1.8527448848234145E-2</v>
      </c>
      <c r="O171" s="66">
        <f t="shared" si="134"/>
        <v>-1.8527448848234145E-2</v>
      </c>
      <c r="P171" s="66">
        <f t="shared" si="134"/>
        <v>-1.8527448848234145E-2</v>
      </c>
      <c r="Q171" s="66">
        <f t="shared" si="134"/>
        <v>-1.8527448848234145E-2</v>
      </c>
      <c r="R171" s="66">
        <f t="shared" si="134"/>
        <v>-1.8527448848234145E-2</v>
      </c>
      <c r="S171" s="66">
        <f t="shared" si="134"/>
        <v>-1.8527448848234145E-2</v>
      </c>
      <c r="T171" s="66">
        <f t="shared" si="134"/>
        <v>-1.8527448848234145E-2</v>
      </c>
      <c r="U171" s="66">
        <f t="shared" si="134"/>
        <v>-1.8527448848234145E-2</v>
      </c>
      <c r="V171" s="66">
        <f t="shared" si="134"/>
        <v>-1.8527448848234145E-2</v>
      </c>
      <c r="W171" s="66">
        <f t="shared" si="134"/>
        <v>-1.8527448848234145E-2</v>
      </c>
      <c r="X171" s="66">
        <f t="shared" si="134"/>
        <v>-1.8527448848234145E-2</v>
      </c>
      <c r="Y171" s="66">
        <f t="shared" si="134"/>
        <v>-1.8527448848234145E-2</v>
      </c>
      <c r="Z171" s="66">
        <f t="shared" si="134"/>
        <v>-1.8527448848234145E-2</v>
      </c>
      <c r="AA171" s="66">
        <f t="shared" si="134"/>
        <v>-1.8527448848234145E-2</v>
      </c>
      <c r="AB171" s="66">
        <f t="shared" si="134"/>
        <v>-1.8527448848234145E-2</v>
      </c>
      <c r="AC171" s="66">
        <f t="shared" si="134"/>
        <v>-1.8527448848234145E-2</v>
      </c>
    </row>
    <row r="172" spans="1:29" x14ac:dyDescent="0.25">
      <c r="A172" s="30" t="str">
        <f t="shared" si="130"/>
        <v>Opex fix (admin, crew, insurance)</v>
      </c>
      <c r="B172" s="66">
        <f>B142/B153</f>
        <v>0.63636363636363635</v>
      </c>
      <c r="C172" s="66">
        <f t="shared" ref="C172:AC172" si="135">C142/C153</f>
        <v>0.63636363636363635</v>
      </c>
      <c r="D172" s="66">
        <f t="shared" si="135"/>
        <v>0.63636363636363635</v>
      </c>
      <c r="E172" s="66">
        <f t="shared" si="135"/>
        <v>0.63636363636363635</v>
      </c>
      <c r="F172" s="66">
        <f t="shared" si="135"/>
        <v>0.63636363636363635</v>
      </c>
      <c r="G172" s="66">
        <f t="shared" si="135"/>
        <v>0.63636363636363635</v>
      </c>
      <c r="H172" s="66">
        <f t="shared" si="135"/>
        <v>0.63636363636363635</v>
      </c>
      <c r="I172" s="66">
        <f t="shared" si="135"/>
        <v>0.63636363636363635</v>
      </c>
      <c r="J172" s="66">
        <f t="shared" si="135"/>
        <v>0.63636363636363635</v>
      </c>
      <c r="K172" s="66">
        <f t="shared" si="135"/>
        <v>0.63636363636363635</v>
      </c>
      <c r="L172" s="66">
        <f t="shared" si="135"/>
        <v>0.63636363636363635</v>
      </c>
      <c r="M172" s="66">
        <f t="shared" si="135"/>
        <v>0.63636363636363635</v>
      </c>
      <c r="N172" s="66">
        <f t="shared" si="135"/>
        <v>0.63636363636363635</v>
      </c>
      <c r="O172" s="66">
        <f t="shared" si="135"/>
        <v>0.63636363636363635</v>
      </c>
      <c r="P172" s="66">
        <f t="shared" si="135"/>
        <v>0.63636363636363635</v>
      </c>
      <c r="Q172" s="66">
        <f t="shared" si="135"/>
        <v>0.63636363636363635</v>
      </c>
      <c r="R172" s="66">
        <f t="shared" si="135"/>
        <v>0.63636363636363635</v>
      </c>
      <c r="S172" s="66">
        <f t="shared" si="135"/>
        <v>0.63636363636363635</v>
      </c>
      <c r="T172" s="66">
        <f t="shared" si="135"/>
        <v>0.63636363636363635</v>
      </c>
      <c r="U172" s="66">
        <f t="shared" si="135"/>
        <v>0.63636363636363635</v>
      </c>
      <c r="V172" s="66">
        <f t="shared" si="135"/>
        <v>0.63636363636363635</v>
      </c>
      <c r="W172" s="66">
        <f t="shared" si="135"/>
        <v>0.63636363636363635</v>
      </c>
      <c r="X172" s="66">
        <f t="shared" si="135"/>
        <v>0.63636363636363635</v>
      </c>
      <c r="Y172" s="66">
        <f t="shared" si="135"/>
        <v>0.63636363636363635</v>
      </c>
      <c r="Z172" s="66">
        <f t="shared" si="135"/>
        <v>0.63636363636363635</v>
      </c>
      <c r="AA172" s="66">
        <f t="shared" si="135"/>
        <v>0.63636363636363635</v>
      </c>
      <c r="AB172" s="66">
        <f t="shared" si="135"/>
        <v>0.63636363636363635</v>
      </c>
      <c r="AC172" s="66">
        <f t="shared" si="135"/>
        <v>0.63636363636363635</v>
      </c>
    </row>
    <row r="173" spans="1:29" x14ac:dyDescent="0.25">
      <c r="A173" s="30" t="str">
        <f t="shared" si="130"/>
        <v>Opex maintenance &amp; repair</v>
      </c>
      <c r="B173" s="66">
        <f>B143/B153</f>
        <v>0.23358362484479475</v>
      </c>
      <c r="C173" s="66">
        <f t="shared" ref="C173:AC173" si="136">C143/C153</f>
        <v>0.2324252997494628</v>
      </c>
      <c r="D173" s="66">
        <f t="shared" si="136"/>
        <v>0.23081480738192109</v>
      </c>
      <c r="E173" s="66">
        <f t="shared" si="136"/>
        <v>0.22860688259466069</v>
      </c>
      <c r="F173" s="66">
        <f t="shared" si="136"/>
        <v>0.22563966827223783</v>
      </c>
      <c r="G173" s="66">
        <f t="shared" si="136"/>
        <v>0.22176094592918102</v>
      </c>
      <c r="H173" s="66">
        <f t="shared" si="136"/>
        <v>0.21687635072726791</v>
      </c>
      <c r="I173" s="66">
        <f t="shared" si="136"/>
        <v>0.21101497669729943</v>
      </c>
      <c r="J173" s="66">
        <f t="shared" si="136"/>
        <v>0.2043870893678906</v>
      </c>
      <c r="K173" s="66">
        <f t="shared" si="136"/>
        <v>0.19739005590777114</v>
      </c>
      <c r="L173" s="66">
        <f t="shared" si="136"/>
        <v>0.19053071097856286</v>
      </c>
      <c r="M173" s="66">
        <f t="shared" si="136"/>
        <v>0.18428650809980451</v>
      </c>
      <c r="N173" s="66">
        <f t="shared" si="136"/>
        <v>0.17897982484444927</v>
      </c>
      <c r="O173" s="66">
        <f t="shared" si="136"/>
        <v>0.17473012193003504</v>
      </c>
      <c r="P173" s="66">
        <f t="shared" si="136"/>
        <v>0.1714874099910618</v>
      </c>
      <c r="Q173" s="66">
        <f t="shared" si="136"/>
        <v>0.16910375665004304</v>
      </c>
      <c r="R173" s="66">
        <f t="shared" si="136"/>
        <v>0.16739947899472743</v>
      </c>
      <c r="S173" s="66">
        <f t="shared" si="136"/>
        <v>0.16620503204547971</v>
      </c>
      <c r="T173" s="66">
        <f t="shared" si="136"/>
        <v>0.16537959578710243</v>
      </c>
      <c r="U173" s="66">
        <f t="shared" si="136"/>
        <v>0.16481470862242834</v>
      </c>
      <c r="V173" s="66">
        <f t="shared" si="136"/>
        <v>0.16443070840466242</v>
      </c>
      <c r="W173" s="66">
        <f t="shared" si="136"/>
        <v>0.16417085973022613</v>
      </c>
      <c r="X173" s="66">
        <f t="shared" si="136"/>
        <v>0.16399556554316405</v>
      </c>
      <c r="Y173" s="66">
        <f t="shared" si="136"/>
        <v>0.16387755836722148</v>
      </c>
      <c r="Z173" s="66">
        <f t="shared" si="136"/>
        <v>0.16379822808833949</v>
      </c>
      <c r="AA173" s="66">
        <f t="shared" si="136"/>
        <v>0.16374494871785319</v>
      </c>
      <c r="AB173" s="66">
        <f t="shared" si="136"/>
        <v>0.16370918822912345</v>
      </c>
      <c r="AC173" s="66">
        <f t="shared" si="136"/>
        <v>0.16368519643654272</v>
      </c>
    </row>
    <row r="174" spans="1:29" x14ac:dyDescent="0.25">
      <c r="A174" s="30" t="str">
        <f t="shared" si="130"/>
        <v>Opex var (mode-fees)</v>
      </c>
      <c r="B174" s="66">
        <f>B144*B153/B153</f>
        <v>0.11</v>
      </c>
      <c r="C174" s="66">
        <f t="shared" ref="C174:AC174" si="137">C144*C153/C153</f>
        <v>0.11</v>
      </c>
      <c r="D174" s="66">
        <f t="shared" si="137"/>
        <v>0.11</v>
      </c>
      <c r="E174" s="66">
        <f t="shared" si="137"/>
        <v>0.11</v>
      </c>
      <c r="F174" s="66">
        <f t="shared" si="137"/>
        <v>0.11</v>
      </c>
      <c r="G174" s="66">
        <f t="shared" si="137"/>
        <v>0.11</v>
      </c>
      <c r="H174" s="66">
        <f t="shared" si="137"/>
        <v>0.11</v>
      </c>
      <c r="I174" s="66">
        <f t="shared" si="137"/>
        <v>0.11</v>
      </c>
      <c r="J174" s="66">
        <f t="shared" si="137"/>
        <v>0.11</v>
      </c>
      <c r="K174" s="66">
        <f t="shared" si="137"/>
        <v>0.11</v>
      </c>
      <c r="L174" s="66">
        <f t="shared" si="137"/>
        <v>0.11</v>
      </c>
      <c r="M174" s="66">
        <f t="shared" si="137"/>
        <v>0.11</v>
      </c>
      <c r="N174" s="66">
        <f t="shared" si="137"/>
        <v>0.11</v>
      </c>
      <c r="O174" s="66">
        <f t="shared" si="137"/>
        <v>0.11</v>
      </c>
      <c r="P174" s="66">
        <f t="shared" si="137"/>
        <v>0.11</v>
      </c>
      <c r="Q174" s="66">
        <f t="shared" si="137"/>
        <v>0.11</v>
      </c>
      <c r="R174" s="66">
        <f t="shared" si="137"/>
        <v>0.11</v>
      </c>
      <c r="S174" s="66">
        <f t="shared" si="137"/>
        <v>0.11</v>
      </c>
      <c r="T174" s="66">
        <f t="shared" si="137"/>
        <v>0.11</v>
      </c>
      <c r="U174" s="66">
        <f t="shared" si="137"/>
        <v>0.11</v>
      </c>
      <c r="V174" s="66">
        <f t="shared" si="137"/>
        <v>0.11</v>
      </c>
      <c r="W174" s="66">
        <f t="shared" si="137"/>
        <v>0.11</v>
      </c>
      <c r="X174" s="66">
        <f t="shared" si="137"/>
        <v>0.11</v>
      </c>
      <c r="Y174" s="66">
        <f t="shared" si="137"/>
        <v>0.11</v>
      </c>
      <c r="Z174" s="66">
        <f t="shared" si="137"/>
        <v>0.11</v>
      </c>
      <c r="AA174" s="66">
        <f t="shared" si="137"/>
        <v>0.11</v>
      </c>
      <c r="AB174" s="66">
        <f t="shared" si="137"/>
        <v>0.11</v>
      </c>
      <c r="AC174" s="66">
        <f t="shared" si="137"/>
        <v>0.11</v>
      </c>
    </row>
    <row r="175" spans="1:29" x14ac:dyDescent="0.25">
      <c r="A175" s="30" t="str">
        <f t="shared" si="130"/>
        <v>Fuel Cost</v>
      </c>
      <c r="B175" s="66">
        <f>B145*B146*B153/B153</f>
        <v>0.49273540880330335</v>
      </c>
      <c r="C175" s="66">
        <f t="shared" ref="C175:AC175" si="138">C145*C146*C153/C153</f>
        <v>0.47767900410399788</v>
      </c>
      <c r="D175" s="66">
        <f t="shared" si="138"/>
        <v>0.46188405358693935</v>
      </c>
      <c r="E175" s="66">
        <f t="shared" si="138"/>
        <v>0.4489522148941999</v>
      </c>
      <c r="F175" s="66">
        <f t="shared" si="138"/>
        <v>0.43479297751634616</v>
      </c>
      <c r="G175" s="66">
        <f t="shared" si="138"/>
        <v>0.41921630743435451</v>
      </c>
      <c r="H175" s="66">
        <f t="shared" si="138"/>
        <v>0.40215578118011269</v>
      </c>
      <c r="I175" s="66">
        <f t="shared" si="138"/>
        <v>0.3837708457907365</v>
      </c>
      <c r="J175" s="66">
        <f t="shared" si="138"/>
        <v>0.3720580094921867</v>
      </c>
      <c r="K175" s="66">
        <f t="shared" si="138"/>
        <v>0.35973153837844385</v>
      </c>
      <c r="L175" s="66">
        <f t="shared" si="138"/>
        <v>0.34766188176300361</v>
      </c>
      <c r="M175" s="66">
        <f t="shared" si="138"/>
        <v>0.33666615598107319</v>
      </c>
      <c r="N175" s="66">
        <f t="shared" si="138"/>
        <v>0.3272932731287706</v>
      </c>
      <c r="O175" s="66">
        <f t="shared" si="138"/>
        <v>0.31299156481323526</v>
      </c>
      <c r="P175" s="66">
        <f t="shared" si="138"/>
        <v>0.30065680072419226</v>
      </c>
      <c r="Q175" s="66">
        <f t="shared" si="138"/>
        <v>0.28993896641519301</v>
      </c>
      <c r="R175" s="66">
        <f t="shared" si="138"/>
        <v>0.28046073174062519</v>
      </c>
      <c r="S175" s="66">
        <f t="shared" si="138"/>
        <v>0.2718872252520399</v>
      </c>
      <c r="T175" s="66">
        <f t="shared" si="138"/>
        <v>0.2644307339426627</v>
      </c>
      <c r="U175" s="66">
        <f t="shared" si="138"/>
        <v>0.25741054782419687</v>
      </c>
      <c r="V175" s="66">
        <f t="shared" si="138"/>
        <v>0.2506863858104923</v>
      </c>
      <c r="W175" s="66">
        <f t="shared" si="138"/>
        <v>0.24416080879339386</v>
      </c>
      <c r="X175" s="66">
        <f t="shared" si="138"/>
        <v>0.2377674124098805</v>
      </c>
      <c r="Y175" s="66">
        <f t="shared" si="138"/>
        <v>0.23252464509599879</v>
      </c>
      <c r="Z175" s="66">
        <f t="shared" si="138"/>
        <v>0.2273386237539626</v>
      </c>
      <c r="AA175" s="66">
        <f t="shared" si="138"/>
        <v>0.22219006315132597</v>
      </c>
      <c r="AB175" s="66">
        <f t="shared" si="138"/>
        <v>0.21706618484500878</v>
      </c>
      <c r="AC175" s="66">
        <f t="shared" si="138"/>
        <v>0.21195854600732134</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2.0385782490974691</v>
      </c>
      <c r="C177" s="76">
        <f t="shared" ref="C177:AC177" si="141">C168+C169+C170-C171+C172+C173+C174+C175+C176</f>
        <v>2.017344643387625</v>
      </c>
      <c r="D177" s="76">
        <f t="shared" si="141"/>
        <v>1.992961141072513</v>
      </c>
      <c r="E177" s="76">
        <f t="shared" si="141"/>
        <v>1.9682547191630042</v>
      </c>
      <c r="F177" s="76">
        <f t="shared" si="141"/>
        <v>1.9382717036551405</v>
      </c>
      <c r="G177" s="76">
        <f t="shared" si="141"/>
        <v>1.9020102986281084</v>
      </c>
      <c r="H177" s="76">
        <f t="shared" si="141"/>
        <v>1.8589008448845739</v>
      </c>
      <c r="I177" s="76">
        <f t="shared" si="141"/>
        <v>1.8092579442426269</v>
      </c>
      <c r="J177" s="76">
        <f t="shared" si="141"/>
        <v>1.7621994243583923</v>
      </c>
      <c r="K177" s="76">
        <f t="shared" si="141"/>
        <v>1.7125586601029328</v>
      </c>
      <c r="L177" s="76">
        <f t="shared" si="141"/>
        <v>1.6639089858403775</v>
      </c>
      <c r="M177" s="76">
        <f t="shared" si="141"/>
        <v>1.6196137170474918</v>
      </c>
      <c r="N177" s="76">
        <f t="shared" si="141"/>
        <v>1.5819409645819911</v>
      </c>
      <c r="O177" s="76">
        <f t="shared" si="141"/>
        <v>1.5449761289257797</v>
      </c>
      <c r="P177" s="76">
        <f t="shared" si="141"/>
        <v>1.5153483928144296</v>
      </c>
      <c r="Q177" s="76">
        <f t="shared" si="141"/>
        <v>1.4919188371706738</v>
      </c>
      <c r="R177" s="76">
        <f t="shared" si="141"/>
        <v>1.4733519056379607</v>
      </c>
      <c r="S177" s="76">
        <f t="shared" si="141"/>
        <v>1.4584085648673915</v>
      </c>
      <c r="T177" s="76">
        <f t="shared" si="141"/>
        <v>1.4465501265485501</v>
      </c>
      <c r="U177" s="76">
        <f t="shared" si="141"/>
        <v>1.4365174687340747</v>
      </c>
      <c r="V177" s="76">
        <f t="shared" si="141"/>
        <v>1.4277454821996116</v>
      </c>
      <c r="W177" s="76">
        <f t="shared" si="141"/>
        <v>1.4198341651162885</v>
      </c>
      <c r="X177" s="76">
        <f t="shared" si="141"/>
        <v>1.4125059470373589</v>
      </c>
      <c r="Y177" s="76">
        <f t="shared" si="141"/>
        <v>1.4066338624019232</v>
      </c>
      <c r="Z177" s="76">
        <f t="shared" si="141"/>
        <v>1.4010247827312268</v>
      </c>
      <c r="AA177" s="76">
        <f t="shared" si="141"/>
        <v>1.3955920899945848</v>
      </c>
      <c r="AB177" s="76">
        <f t="shared" si="141"/>
        <v>1.3902775055315859</v>
      </c>
      <c r="AC177" s="76">
        <f t="shared" si="141"/>
        <v>1.3850419215030607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2.2311798507511204E-2</v>
      </c>
      <c r="C180" s="65">
        <f t="shared" ref="C180:AC180" si="143">((1+C141)^C148)*C141/(((1+C141)^C148)-1)*(C137)/C153/(C150)</f>
        <v>2.2092623438507982E-2</v>
      </c>
      <c r="D180" s="65">
        <f t="shared" si="143"/>
        <v>2.1787890529579714E-2</v>
      </c>
      <c r="E180" s="65">
        <f t="shared" si="143"/>
        <v>2.1370113111519852E-2</v>
      </c>
      <c r="F180" s="65">
        <f t="shared" si="143"/>
        <v>2.080866502886564E-2</v>
      </c>
      <c r="G180" s="65">
        <f t="shared" si="143"/>
        <v>2.0074743921043834E-2</v>
      </c>
      <c r="H180" s="65">
        <f t="shared" si="143"/>
        <v>1.9150494334510174E-2</v>
      </c>
      <c r="I180" s="65">
        <f t="shared" si="143"/>
        <v>1.8041421361258317E-2</v>
      </c>
      <c r="J180" s="65">
        <f t="shared" si="143"/>
        <v>1.6787310862726418E-2</v>
      </c>
      <c r="K180" s="65">
        <f t="shared" si="143"/>
        <v>1.5463351554912186E-2</v>
      </c>
      <c r="L180" s="65">
        <f t="shared" si="143"/>
        <v>1.4165445289879315E-2</v>
      </c>
      <c r="M180" s="65">
        <f t="shared" si="143"/>
        <v>1.2983934501295575E-2</v>
      </c>
      <c r="N180" s="65">
        <f t="shared" si="143"/>
        <v>1.1979818581371197E-2</v>
      </c>
      <c r="O180" s="65">
        <f t="shared" si="143"/>
        <v>1.1175701556484494E-2</v>
      </c>
      <c r="P180" s="65">
        <f t="shared" si="143"/>
        <v>1.0562124577235541E-2</v>
      </c>
      <c r="Q180" s="65">
        <f t="shared" si="143"/>
        <v>1.0111096288542686E-2</v>
      </c>
      <c r="R180" s="65">
        <f t="shared" si="143"/>
        <v>9.7886175870021651E-3</v>
      </c>
      <c r="S180" s="65">
        <f t="shared" si="143"/>
        <v>9.5626076407641994E-3</v>
      </c>
      <c r="T180" s="65">
        <f t="shared" si="143"/>
        <v>9.4064208762568158E-3</v>
      </c>
      <c r="U180" s="65">
        <f t="shared" si="143"/>
        <v>9.2995344902194015E-3</v>
      </c>
      <c r="V180" s="65">
        <f t="shared" si="143"/>
        <v>9.2268750316915043E-3</v>
      </c>
      <c r="W180" s="65">
        <f t="shared" si="143"/>
        <v>9.1777071846168828E-3</v>
      </c>
      <c r="X180" s="65">
        <f t="shared" si="143"/>
        <v>9.1445385036481083E-3</v>
      </c>
      <c r="Y180" s="65">
        <f t="shared" si="143"/>
        <v>9.1222095123879542E-3</v>
      </c>
      <c r="Z180" s="65">
        <f t="shared" si="143"/>
        <v>9.1071988565555959E-3</v>
      </c>
      <c r="AA180" s="65">
        <f t="shared" si="143"/>
        <v>9.0971174815168906E-3</v>
      </c>
      <c r="AB180" s="65">
        <f t="shared" si="143"/>
        <v>9.0903509808026167E-3</v>
      </c>
      <c r="AC180" s="65">
        <f t="shared" si="143"/>
        <v>9.0858113202051029E-3</v>
      </c>
    </row>
    <row r="181" spans="1:29" x14ac:dyDescent="0.25">
      <c r="A181" s="30" t="str">
        <f t="shared" si="142"/>
        <v>Residual value (vehicle)</v>
      </c>
      <c r="B181" s="68">
        <f>((1+B141)^B148)*B141/(((1+B141)^B148)-1)*(B138)/B153/(B150)</f>
        <v>-3.3814651137286521E-3</v>
      </c>
      <c r="C181" s="68">
        <f t="shared" ref="C181:AC181" si="144">((1+C141)^C148)*C141/(((1+C141)^C148)-1)*(C138)/C153/(C150)</f>
        <v>-3.3630450813337009E-3</v>
      </c>
      <c r="D181" s="68">
        <f t="shared" si="144"/>
        <v>-3.3374345496258993E-3</v>
      </c>
      <c r="E181" s="68">
        <f t="shared" si="144"/>
        <v>-3.3023234687464009E-3</v>
      </c>
      <c r="F181" s="68">
        <f t="shared" si="144"/>
        <v>-3.2551379383956741E-3</v>
      </c>
      <c r="G181" s="68">
        <f t="shared" si="144"/>
        <v>-3.193457334653203E-3</v>
      </c>
      <c r="H181" s="68">
        <f t="shared" si="144"/>
        <v>-3.1157810396147362E-3</v>
      </c>
      <c r="I181" s="68">
        <f t="shared" si="144"/>
        <v>-3.0225717152669745E-3</v>
      </c>
      <c r="J181" s="68">
        <f t="shared" si="144"/>
        <v>-2.917173066986101E-3</v>
      </c>
      <c r="K181" s="68">
        <f t="shared" si="144"/>
        <v>-2.8059041464357564E-3</v>
      </c>
      <c r="L181" s="68">
        <f t="shared" si="144"/>
        <v>-2.6968247901191645E-3</v>
      </c>
      <c r="M181" s="68">
        <f t="shared" si="144"/>
        <v>-2.5975276068232966E-3</v>
      </c>
      <c r="N181" s="68">
        <f t="shared" si="144"/>
        <v>-2.5131391412126307E-3</v>
      </c>
      <c r="O181" s="68">
        <f t="shared" si="144"/>
        <v>-2.4455590933764081E-3</v>
      </c>
      <c r="P181" s="68">
        <f t="shared" si="144"/>
        <v>-2.3939925174608044E-3</v>
      </c>
      <c r="Q181" s="68">
        <f t="shared" si="144"/>
        <v>-2.3560869485174689E-3</v>
      </c>
      <c r="R181" s="68">
        <f t="shared" si="144"/>
        <v>-2.3289850150901275E-3</v>
      </c>
      <c r="S181" s="68">
        <f t="shared" si="144"/>
        <v>-2.3099905621616172E-3</v>
      </c>
      <c r="T181" s="68">
        <f t="shared" si="144"/>
        <v>-2.2968642276976984E-3</v>
      </c>
      <c r="U181" s="68">
        <f t="shared" si="144"/>
        <v>-2.2878812229137034E-3</v>
      </c>
      <c r="V181" s="68">
        <f t="shared" si="144"/>
        <v>-2.2817747365055075E-3</v>
      </c>
      <c r="W181" s="68">
        <f t="shared" si="144"/>
        <v>-2.2776425451024275E-3</v>
      </c>
      <c r="X181" s="68">
        <f t="shared" si="144"/>
        <v>-2.2748549644678183E-3</v>
      </c>
      <c r="Y181" s="68">
        <f t="shared" si="144"/>
        <v>-2.2729783790321244E-3</v>
      </c>
      <c r="Z181" s="68">
        <f t="shared" si="144"/>
        <v>-2.2717168451908938E-3</v>
      </c>
      <c r="AA181" s="68">
        <f t="shared" si="144"/>
        <v>-2.2708695806929603E-3</v>
      </c>
      <c r="AB181" s="68">
        <f t="shared" si="144"/>
        <v>-2.2703009066967605E-3</v>
      </c>
      <c r="AC181" s="68">
        <f t="shared" si="144"/>
        <v>-2.2699193820295231E-3</v>
      </c>
    </row>
    <row r="182" spans="1:29" x14ac:dyDescent="0.25">
      <c r="A182" s="30" t="str">
        <f t="shared" si="142"/>
        <v>Capex costumization</v>
      </c>
      <c r="B182" s="66">
        <f>((1+B141)^B149)*B141/(((1+B141)^B149)-1)*(B139)/B153/(B150)</f>
        <v>2.964391815717463E-3</v>
      </c>
      <c r="C182" s="66">
        <f t="shared" ref="C182:AC182" si="145">((1+C141)^C149)*C141/(((1+C141)^C149)-1)*(C139)/C153/(C150)</f>
        <v>2.964391815717463E-3</v>
      </c>
      <c r="D182" s="66">
        <f t="shared" si="145"/>
        <v>2.964391815717463E-3</v>
      </c>
      <c r="E182" s="66">
        <f t="shared" si="145"/>
        <v>2.964391815717463E-3</v>
      </c>
      <c r="F182" s="66">
        <f t="shared" si="145"/>
        <v>2.964391815717463E-3</v>
      </c>
      <c r="G182" s="66">
        <f t="shared" si="145"/>
        <v>2.964391815717463E-3</v>
      </c>
      <c r="H182" s="66">
        <f t="shared" si="145"/>
        <v>2.964391815717463E-3</v>
      </c>
      <c r="I182" s="66">
        <f t="shared" si="145"/>
        <v>2.964391815717463E-3</v>
      </c>
      <c r="J182" s="66">
        <f t="shared" si="145"/>
        <v>2.964391815717463E-3</v>
      </c>
      <c r="K182" s="66">
        <f t="shared" si="145"/>
        <v>2.964391815717463E-3</v>
      </c>
      <c r="L182" s="66">
        <f t="shared" si="145"/>
        <v>2.964391815717463E-3</v>
      </c>
      <c r="M182" s="66">
        <f t="shared" si="145"/>
        <v>2.964391815717463E-3</v>
      </c>
      <c r="N182" s="66">
        <f t="shared" si="145"/>
        <v>2.964391815717463E-3</v>
      </c>
      <c r="O182" s="66">
        <f t="shared" si="145"/>
        <v>2.964391815717463E-3</v>
      </c>
      <c r="P182" s="66">
        <f t="shared" si="145"/>
        <v>2.964391815717463E-3</v>
      </c>
      <c r="Q182" s="66">
        <f t="shared" si="145"/>
        <v>2.964391815717463E-3</v>
      </c>
      <c r="R182" s="66">
        <f t="shared" si="145"/>
        <v>2.964391815717463E-3</v>
      </c>
      <c r="S182" s="66">
        <f t="shared" si="145"/>
        <v>2.964391815717463E-3</v>
      </c>
      <c r="T182" s="66">
        <f t="shared" si="145"/>
        <v>2.964391815717463E-3</v>
      </c>
      <c r="U182" s="66">
        <f t="shared" si="145"/>
        <v>2.964391815717463E-3</v>
      </c>
      <c r="V182" s="66">
        <f t="shared" si="145"/>
        <v>2.964391815717463E-3</v>
      </c>
      <c r="W182" s="66">
        <f t="shared" si="145"/>
        <v>2.964391815717463E-3</v>
      </c>
      <c r="X182" s="66">
        <f t="shared" si="145"/>
        <v>2.964391815717463E-3</v>
      </c>
      <c r="Y182" s="66">
        <f t="shared" si="145"/>
        <v>2.964391815717463E-3</v>
      </c>
      <c r="Z182" s="66">
        <f t="shared" si="145"/>
        <v>2.964391815717463E-3</v>
      </c>
      <c r="AA182" s="66">
        <f t="shared" si="145"/>
        <v>2.964391815717463E-3</v>
      </c>
      <c r="AB182" s="66">
        <f t="shared" si="145"/>
        <v>2.964391815717463E-3</v>
      </c>
      <c r="AC182" s="66">
        <f t="shared" si="145"/>
        <v>2.964391815717463E-3</v>
      </c>
    </row>
    <row r="183" spans="1:29" x14ac:dyDescent="0.25">
      <c r="A183" s="30" t="str">
        <f t="shared" si="142"/>
        <v>Residual value (costumization)</v>
      </c>
      <c r="B183" s="69">
        <f>((1+B141)^B149)*B141/(((1+B141)^B149)-1)*(B140)/B153/(B150)</f>
        <v>-7.4109795392936575E-4</v>
      </c>
      <c r="C183" s="69">
        <f t="shared" ref="C183:AC183" si="146">((1+C141)^C149)*C141/(((1+C141)^C149)-1)*(C140)/C153/(C150)</f>
        <v>-7.4109795392936575E-4</v>
      </c>
      <c r="D183" s="69">
        <f t="shared" si="146"/>
        <v>-7.4109795392936575E-4</v>
      </c>
      <c r="E183" s="69">
        <f t="shared" si="146"/>
        <v>-7.4109795392936575E-4</v>
      </c>
      <c r="F183" s="69">
        <f t="shared" si="146"/>
        <v>-7.4109795392936575E-4</v>
      </c>
      <c r="G183" s="69">
        <f t="shared" si="146"/>
        <v>-7.4109795392936575E-4</v>
      </c>
      <c r="H183" s="69">
        <f t="shared" si="146"/>
        <v>-7.4109795392936575E-4</v>
      </c>
      <c r="I183" s="69">
        <f t="shared" si="146"/>
        <v>-7.4109795392936575E-4</v>
      </c>
      <c r="J183" s="69">
        <f t="shared" si="146"/>
        <v>-7.4109795392936575E-4</v>
      </c>
      <c r="K183" s="69">
        <f t="shared" si="146"/>
        <v>-7.4109795392936575E-4</v>
      </c>
      <c r="L183" s="69">
        <f t="shared" si="146"/>
        <v>-7.4109795392936575E-4</v>
      </c>
      <c r="M183" s="69">
        <f t="shared" si="146"/>
        <v>-7.4109795392936575E-4</v>
      </c>
      <c r="N183" s="69">
        <f t="shared" si="146"/>
        <v>-7.4109795392936575E-4</v>
      </c>
      <c r="O183" s="69">
        <f t="shared" si="146"/>
        <v>-7.4109795392936575E-4</v>
      </c>
      <c r="P183" s="69">
        <f t="shared" si="146"/>
        <v>-7.4109795392936575E-4</v>
      </c>
      <c r="Q183" s="69">
        <f t="shared" si="146"/>
        <v>-7.4109795392936575E-4</v>
      </c>
      <c r="R183" s="69">
        <f t="shared" si="146"/>
        <v>-7.4109795392936575E-4</v>
      </c>
      <c r="S183" s="69">
        <f t="shared" si="146"/>
        <v>-7.4109795392936575E-4</v>
      </c>
      <c r="T183" s="69">
        <f t="shared" si="146"/>
        <v>-7.4109795392936575E-4</v>
      </c>
      <c r="U183" s="69">
        <f t="shared" si="146"/>
        <v>-7.4109795392936575E-4</v>
      </c>
      <c r="V183" s="69">
        <f t="shared" si="146"/>
        <v>-7.4109795392936575E-4</v>
      </c>
      <c r="W183" s="69">
        <f t="shared" si="146"/>
        <v>-7.4109795392936575E-4</v>
      </c>
      <c r="X183" s="69">
        <f t="shared" si="146"/>
        <v>-7.4109795392936575E-4</v>
      </c>
      <c r="Y183" s="69">
        <f t="shared" si="146"/>
        <v>-7.4109795392936575E-4</v>
      </c>
      <c r="Z183" s="69">
        <f t="shared" si="146"/>
        <v>-7.4109795392936575E-4</v>
      </c>
      <c r="AA183" s="69">
        <f t="shared" si="146"/>
        <v>-7.4109795392936575E-4</v>
      </c>
      <c r="AB183" s="69">
        <f t="shared" si="146"/>
        <v>-7.4109795392936575E-4</v>
      </c>
      <c r="AC183" s="69">
        <f t="shared" si="146"/>
        <v>-7.4109795392936575E-4</v>
      </c>
    </row>
    <row r="184" spans="1:29" x14ac:dyDescent="0.25">
      <c r="A184" s="30" t="str">
        <f t="shared" si="142"/>
        <v>Opex fix (admin, crew, insurance)</v>
      </c>
      <c r="B184" s="66">
        <f>B142/B153/(B150)</f>
        <v>2.5454545454545455E-2</v>
      </c>
      <c r="C184" s="66">
        <f t="shared" ref="C184:AC184" si="147">C142/C153/(C150)</f>
        <v>2.5454545454545455E-2</v>
      </c>
      <c r="D184" s="66">
        <f t="shared" si="147"/>
        <v>2.5454545454545455E-2</v>
      </c>
      <c r="E184" s="66">
        <f t="shared" si="147"/>
        <v>2.5454545454545455E-2</v>
      </c>
      <c r="F184" s="66">
        <f t="shared" si="147"/>
        <v>2.5454545454545455E-2</v>
      </c>
      <c r="G184" s="66">
        <f t="shared" si="147"/>
        <v>2.5454545454545455E-2</v>
      </c>
      <c r="H184" s="66">
        <f t="shared" si="147"/>
        <v>2.5454545454545455E-2</v>
      </c>
      <c r="I184" s="66">
        <f t="shared" si="147"/>
        <v>2.5454545454545455E-2</v>
      </c>
      <c r="J184" s="66">
        <f t="shared" si="147"/>
        <v>2.5454545454545455E-2</v>
      </c>
      <c r="K184" s="66">
        <f t="shared" si="147"/>
        <v>2.5454545454545455E-2</v>
      </c>
      <c r="L184" s="66">
        <f t="shared" si="147"/>
        <v>2.5454545454545455E-2</v>
      </c>
      <c r="M184" s="66">
        <f t="shared" si="147"/>
        <v>2.5454545454545455E-2</v>
      </c>
      <c r="N184" s="66">
        <f t="shared" si="147"/>
        <v>2.5454545454545455E-2</v>
      </c>
      <c r="O184" s="66">
        <f t="shared" si="147"/>
        <v>2.5454545454545455E-2</v>
      </c>
      <c r="P184" s="66">
        <f t="shared" si="147"/>
        <v>2.5454545454545455E-2</v>
      </c>
      <c r="Q184" s="66">
        <f t="shared" si="147"/>
        <v>2.5454545454545455E-2</v>
      </c>
      <c r="R184" s="66">
        <f t="shared" si="147"/>
        <v>2.5454545454545455E-2</v>
      </c>
      <c r="S184" s="66">
        <f t="shared" si="147"/>
        <v>2.5454545454545455E-2</v>
      </c>
      <c r="T184" s="66">
        <f t="shared" si="147"/>
        <v>2.5454545454545455E-2</v>
      </c>
      <c r="U184" s="66">
        <f t="shared" si="147"/>
        <v>2.5454545454545455E-2</v>
      </c>
      <c r="V184" s="66">
        <f t="shared" si="147"/>
        <v>2.5454545454545455E-2</v>
      </c>
      <c r="W184" s="66">
        <f t="shared" si="147"/>
        <v>2.5454545454545455E-2</v>
      </c>
      <c r="X184" s="66">
        <f t="shared" si="147"/>
        <v>2.5454545454545455E-2</v>
      </c>
      <c r="Y184" s="66">
        <f t="shared" si="147"/>
        <v>2.5454545454545455E-2</v>
      </c>
      <c r="Z184" s="66">
        <f t="shared" si="147"/>
        <v>2.5454545454545455E-2</v>
      </c>
      <c r="AA184" s="66">
        <f t="shared" si="147"/>
        <v>2.5454545454545455E-2</v>
      </c>
      <c r="AB184" s="66">
        <f t="shared" si="147"/>
        <v>2.5454545454545455E-2</v>
      </c>
      <c r="AC184" s="66">
        <f t="shared" si="147"/>
        <v>2.5454545454545455E-2</v>
      </c>
    </row>
    <row r="185" spans="1:29" x14ac:dyDescent="0.25">
      <c r="A185" s="30" t="str">
        <f t="shared" si="142"/>
        <v>Opex maintenance &amp; repair</v>
      </c>
      <c r="B185" s="66">
        <f>B143/B153/(B150)</f>
        <v>9.3433449937917901E-3</v>
      </c>
      <c r="C185" s="66">
        <f t="shared" ref="C185:AC185" si="148">C143/C153/(C150)</f>
        <v>9.2970119899785115E-3</v>
      </c>
      <c r="D185" s="66">
        <f t="shared" si="148"/>
        <v>9.2325922952768442E-3</v>
      </c>
      <c r="E185" s="66">
        <f t="shared" si="148"/>
        <v>9.1442753037864269E-3</v>
      </c>
      <c r="F185" s="66">
        <f t="shared" si="148"/>
        <v>9.0255867308895125E-3</v>
      </c>
      <c r="G185" s="66">
        <f t="shared" si="148"/>
        <v>8.8704378371672402E-3</v>
      </c>
      <c r="H185" s="66">
        <f t="shared" si="148"/>
        <v>8.6750540290907157E-3</v>
      </c>
      <c r="I185" s="66">
        <f t="shared" si="148"/>
        <v>8.4405990678919768E-3</v>
      </c>
      <c r="J185" s="66">
        <f t="shared" si="148"/>
        <v>8.1754835747156248E-3</v>
      </c>
      <c r="K185" s="66">
        <f t="shared" si="148"/>
        <v>7.8956022363108457E-3</v>
      </c>
      <c r="L185" s="66">
        <f t="shared" si="148"/>
        <v>7.6212284391425147E-3</v>
      </c>
      <c r="M185" s="66">
        <f t="shared" si="148"/>
        <v>7.3714603239921801E-3</v>
      </c>
      <c r="N185" s="66">
        <f t="shared" si="148"/>
        <v>7.1591929937779705E-3</v>
      </c>
      <c r="O185" s="66">
        <f t="shared" si="148"/>
        <v>6.9892048772014015E-3</v>
      </c>
      <c r="P185" s="66">
        <f t="shared" si="148"/>
        <v>6.8594963996424715E-3</v>
      </c>
      <c r="Q185" s="66">
        <f t="shared" si="148"/>
        <v>6.7641502660017215E-3</v>
      </c>
      <c r="R185" s="66">
        <f t="shared" si="148"/>
        <v>6.6959791597890972E-3</v>
      </c>
      <c r="S185" s="66">
        <f t="shared" si="148"/>
        <v>6.6482012818191881E-3</v>
      </c>
      <c r="T185" s="66">
        <f t="shared" si="148"/>
        <v>6.615183831484097E-3</v>
      </c>
      <c r="U185" s="66">
        <f t="shared" si="148"/>
        <v>6.5925883448971333E-3</v>
      </c>
      <c r="V185" s="66">
        <f t="shared" si="148"/>
        <v>6.5772283361864971E-3</v>
      </c>
      <c r="W185" s="66">
        <f t="shared" si="148"/>
        <v>6.5668343892090449E-3</v>
      </c>
      <c r="X185" s="66">
        <f t="shared" si="148"/>
        <v>6.5598226217265625E-3</v>
      </c>
      <c r="Y185" s="66">
        <f t="shared" si="148"/>
        <v>6.5551023346888592E-3</v>
      </c>
      <c r="Z185" s="66">
        <f t="shared" si="148"/>
        <v>6.5519291235335798E-3</v>
      </c>
      <c r="AA185" s="66">
        <f t="shared" si="148"/>
        <v>6.5497979487141277E-3</v>
      </c>
      <c r="AB185" s="66">
        <f t="shared" si="148"/>
        <v>6.5483675291649378E-3</v>
      </c>
      <c r="AC185" s="66">
        <f t="shared" si="148"/>
        <v>6.5474078574617092E-3</v>
      </c>
    </row>
    <row r="186" spans="1:29" x14ac:dyDescent="0.25">
      <c r="A186" s="30" t="str">
        <f t="shared" si="142"/>
        <v>Opex var (mode-fees)</v>
      </c>
      <c r="B186" s="66">
        <f>B144*B153/B153/(B150)</f>
        <v>4.4000000000000003E-3</v>
      </c>
      <c r="C186" s="66">
        <f t="shared" ref="C186:AC186" si="149">C144*C153/C153/(C150)</f>
        <v>4.4000000000000003E-3</v>
      </c>
      <c r="D186" s="66">
        <f t="shared" si="149"/>
        <v>4.4000000000000003E-3</v>
      </c>
      <c r="E186" s="66">
        <f t="shared" si="149"/>
        <v>4.4000000000000003E-3</v>
      </c>
      <c r="F186" s="66">
        <f t="shared" si="149"/>
        <v>4.4000000000000003E-3</v>
      </c>
      <c r="G186" s="66">
        <f t="shared" si="149"/>
        <v>4.4000000000000003E-3</v>
      </c>
      <c r="H186" s="66">
        <f t="shared" si="149"/>
        <v>4.4000000000000003E-3</v>
      </c>
      <c r="I186" s="66">
        <f t="shared" si="149"/>
        <v>4.4000000000000003E-3</v>
      </c>
      <c r="J186" s="66">
        <f t="shared" si="149"/>
        <v>4.4000000000000003E-3</v>
      </c>
      <c r="K186" s="66">
        <f t="shared" si="149"/>
        <v>4.4000000000000003E-3</v>
      </c>
      <c r="L186" s="66">
        <f t="shared" si="149"/>
        <v>4.4000000000000003E-3</v>
      </c>
      <c r="M186" s="66">
        <f t="shared" si="149"/>
        <v>4.4000000000000003E-3</v>
      </c>
      <c r="N186" s="66">
        <f t="shared" si="149"/>
        <v>4.4000000000000003E-3</v>
      </c>
      <c r="O186" s="66">
        <f t="shared" si="149"/>
        <v>4.4000000000000003E-3</v>
      </c>
      <c r="P186" s="66">
        <f t="shared" si="149"/>
        <v>4.4000000000000003E-3</v>
      </c>
      <c r="Q186" s="66">
        <f t="shared" si="149"/>
        <v>4.4000000000000003E-3</v>
      </c>
      <c r="R186" s="66">
        <f t="shared" si="149"/>
        <v>4.4000000000000003E-3</v>
      </c>
      <c r="S186" s="66">
        <f t="shared" si="149"/>
        <v>4.4000000000000003E-3</v>
      </c>
      <c r="T186" s="66">
        <f t="shared" si="149"/>
        <v>4.4000000000000003E-3</v>
      </c>
      <c r="U186" s="66">
        <f t="shared" si="149"/>
        <v>4.4000000000000003E-3</v>
      </c>
      <c r="V186" s="66">
        <f t="shared" si="149"/>
        <v>4.4000000000000003E-3</v>
      </c>
      <c r="W186" s="66">
        <f t="shared" si="149"/>
        <v>4.4000000000000003E-3</v>
      </c>
      <c r="X186" s="66">
        <f t="shared" si="149"/>
        <v>4.4000000000000003E-3</v>
      </c>
      <c r="Y186" s="66">
        <f t="shared" si="149"/>
        <v>4.4000000000000003E-3</v>
      </c>
      <c r="Z186" s="66">
        <f t="shared" si="149"/>
        <v>4.4000000000000003E-3</v>
      </c>
      <c r="AA186" s="66">
        <f t="shared" si="149"/>
        <v>4.4000000000000003E-3</v>
      </c>
      <c r="AB186" s="66">
        <f t="shared" si="149"/>
        <v>4.4000000000000003E-3</v>
      </c>
      <c r="AC186" s="66">
        <f t="shared" si="149"/>
        <v>4.4000000000000003E-3</v>
      </c>
    </row>
    <row r="187" spans="1:29" x14ac:dyDescent="0.25">
      <c r="A187" s="30" t="str">
        <f t="shared" si="142"/>
        <v>Fuel Cost</v>
      </c>
      <c r="B187" s="66">
        <f>B145*B146*B153/B153/(B150)</f>
        <v>1.9709416352132133E-2</v>
      </c>
      <c r="C187" s="66">
        <f t="shared" ref="C187:AC187" si="150">C145*C146*C153/C153/(C150)</f>
        <v>1.9107160164159916E-2</v>
      </c>
      <c r="D187" s="66">
        <f t="shared" si="150"/>
        <v>1.8475362143477572E-2</v>
      </c>
      <c r="E187" s="66">
        <f t="shared" si="150"/>
        <v>1.7958088595767994E-2</v>
      </c>
      <c r="F187" s="66">
        <f t="shared" si="150"/>
        <v>1.7391719100653846E-2</v>
      </c>
      <c r="G187" s="66">
        <f t="shared" si="150"/>
        <v>1.6768652297374179E-2</v>
      </c>
      <c r="H187" s="66">
        <f t="shared" si="150"/>
        <v>1.6086231247204506E-2</v>
      </c>
      <c r="I187" s="66">
        <f t="shared" si="150"/>
        <v>1.5350833831629461E-2</v>
      </c>
      <c r="J187" s="66">
        <f t="shared" si="150"/>
        <v>1.4882320379687468E-2</v>
      </c>
      <c r="K187" s="66">
        <f t="shared" si="150"/>
        <v>1.4389261535137754E-2</v>
      </c>
      <c r="L187" s="66">
        <f t="shared" si="150"/>
        <v>1.3906475270520144E-2</v>
      </c>
      <c r="M187" s="66">
        <f t="shared" si="150"/>
        <v>1.3466646239242928E-2</v>
      </c>
      <c r="N187" s="66">
        <f t="shared" si="150"/>
        <v>1.3091730925150823E-2</v>
      </c>
      <c r="O187" s="66">
        <f t="shared" si="150"/>
        <v>1.251966259252941E-2</v>
      </c>
      <c r="P187" s="66">
        <f t="shared" si="150"/>
        <v>1.202627202896769E-2</v>
      </c>
      <c r="Q187" s="66">
        <f t="shared" si="150"/>
        <v>1.159755865660772E-2</v>
      </c>
      <c r="R187" s="66">
        <f t="shared" si="150"/>
        <v>1.1218429269625008E-2</v>
      </c>
      <c r="S187" s="66">
        <f t="shared" si="150"/>
        <v>1.0875489010081596E-2</v>
      </c>
      <c r="T187" s="66">
        <f t="shared" si="150"/>
        <v>1.0577229357706507E-2</v>
      </c>
      <c r="U187" s="66">
        <f t="shared" si="150"/>
        <v>1.0296421912967875E-2</v>
      </c>
      <c r="V187" s="66">
        <f t="shared" si="150"/>
        <v>1.0027455432419691E-2</v>
      </c>
      <c r="W187" s="66">
        <f t="shared" si="150"/>
        <v>9.7664323517357536E-3</v>
      </c>
      <c r="X187" s="66">
        <f t="shared" si="150"/>
        <v>9.5106964963952208E-3</v>
      </c>
      <c r="Y187" s="66">
        <f t="shared" si="150"/>
        <v>9.3009858038399524E-3</v>
      </c>
      <c r="Z187" s="66">
        <f t="shared" si="150"/>
        <v>9.0935449501585042E-3</v>
      </c>
      <c r="AA187" s="66">
        <f t="shared" si="150"/>
        <v>8.8876025260530393E-3</v>
      </c>
      <c r="AB187" s="66">
        <f t="shared" si="150"/>
        <v>8.6826473938003516E-3</v>
      </c>
      <c r="AC187" s="66">
        <f t="shared" si="150"/>
        <v>8.478341840292853E-3</v>
      </c>
    </row>
    <row r="188" spans="1:29" x14ac:dyDescent="0.25">
      <c r="A188" s="59" t="str">
        <f>A151</f>
        <v>Market failure (av. utilization)</v>
      </c>
      <c r="B188" s="66">
        <f t="shared" ref="B188:AC188" si="151">B177/B151-B177/B150</f>
        <v>4.586801060469306E-2</v>
      </c>
      <c r="C188" s="66">
        <f t="shared" si="151"/>
        <v>4.5390254476221567E-2</v>
      </c>
      <c r="D188" s="66">
        <f t="shared" si="151"/>
        <v>4.4841625674131538E-2</v>
      </c>
      <c r="E188" s="66">
        <f t="shared" si="151"/>
        <v>4.428573118116759E-2</v>
      </c>
      <c r="F188" s="66">
        <f t="shared" si="151"/>
        <v>4.3611113332240659E-2</v>
      </c>
      <c r="G188" s="66">
        <f t="shared" si="151"/>
        <v>4.2795231719132437E-2</v>
      </c>
      <c r="H188" s="66">
        <f t="shared" si="151"/>
        <v>4.182526900990291E-2</v>
      </c>
      <c r="I188" s="66">
        <f t="shared" si="151"/>
        <v>4.0708303745459098E-2</v>
      </c>
      <c r="J188" s="66">
        <f t="shared" si="151"/>
        <v>3.9649487048063828E-2</v>
      </c>
      <c r="K188" s="66">
        <f t="shared" si="151"/>
        <v>3.8532569852315984E-2</v>
      </c>
      <c r="L188" s="66">
        <f t="shared" si="151"/>
        <v>3.7437952181408496E-2</v>
      </c>
      <c r="M188" s="66">
        <f t="shared" si="151"/>
        <v>3.6441308633568564E-2</v>
      </c>
      <c r="N188" s="66">
        <f t="shared" si="151"/>
        <v>3.5593671703094798E-2</v>
      </c>
      <c r="O188" s="66">
        <f t="shared" si="151"/>
        <v>3.4761962900830043E-2</v>
      </c>
      <c r="P188" s="66">
        <f t="shared" si="151"/>
        <v>3.4095338838324663E-2</v>
      </c>
      <c r="Q188" s="66">
        <f t="shared" si="151"/>
        <v>3.3568173836340157E-2</v>
      </c>
      <c r="R188" s="66">
        <f t="shared" si="151"/>
        <v>3.3150417876854119E-2</v>
      </c>
      <c r="S188" s="66">
        <f t="shared" si="151"/>
        <v>3.2814192709516306E-2</v>
      </c>
      <c r="T188" s="66">
        <f t="shared" si="151"/>
        <v>3.2547377847342379E-2</v>
      </c>
      <c r="U188" s="66">
        <f t="shared" si="151"/>
        <v>3.2321643046516683E-2</v>
      </c>
      <c r="V188" s="66">
        <f t="shared" si="151"/>
        <v>3.2124273349491264E-2</v>
      </c>
      <c r="W188" s="66">
        <f t="shared" si="151"/>
        <v>3.1946268715116494E-2</v>
      </c>
      <c r="X188" s="66">
        <f t="shared" si="151"/>
        <v>3.1781383808340571E-2</v>
      </c>
      <c r="Y188" s="66">
        <f t="shared" si="151"/>
        <v>3.1649261904043276E-2</v>
      </c>
      <c r="Z188" s="66">
        <f t="shared" si="151"/>
        <v>3.1523057611452604E-2</v>
      </c>
      <c r="AA188" s="66">
        <f t="shared" si="151"/>
        <v>3.1400822024878157E-2</v>
      </c>
      <c r="AB188" s="66">
        <f t="shared" si="151"/>
        <v>3.1281243874460685E-2</v>
      </c>
      <c r="AC188" s="66">
        <f t="shared" si="151"/>
        <v>3.1163443233818866E-2</v>
      </c>
    </row>
    <row r="189" spans="1:29" x14ac:dyDescent="0.25">
      <c r="A189" s="59" t="str">
        <f>A152</f>
        <v>Payload loss (fuel)</v>
      </c>
      <c r="B189" s="66">
        <f>B177/(B150-B152)-B177/B150</f>
        <v>4.2559732095678038E-3</v>
      </c>
      <c r="C189" s="66">
        <f t="shared" ref="C189:AC189" si="152">C177/(C150-C152)-C177/C150</f>
        <v>4.1964961552161117E-3</v>
      </c>
      <c r="D189" s="66">
        <f t="shared" si="152"/>
        <v>4.1245355205102308E-3</v>
      </c>
      <c r="E189" s="66">
        <f t="shared" si="152"/>
        <v>4.0437768420652914E-3</v>
      </c>
      <c r="F189" s="66">
        <f t="shared" si="152"/>
        <v>3.9412492109434094E-3</v>
      </c>
      <c r="G189" s="66">
        <f t="shared" si="152"/>
        <v>3.8117432483890101E-3</v>
      </c>
      <c r="H189" s="66">
        <f t="shared" si="152"/>
        <v>3.6507436334506371E-3</v>
      </c>
      <c r="I189" s="66">
        <f t="shared" si="152"/>
        <v>3.4558824378779218E-3</v>
      </c>
      <c r="J189" s="66">
        <f t="shared" si="152"/>
        <v>3.2423956351557842E-3</v>
      </c>
      <c r="K189" s="66">
        <f t="shared" si="152"/>
        <v>3.000360453034312E-3</v>
      </c>
      <c r="L189" s="66">
        <f t="shared" si="152"/>
        <v>2.7402425057999613E-3</v>
      </c>
      <c r="M189" s="66">
        <f t="shared" si="152"/>
        <v>2.4758327376699363E-3</v>
      </c>
      <c r="N189" s="66">
        <f t="shared" si="152"/>
        <v>2.221969270112617E-3</v>
      </c>
      <c r="O189" s="66">
        <f t="shared" si="152"/>
        <v>1.9832411995989729E-3</v>
      </c>
      <c r="P189" s="66">
        <f t="shared" si="152"/>
        <v>1.7793430407352512E-3</v>
      </c>
      <c r="Q189" s="66">
        <f t="shared" si="152"/>
        <v>1.6137279808433394E-3</v>
      </c>
      <c r="R189" s="66">
        <f t="shared" si="152"/>
        <v>1.4848665283258913E-3</v>
      </c>
      <c r="S189" s="66">
        <f t="shared" si="152"/>
        <v>1.3879053167555888E-3</v>
      </c>
      <c r="T189" s="66">
        <f t="shared" si="152"/>
        <v>1.3170475469282406E-3</v>
      </c>
      <c r="U189" s="66">
        <f t="shared" si="152"/>
        <v>1.2656878254922871E-3</v>
      </c>
      <c r="V189" s="66">
        <f t="shared" si="152"/>
        <v>1.2285819787890423E-3</v>
      </c>
      <c r="W189" s="66">
        <f t="shared" si="152"/>
        <v>1.2016025956485751E-3</v>
      </c>
      <c r="X189" s="66">
        <f t="shared" si="152"/>
        <v>1.1816755611686186E-3</v>
      </c>
      <c r="Y189" s="66">
        <f t="shared" si="152"/>
        <v>1.1674754545627497E-3</v>
      </c>
      <c r="Z189" s="66">
        <f t="shared" si="152"/>
        <v>1.1565619612914704E-3</v>
      </c>
      <c r="AA189" s="66">
        <f t="shared" si="152"/>
        <v>1.147872645199749E-3</v>
      </c>
      <c r="AB189" s="66">
        <f t="shared" si="152"/>
        <v>1.1406820404593898E-3</v>
      </c>
      <c r="AC189" s="66">
        <f t="shared" si="152"/>
        <v>1.1344983734424621E-3</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0.1301849178703009</v>
      </c>
      <c r="C191" s="67">
        <f t="shared" ref="C191:AC191" si="154">C180+C181+C182+C183+C184+C185+C186+C187+C188+C189+C190</f>
        <v>0.12879834045908395</v>
      </c>
      <c r="D191" s="67">
        <f t="shared" si="154"/>
        <v>0.12720241092968354</v>
      </c>
      <c r="E191" s="67">
        <f t="shared" si="154"/>
        <v>0.12557750088189429</v>
      </c>
      <c r="F191" s="67">
        <f t="shared" si="154"/>
        <v>0.12360103478153095</v>
      </c>
      <c r="G191" s="67">
        <f t="shared" si="154"/>
        <v>0.12120519100478705</v>
      </c>
      <c r="H191" s="67">
        <f t="shared" si="154"/>
        <v>0.11834985053087776</v>
      </c>
      <c r="I191" s="67">
        <f t="shared" si="154"/>
        <v>0.11505230804518336</v>
      </c>
      <c r="J191" s="67">
        <f t="shared" si="154"/>
        <v>0.11189766374969658</v>
      </c>
      <c r="K191" s="67">
        <f t="shared" si="154"/>
        <v>0.10855308080160889</v>
      </c>
      <c r="L191" s="67">
        <f t="shared" si="154"/>
        <v>0.10525235821296482</v>
      </c>
      <c r="M191" s="67">
        <f t="shared" si="154"/>
        <v>0.10221949414527944</v>
      </c>
      <c r="N191" s="67">
        <f t="shared" si="154"/>
        <v>9.9611083648628335E-2</v>
      </c>
      <c r="O191" s="67">
        <f t="shared" si="154"/>
        <v>9.7062053349601468E-2</v>
      </c>
      <c r="P191" s="67">
        <f t="shared" si="154"/>
        <v>9.5006421683778361E-2</v>
      </c>
      <c r="Q191" s="67">
        <f t="shared" si="154"/>
        <v>9.3376459396151718E-2</v>
      </c>
      <c r="R191" s="67">
        <f t="shared" si="154"/>
        <v>9.2087164722839704E-2</v>
      </c>
      <c r="S191" s="67">
        <f t="shared" si="154"/>
        <v>9.1056244713108817E-2</v>
      </c>
      <c r="T191" s="67">
        <f t="shared" si="154"/>
        <v>9.0244234548353897E-2</v>
      </c>
      <c r="U191" s="67">
        <f t="shared" si="154"/>
        <v>8.9565833713513232E-2</v>
      </c>
      <c r="V191" s="67">
        <f t="shared" si="154"/>
        <v>8.8980478708406044E-2</v>
      </c>
      <c r="W191" s="67">
        <f t="shared" si="154"/>
        <v>8.8459042007557886E-2</v>
      </c>
      <c r="X191" s="67">
        <f t="shared" si="154"/>
        <v>8.798110134314481E-2</v>
      </c>
      <c r="Y191" s="67">
        <f t="shared" si="154"/>
        <v>8.7599895946824213E-2</v>
      </c>
      <c r="Z191" s="67">
        <f t="shared" si="154"/>
        <v>8.7238414974134398E-2</v>
      </c>
      <c r="AA191" s="67">
        <f t="shared" si="154"/>
        <v>8.6890182362002549E-2</v>
      </c>
      <c r="AB191" s="67">
        <f t="shared" si="154"/>
        <v>8.6550830228324771E-2</v>
      </c>
      <c r="AC191" s="67">
        <f t="shared" si="154"/>
        <v>8.6217422559525025E-2</v>
      </c>
    </row>
    <row r="193" spans="2:2" x14ac:dyDescent="0.25">
      <c r="B193" s="40"/>
    </row>
    <row r="215" spans="1:44" s="3" customFormat="1" ht="21" x14ac:dyDescent="0.35">
      <c r="A215" s="2" t="str">
        <f>'Parameter Input'!A101</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Input'!$L$101</f>
        <v>390000</v>
      </c>
      <c r="C225" s="42">
        <f>'Parameter Input'!$M$101</f>
        <v>155000</v>
      </c>
      <c r="D225" s="1" t="s">
        <v>15</v>
      </c>
      <c r="L225" s="51">
        <f>'Parameter Input'!$O$101</f>
        <v>9</v>
      </c>
      <c r="M225" s="52">
        <v>0</v>
      </c>
      <c r="N225" s="52">
        <v>1</v>
      </c>
      <c r="O225" s="52">
        <f>'Parameter Input'!$P$101</f>
        <v>0.9</v>
      </c>
      <c r="P225" s="53">
        <f>'Parameter Input'!$Q$101</f>
        <v>0.4</v>
      </c>
      <c r="Q225" s="4">
        <f t="shared" ref="Q225:AR234" si="155">$N225+($M225-$N225)*((1/(1+EXP(-$P225*(Q$9-$L225)))^$O225))</f>
        <v>0.96177484161592774</v>
      </c>
      <c r="R225" s="4">
        <f t="shared" si="155"/>
        <v>0.94584787155511363</v>
      </c>
      <c r="S225" s="4">
        <f t="shared" si="155"/>
        <v>0.92370360150141495</v>
      </c>
      <c r="T225" s="4">
        <f t="shared" si="155"/>
        <v>0.89334463567658451</v>
      </c>
      <c r="U225" s="4">
        <f t="shared" si="155"/>
        <v>0.85254543874327005</v>
      </c>
      <c r="V225" s="4">
        <f t="shared" si="155"/>
        <v>0.79921300652623883</v>
      </c>
      <c r="W225" s="4">
        <f t="shared" si="155"/>
        <v>0.73204982249993378</v>
      </c>
      <c r="X225" s="4">
        <f t="shared" si="155"/>
        <v>0.65145592958786691</v>
      </c>
      <c r="Y225" s="4">
        <f t="shared" si="155"/>
        <v>0.56032247880849573</v>
      </c>
      <c r="Z225" s="4">
        <f t="shared" si="155"/>
        <v>0.46411326873185343</v>
      </c>
      <c r="AA225" s="4">
        <f t="shared" si="155"/>
        <v>0.36979727595523937</v>
      </c>
      <c r="AB225" s="4">
        <f t="shared" si="155"/>
        <v>0.28393948637231203</v>
      </c>
      <c r="AC225" s="4">
        <f t="shared" si="155"/>
        <v>0.21097259161117732</v>
      </c>
      <c r="AD225" s="4">
        <f t="shared" si="155"/>
        <v>0.15253917653798199</v>
      </c>
      <c r="AE225" s="4">
        <f t="shared" si="155"/>
        <v>0.10795188737709993</v>
      </c>
      <c r="AF225" s="4">
        <f t="shared" si="155"/>
        <v>7.5176653938091809E-2</v>
      </c>
      <c r="AG225" s="4">
        <f t="shared" si="155"/>
        <v>5.1742836177502194E-2</v>
      </c>
      <c r="AH225" s="4">
        <f t="shared" si="155"/>
        <v>3.5319190625345942E-2</v>
      </c>
      <c r="AI225" s="4">
        <f t="shared" si="155"/>
        <v>2.3969442072658165E-2</v>
      </c>
      <c r="AJ225" s="4">
        <f t="shared" si="155"/>
        <v>1.6202243558389728E-2</v>
      </c>
      <c r="AK225" s="4">
        <f t="shared" si="155"/>
        <v>1.0922240564108399E-2</v>
      </c>
      <c r="AL225" s="4">
        <f t="shared" si="155"/>
        <v>7.3493212906090566E-3</v>
      </c>
      <c r="AM225" s="4">
        <f t="shared" si="155"/>
        <v>4.9390262185057265E-3</v>
      </c>
      <c r="AN225" s="4">
        <f t="shared" si="155"/>
        <v>3.3164275492956197E-3</v>
      </c>
      <c r="AO225" s="4">
        <f t="shared" si="155"/>
        <v>2.2256362146679809E-3</v>
      </c>
      <c r="AP225" s="4">
        <f t="shared" si="155"/>
        <v>1.4930448704811861E-3</v>
      </c>
      <c r="AQ225" s="4">
        <f t="shared" si="155"/>
        <v>1.0013381504474506E-3</v>
      </c>
      <c r="AR225" s="4">
        <f t="shared" si="155"/>
        <v>6.7145100246257527E-4</v>
      </c>
    </row>
    <row r="226" spans="1:44" x14ac:dyDescent="0.25">
      <c r="A226" s="24" t="s">
        <v>28</v>
      </c>
      <c r="B226" s="60">
        <f>'Parameter Input'!$L$102</f>
        <v>-58500</v>
      </c>
      <c r="C226" s="61">
        <f>'Parameter Input'!$M$102</f>
        <v>-38750</v>
      </c>
      <c r="D226" s="1" t="s">
        <v>15</v>
      </c>
      <c r="L226" s="54">
        <f>'Parameter Input'!$O$102</f>
        <v>9</v>
      </c>
      <c r="M226" s="37">
        <v>0</v>
      </c>
      <c r="N226" s="37">
        <v>1</v>
      </c>
      <c r="O226" s="37">
        <f>'Parameter Input'!$P$102</f>
        <v>0.9</v>
      </c>
      <c r="P226" s="55">
        <f>'Parameter Input'!$Q$102</f>
        <v>0.4</v>
      </c>
      <c r="Q226" s="4">
        <f t="shared" si="155"/>
        <v>0.96177484161592774</v>
      </c>
      <c r="R226" s="4">
        <f t="shared" si="155"/>
        <v>0.94584787155511363</v>
      </c>
      <c r="S226" s="4">
        <f t="shared" si="155"/>
        <v>0.92370360150141495</v>
      </c>
      <c r="T226" s="4">
        <f t="shared" si="155"/>
        <v>0.89334463567658451</v>
      </c>
      <c r="U226" s="4">
        <f t="shared" si="155"/>
        <v>0.85254543874327005</v>
      </c>
      <c r="V226" s="4">
        <f t="shared" si="155"/>
        <v>0.79921300652623883</v>
      </c>
      <c r="W226" s="4">
        <f t="shared" si="155"/>
        <v>0.73204982249993378</v>
      </c>
      <c r="X226" s="4">
        <f t="shared" si="155"/>
        <v>0.65145592958786691</v>
      </c>
      <c r="Y226" s="4">
        <f t="shared" si="155"/>
        <v>0.56032247880849573</v>
      </c>
      <c r="Z226" s="4">
        <f t="shared" si="155"/>
        <v>0.46411326873185343</v>
      </c>
      <c r="AA226" s="4">
        <f t="shared" si="155"/>
        <v>0.36979727595523937</v>
      </c>
      <c r="AB226" s="4">
        <f t="shared" si="155"/>
        <v>0.28393948637231203</v>
      </c>
      <c r="AC226" s="4">
        <f t="shared" si="155"/>
        <v>0.21097259161117732</v>
      </c>
      <c r="AD226" s="4">
        <f t="shared" si="155"/>
        <v>0.15253917653798199</v>
      </c>
      <c r="AE226" s="4">
        <f t="shared" si="155"/>
        <v>0.10795188737709993</v>
      </c>
      <c r="AF226" s="4">
        <f t="shared" si="155"/>
        <v>7.5176653938091809E-2</v>
      </c>
      <c r="AG226" s="4">
        <f t="shared" si="155"/>
        <v>5.1742836177502194E-2</v>
      </c>
      <c r="AH226" s="4">
        <f t="shared" si="155"/>
        <v>3.5319190625345942E-2</v>
      </c>
      <c r="AI226" s="4">
        <f t="shared" si="155"/>
        <v>2.3969442072658165E-2</v>
      </c>
      <c r="AJ226" s="4">
        <f t="shared" si="155"/>
        <v>1.6202243558389728E-2</v>
      </c>
      <c r="AK226" s="4">
        <f t="shared" si="155"/>
        <v>1.0922240564108399E-2</v>
      </c>
      <c r="AL226" s="4">
        <f t="shared" si="155"/>
        <v>7.3493212906090566E-3</v>
      </c>
      <c r="AM226" s="4">
        <f t="shared" si="155"/>
        <v>4.9390262185057265E-3</v>
      </c>
      <c r="AN226" s="4">
        <f t="shared" si="155"/>
        <v>3.3164275492956197E-3</v>
      </c>
      <c r="AO226" s="4">
        <f t="shared" si="155"/>
        <v>2.2256362146679809E-3</v>
      </c>
      <c r="AP226" s="4">
        <f t="shared" si="155"/>
        <v>1.4930448704811861E-3</v>
      </c>
      <c r="AQ226" s="4">
        <f t="shared" si="155"/>
        <v>1.0013381504474506E-3</v>
      </c>
      <c r="AR226" s="4">
        <f t="shared" si="155"/>
        <v>6.7145100246257527E-4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55"/>
        <v>0.9867978615748374</v>
      </c>
      <c r="R227" s="4">
        <f t="shared" si="155"/>
        <v>0.98114509762858249</v>
      </c>
      <c r="S227" s="4">
        <f t="shared" si="155"/>
        <v>0.97311898315872036</v>
      </c>
      <c r="T227" s="4">
        <f t="shared" si="155"/>
        <v>0.96177484161592774</v>
      </c>
      <c r="U227" s="4">
        <f t="shared" si="155"/>
        <v>0.94584787155511363</v>
      </c>
      <c r="V227" s="4">
        <f t="shared" si="155"/>
        <v>0.92370360150141495</v>
      </c>
      <c r="W227" s="4">
        <f t="shared" si="155"/>
        <v>0.89334463567658451</v>
      </c>
      <c r="X227" s="4">
        <f t="shared" si="155"/>
        <v>0.85254543874327005</v>
      </c>
      <c r="Y227" s="4">
        <f t="shared" si="155"/>
        <v>0.79921300652623883</v>
      </c>
      <c r="Z227" s="4">
        <f t="shared" si="155"/>
        <v>0.73204982249993378</v>
      </c>
      <c r="AA227" s="4">
        <f t="shared" si="155"/>
        <v>0.65145592958786691</v>
      </c>
      <c r="AB227" s="4">
        <f t="shared" si="155"/>
        <v>0.56032247880849573</v>
      </c>
      <c r="AC227" s="4">
        <f t="shared" si="155"/>
        <v>0.46411326873185343</v>
      </c>
      <c r="AD227" s="4">
        <f t="shared" si="155"/>
        <v>0.36979727595523937</v>
      </c>
      <c r="AE227" s="4">
        <f t="shared" si="155"/>
        <v>0.28393948637231203</v>
      </c>
      <c r="AF227" s="4">
        <f t="shared" si="155"/>
        <v>0.21097259161117732</v>
      </c>
      <c r="AG227" s="4">
        <f t="shared" si="155"/>
        <v>0.15253917653798199</v>
      </c>
      <c r="AH227" s="4">
        <f t="shared" si="155"/>
        <v>0.10795188737709993</v>
      </c>
      <c r="AI227" s="4">
        <f t="shared" si="155"/>
        <v>7.5176653938091809E-2</v>
      </c>
      <c r="AJ227" s="4">
        <f t="shared" si="155"/>
        <v>5.1742836177502194E-2</v>
      </c>
      <c r="AK227" s="4">
        <f t="shared" si="155"/>
        <v>3.5319190625345942E-2</v>
      </c>
      <c r="AL227" s="4">
        <f t="shared" si="155"/>
        <v>2.3969442072658165E-2</v>
      </c>
      <c r="AM227" s="4">
        <f t="shared" si="155"/>
        <v>1.6202243558389728E-2</v>
      </c>
      <c r="AN227" s="4">
        <f t="shared" si="155"/>
        <v>1.0922240564108399E-2</v>
      </c>
      <c r="AO227" s="4">
        <f t="shared" si="155"/>
        <v>7.3493212906090566E-3</v>
      </c>
      <c r="AP227" s="4">
        <f t="shared" si="155"/>
        <v>4.9390262185057265E-3</v>
      </c>
      <c r="AQ227" s="4">
        <f t="shared" si="155"/>
        <v>3.3164275492956197E-3</v>
      </c>
      <c r="AR227" s="4">
        <f t="shared" si="155"/>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55"/>
        <v>0.9867978615748374</v>
      </c>
      <c r="R228" s="4">
        <f t="shared" si="155"/>
        <v>0.98114509762858249</v>
      </c>
      <c r="S228" s="4">
        <f t="shared" si="155"/>
        <v>0.97311898315872036</v>
      </c>
      <c r="T228" s="4">
        <f t="shared" si="155"/>
        <v>0.96177484161592774</v>
      </c>
      <c r="U228" s="4">
        <f t="shared" si="155"/>
        <v>0.94584787155511363</v>
      </c>
      <c r="V228" s="4">
        <f t="shared" si="155"/>
        <v>0.92370360150141495</v>
      </c>
      <c r="W228" s="4">
        <f t="shared" si="155"/>
        <v>0.89334463567658451</v>
      </c>
      <c r="X228" s="4">
        <f t="shared" si="155"/>
        <v>0.85254543874327005</v>
      </c>
      <c r="Y228" s="4">
        <f t="shared" si="155"/>
        <v>0.79921300652623883</v>
      </c>
      <c r="Z228" s="4">
        <f t="shared" si="155"/>
        <v>0.73204982249993378</v>
      </c>
      <c r="AA228" s="4">
        <f t="shared" si="155"/>
        <v>0.65145592958786691</v>
      </c>
      <c r="AB228" s="4">
        <f t="shared" si="155"/>
        <v>0.56032247880849573</v>
      </c>
      <c r="AC228" s="4">
        <f t="shared" si="155"/>
        <v>0.46411326873185343</v>
      </c>
      <c r="AD228" s="4">
        <f t="shared" si="155"/>
        <v>0.36979727595523937</v>
      </c>
      <c r="AE228" s="4">
        <f t="shared" si="155"/>
        <v>0.28393948637231203</v>
      </c>
      <c r="AF228" s="4">
        <f t="shared" si="155"/>
        <v>0.21097259161117732</v>
      </c>
      <c r="AG228" s="4">
        <f t="shared" si="155"/>
        <v>0.15253917653798199</v>
      </c>
      <c r="AH228" s="4">
        <f t="shared" si="155"/>
        <v>0.10795188737709993</v>
      </c>
      <c r="AI228" s="4">
        <f t="shared" si="155"/>
        <v>7.5176653938091809E-2</v>
      </c>
      <c r="AJ228" s="4">
        <f t="shared" si="155"/>
        <v>5.1742836177502194E-2</v>
      </c>
      <c r="AK228" s="4">
        <f t="shared" si="155"/>
        <v>3.5319190625345942E-2</v>
      </c>
      <c r="AL228" s="4">
        <f t="shared" si="155"/>
        <v>2.3969442072658165E-2</v>
      </c>
      <c r="AM228" s="4">
        <f t="shared" si="155"/>
        <v>1.6202243558389728E-2</v>
      </c>
      <c r="AN228" s="4">
        <f t="shared" si="155"/>
        <v>1.0922240564108399E-2</v>
      </c>
      <c r="AO228" s="4">
        <f t="shared" si="155"/>
        <v>7.3493212906090566E-3</v>
      </c>
      <c r="AP228" s="4">
        <f t="shared" si="155"/>
        <v>4.9390262185057265E-3</v>
      </c>
      <c r="AQ228" s="4">
        <f t="shared" si="155"/>
        <v>3.3164275492956197E-3</v>
      </c>
      <c r="AR228" s="4">
        <f t="shared" si="155"/>
        <v>2.2256362146679809E-3</v>
      </c>
    </row>
    <row r="229" spans="1:44" x14ac:dyDescent="0.25">
      <c r="A229" s="24" t="s">
        <v>79</v>
      </c>
      <c r="B229" s="45">
        <f>'Parameter Input'!$L$108</f>
        <v>0.06</v>
      </c>
      <c r="C229" s="46">
        <f>'Parameter Input'!$M$108</f>
        <v>0.06</v>
      </c>
      <c r="D229" s="1" t="s">
        <v>57</v>
      </c>
      <c r="L229" s="54">
        <f>'Parameter Input'!$O$108</f>
        <v>12</v>
      </c>
      <c r="M229" s="37">
        <v>0</v>
      </c>
      <c r="N229" s="37">
        <v>1</v>
      </c>
      <c r="O229" s="37">
        <f>'Parameter Input'!$P$108</f>
        <v>0.9</v>
      </c>
      <c r="P229" s="55">
        <f>'Parameter Input'!$Q$108</f>
        <v>0.4</v>
      </c>
      <c r="Q229" s="4">
        <f t="shared" si="155"/>
        <v>0.9867978615748374</v>
      </c>
      <c r="R229" s="4">
        <f t="shared" si="155"/>
        <v>0.98114509762858249</v>
      </c>
      <c r="S229" s="4">
        <f t="shared" si="155"/>
        <v>0.97311898315872036</v>
      </c>
      <c r="T229" s="4">
        <f t="shared" si="155"/>
        <v>0.96177484161592774</v>
      </c>
      <c r="U229" s="4">
        <f t="shared" si="155"/>
        <v>0.94584787155511363</v>
      </c>
      <c r="V229" s="4">
        <f t="shared" si="155"/>
        <v>0.92370360150141495</v>
      </c>
      <c r="W229" s="4">
        <f t="shared" si="155"/>
        <v>0.89334463567658451</v>
      </c>
      <c r="X229" s="4">
        <f t="shared" si="155"/>
        <v>0.85254543874327005</v>
      </c>
      <c r="Y229" s="4">
        <f t="shared" si="155"/>
        <v>0.79921300652623883</v>
      </c>
      <c r="Z229" s="4">
        <f t="shared" si="155"/>
        <v>0.73204982249993378</v>
      </c>
      <c r="AA229" s="4">
        <f t="shared" si="155"/>
        <v>0.65145592958786691</v>
      </c>
      <c r="AB229" s="4">
        <f t="shared" si="155"/>
        <v>0.56032247880849573</v>
      </c>
      <c r="AC229" s="4">
        <f t="shared" si="155"/>
        <v>0.46411326873185343</v>
      </c>
      <c r="AD229" s="4">
        <f t="shared" si="155"/>
        <v>0.36979727595523937</v>
      </c>
      <c r="AE229" s="4">
        <f t="shared" si="155"/>
        <v>0.28393948637231203</v>
      </c>
      <c r="AF229" s="4">
        <f t="shared" si="155"/>
        <v>0.21097259161117732</v>
      </c>
      <c r="AG229" s="4">
        <f t="shared" si="155"/>
        <v>0.15253917653798199</v>
      </c>
      <c r="AH229" s="4">
        <f t="shared" si="155"/>
        <v>0.10795188737709993</v>
      </c>
      <c r="AI229" s="4">
        <f t="shared" si="155"/>
        <v>7.5176653938091809E-2</v>
      </c>
      <c r="AJ229" s="4">
        <f t="shared" si="155"/>
        <v>5.1742836177502194E-2</v>
      </c>
      <c r="AK229" s="4">
        <f t="shared" si="155"/>
        <v>3.5319190625345942E-2</v>
      </c>
      <c r="AL229" s="4">
        <f t="shared" si="155"/>
        <v>2.3969442072658165E-2</v>
      </c>
      <c r="AM229" s="4">
        <f t="shared" si="155"/>
        <v>1.6202243558389728E-2</v>
      </c>
      <c r="AN229" s="4">
        <f t="shared" si="155"/>
        <v>1.0922240564108399E-2</v>
      </c>
      <c r="AO229" s="4">
        <f t="shared" si="155"/>
        <v>7.3493212906090566E-3</v>
      </c>
      <c r="AP229" s="4">
        <f t="shared" si="155"/>
        <v>4.9390262185057265E-3</v>
      </c>
      <c r="AQ229" s="4">
        <f t="shared" si="155"/>
        <v>3.3164275492956197E-3</v>
      </c>
      <c r="AR229" s="4">
        <f t="shared" si="155"/>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55"/>
        <v>0.9867978615748374</v>
      </c>
      <c r="R230" s="4">
        <f t="shared" si="155"/>
        <v>0.98114509762858249</v>
      </c>
      <c r="S230" s="4">
        <f t="shared" si="155"/>
        <v>0.97311898315872036</v>
      </c>
      <c r="T230" s="4">
        <f t="shared" si="155"/>
        <v>0.96177484161592774</v>
      </c>
      <c r="U230" s="4">
        <f t="shared" si="155"/>
        <v>0.94584787155511363</v>
      </c>
      <c r="V230" s="4">
        <f t="shared" si="155"/>
        <v>0.92370360150141495</v>
      </c>
      <c r="W230" s="4">
        <f t="shared" si="155"/>
        <v>0.89334463567658451</v>
      </c>
      <c r="X230" s="4">
        <f t="shared" si="155"/>
        <v>0.85254543874327005</v>
      </c>
      <c r="Y230" s="4">
        <f t="shared" si="155"/>
        <v>0.79921300652623883</v>
      </c>
      <c r="Z230" s="4">
        <f t="shared" si="155"/>
        <v>0.73204982249993378</v>
      </c>
      <c r="AA230" s="4">
        <f t="shared" si="155"/>
        <v>0.65145592958786691</v>
      </c>
      <c r="AB230" s="4">
        <f t="shared" si="155"/>
        <v>0.56032247880849573</v>
      </c>
      <c r="AC230" s="4">
        <f t="shared" si="155"/>
        <v>0.46411326873185343</v>
      </c>
      <c r="AD230" s="4">
        <f t="shared" si="155"/>
        <v>0.36979727595523937</v>
      </c>
      <c r="AE230" s="4">
        <f t="shared" si="155"/>
        <v>0.28393948637231203</v>
      </c>
      <c r="AF230" s="4">
        <f t="shared" si="155"/>
        <v>0.21097259161117732</v>
      </c>
      <c r="AG230" s="4">
        <f t="shared" si="155"/>
        <v>0.15253917653798199</v>
      </c>
      <c r="AH230" s="4">
        <f t="shared" si="155"/>
        <v>0.10795188737709993</v>
      </c>
      <c r="AI230" s="4">
        <f t="shared" si="155"/>
        <v>7.5176653938091809E-2</v>
      </c>
      <c r="AJ230" s="4">
        <f t="shared" si="155"/>
        <v>5.1742836177502194E-2</v>
      </c>
      <c r="AK230" s="4">
        <f t="shared" si="155"/>
        <v>3.5319190625345942E-2</v>
      </c>
      <c r="AL230" s="4">
        <f t="shared" si="155"/>
        <v>2.3969442072658165E-2</v>
      </c>
      <c r="AM230" s="4">
        <f t="shared" si="155"/>
        <v>1.6202243558389728E-2</v>
      </c>
      <c r="AN230" s="4">
        <f t="shared" si="155"/>
        <v>1.0922240564108399E-2</v>
      </c>
      <c r="AO230" s="4">
        <f t="shared" si="155"/>
        <v>7.3493212906090566E-3</v>
      </c>
      <c r="AP230" s="4">
        <f t="shared" si="155"/>
        <v>4.9390262185057265E-3</v>
      </c>
      <c r="AQ230" s="4">
        <f t="shared" si="155"/>
        <v>3.3164275492956197E-3</v>
      </c>
      <c r="AR230" s="4">
        <f t="shared" si="155"/>
        <v>2.2256362146679809E-3</v>
      </c>
    </row>
    <row r="231" spans="1:44" x14ac:dyDescent="0.25">
      <c r="A231" s="24" t="s">
        <v>52</v>
      </c>
      <c r="B231" s="43">
        <f>'Parameter Input'!$L$104</f>
        <v>26000</v>
      </c>
      <c r="C231" s="44">
        <f>'Parameter Input'!$M$104</f>
        <v>18000</v>
      </c>
      <c r="D231" s="1" t="s">
        <v>38</v>
      </c>
      <c r="L231" s="54">
        <f>'Parameter Input'!$O$104</f>
        <v>9</v>
      </c>
      <c r="M231" s="37">
        <v>0</v>
      </c>
      <c r="N231" s="37">
        <v>1</v>
      </c>
      <c r="O231" s="37">
        <f>'Parameter Input'!$P$104</f>
        <v>0.9</v>
      </c>
      <c r="P231" s="55">
        <f>'Parameter Input'!$Q$104</f>
        <v>0.4</v>
      </c>
      <c r="Q231" s="4">
        <f t="shared" si="155"/>
        <v>0.96177484161592774</v>
      </c>
      <c r="R231" s="4">
        <f t="shared" si="155"/>
        <v>0.94584787155511363</v>
      </c>
      <c r="S231" s="4">
        <f t="shared" si="155"/>
        <v>0.92370360150141495</v>
      </c>
      <c r="T231" s="4">
        <f t="shared" si="155"/>
        <v>0.89334463567658451</v>
      </c>
      <c r="U231" s="4">
        <f t="shared" si="155"/>
        <v>0.85254543874327005</v>
      </c>
      <c r="V231" s="4">
        <f t="shared" si="155"/>
        <v>0.79921300652623883</v>
      </c>
      <c r="W231" s="4">
        <f t="shared" si="155"/>
        <v>0.73204982249993378</v>
      </c>
      <c r="X231" s="4">
        <f t="shared" si="155"/>
        <v>0.65145592958786691</v>
      </c>
      <c r="Y231" s="4">
        <f t="shared" si="155"/>
        <v>0.56032247880849573</v>
      </c>
      <c r="Z231" s="4">
        <f t="shared" si="155"/>
        <v>0.46411326873185343</v>
      </c>
      <c r="AA231" s="4">
        <f t="shared" si="155"/>
        <v>0.36979727595523937</v>
      </c>
      <c r="AB231" s="4">
        <f t="shared" si="155"/>
        <v>0.28393948637231203</v>
      </c>
      <c r="AC231" s="4">
        <f t="shared" si="155"/>
        <v>0.21097259161117732</v>
      </c>
      <c r="AD231" s="4">
        <f t="shared" si="155"/>
        <v>0.15253917653798199</v>
      </c>
      <c r="AE231" s="4">
        <f t="shared" si="155"/>
        <v>0.10795188737709993</v>
      </c>
      <c r="AF231" s="4">
        <f t="shared" si="155"/>
        <v>7.5176653938091809E-2</v>
      </c>
      <c r="AG231" s="4">
        <f t="shared" si="155"/>
        <v>5.1742836177502194E-2</v>
      </c>
      <c r="AH231" s="4">
        <f t="shared" si="155"/>
        <v>3.5319190625345942E-2</v>
      </c>
      <c r="AI231" s="4">
        <f t="shared" si="155"/>
        <v>2.3969442072658165E-2</v>
      </c>
      <c r="AJ231" s="4">
        <f t="shared" si="155"/>
        <v>1.6202243558389728E-2</v>
      </c>
      <c r="AK231" s="4">
        <f t="shared" si="155"/>
        <v>1.0922240564108399E-2</v>
      </c>
      <c r="AL231" s="4">
        <f t="shared" si="155"/>
        <v>7.3493212906090566E-3</v>
      </c>
      <c r="AM231" s="4">
        <f t="shared" si="155"/>
        <v>4.9390262185057265E-3</v>
      </c>
      <c r="AN231" s="4">
        <f t="shared" si="155"/>
        <v>3.3164275492956197E-3</v>
      </c>
      <c r="AO231" s="4">
        <f t="shared" si="155"/>
        <v>2.2256362146679809E-3</v>
      </c>
      <c r="AP231" s="4">
        <f t="shared" si="155"/>
        <v>1.4930448704811861E-3</v>
      </c>
      <c r="AQ231" s="4">
        <f t="shared" si="155"/>
        <v>1.0013381504474506E-3</v>
      </c>
      <c r="AR231" s="4">
        <f t="shared" si="155"/>
        <v>6.7145100246257527E-4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55"/>
        <v>0.9867978615748374</v>
      </c>
      <c r="R232" s="4">
        <f t="shared" si="155"/>
        <v>0.98114509762858249</v>
      </c>
      <c r="S232" s="4">
        <f t="shared" si="155"/>
        <v>0.97311898315872036</v>
      </c>
      <c r="T232" s="4">
        <f t="shared" si="155"/>
        <v>0.96177484161592774</v>
      </c>
      <c r="U232" s="4">
        <f t="shared" si="155"/>
        <v>0.94584787155511363</v>
      </c>
      <c r="V232" s="4">
        <f t="shared" si="155"/>
        <v>0.92370360150141495</v>
      </c>
      <c r="W232" s="4">
        <f t="shared" si="155"/>
        <v>0.89334463567658451</v>
      </c>
      <c r="X232" s="4">
        <f t="shared" si="155"/>
        <v>0.85254543874327005</v>
      </c>
      <c r="Y232" s="4">
        <f t="shared" si="155"/>
        <v>0.79921300652623883</v>
      </c>
      <c r="Z232" s="4">
        <f t="shared" si="155"/>
        <v>0.73204982249993378</v>
      </c>
      <c r="AA232" s="4">
        <f t="shared" si="155"/>
        <v>0.65145592958786691</v>
      </c>
      <c r="AB232" s="4">
        <f t="shared" si="155"/>
        <v>0.56032247880849573</v>
      </c>
      <c r="AC232" s="4">
        <f t="shared" si="155"/>
        <v>0.46411326873185343</v>
      </c>
      <c r="AD232" s="4">
        <f t="shared" si="155"/>
        <v>0.36979727595523937</v>
      </c>
      <c r="AE232" s="4">
        <f t="shared" si="155"/>
        <v>0.28393948637231203</v>
      </c>
      <c r="AF232" s="4">
        <f t="shared" si="155"/>
        <v>0.21097259161117732</v>
      </c>
      <c r="AG232" s="4">
        <f t="shared" si="155"/>
        <v>0.15253917653798199</v>
      </c>
      <c r="AH232" s="4">
        <f t="shared" si="155"/>
        <v>0.10795188737709993</v>
      </c>
      <c r="AI232" s="4">
        <f t="shared" si="155"/>
        <v>7.5176653938091809E-2</v>
      </c>
      <c r="AJ232" s="4">
        <f t="shared" si="155"/>
        <v>5.1742836177502194E-2</v>
      </c>
      <c r="AK232" s="4">
        <f t="shared" si="155"/>
        <v>3.5319190625345942E-2</v>
      </c>
      <c r="AL232" s="4">
        <f t="shared" si="155"/>
        <v>2.3969442072658165E-2</v>
      </c>
      <c r="AM232" s="4">
        <f t="shared" si="155"/>
        <v>1.6202243558389728E-2</v>
      </c>
      <c r="AN232" s="4">
        <f t="shared" si="155"/>
        <v>1.0922240564108399E-2</v>
      </c>
      <c r="AO232" s="4">
        <f t="shared" si="155"/>
        <v>7.3493212906090566E-3</v>
      </c>
      <c r="AP232" s="4">
        <f t="shared" si="155"/>
        <v>4.9390262185057265E-3</v>
      </c>
      <c r="AQ232" s="4">
        <f t="shared" si="155"/>
        <v>3.3164275492956197E-3</v>
      </c>
      <c r="AR232" s="4">
        <f t="shared" si="155"/>
        <v>2.2256362146679809E-3</v>
      </c>
    </row>
    <row r="233" spans="1:44" x14ac:dyDescent="0.25">
      <c r="A233" s="24" t="s">
        <v>59</v>
      </c>
      <c r="B233" s="47">
        <f>'Parameter Input'!$L$105</f>
        <v>2.5299999999999998</v>
      </c>
      <c r="C233" s="48">
        <f>'Parameter Input'!$M$105</f>
        <v>1.79</v>
      </c>
      <c r="D233" s="1" t="s">
        <v>60</v>
      </c>
      <c r="L233" s="54">
        <f>'Parameter Input'!$O$105</f>
        <v>9</v>
      </c>
      <c r="M233" s="37">
        <v>0</v>
      </c>
      <c r="N233" s="37">
        <v>1</v>
      </c>
      <c r="O233" s="37">
        <f>'Parameter Input'!$P$105</f>
        <v>0.9</v>
      </c>
      <c r="P233" s="55">
        <f>'Parameter Input'!$Q$105</f>
        <v>0.4</v>
      </c>
      <c r="Q233" s="4">
        <f t="shared" si="155"/>
        <v>0.96177484161592774</v>
      </c>
      <c r="R233" s="4">
        <f t="shared" si="155"/>
        <v>0.94584787155511363</v>
      </c>
      <c r="S233" s="4">
        <f t="shared" si="155"/>
        <v>0.92370360150141495</v>
      </c>
      <c r="T233" s="4">
        <f t="shared" si="155"/>
        <v>0.89334463567658451</v>
      </c>
      <c r="U233" s="4">
        <f t="shared" si="155"/>
        <v>0.85254543874327005</v>
      </c>
      <c r="V233" s="4">
        <f t="shared" si="155"/>
        <v>0.79921300652623883</v>
      </c>
      <c r="W233" s="4">
        <f t="shared" si="155"/>
        <v>0.73204982249993378</v>
      </c>
      <c r="X233" s="4">
        <f t="shared" si="155"/>
        <v>0.65145592958786691</v>
      </c>
      <c r="Y233" s="4">
        <f t="shared" si="155"/>
        <v>0.56032247880849573</v>
      </c>
      <c r="Z233" s="4">
        <f t="shared" si="155"/>
        <v>0.46411326873185343</v>
      </c>
      <c r="AA233" s="4">
        <f t="shared" si="155"/>
        <v>0.36979727595523937</v>
      </c>
      <c r="AB233" s="4">
        <f t="shared" si="155"/>
        <v>0.28393948637231203</v>
      </c>
      <c r="AC233" s="4">
        <f t="shared" si="155"/>
        <v>0.21097259161117732</v>
      </c>
      <c r="AD233" s="4">
        <f t="shared" si="155"/>
        <v>0.15253917653798199</v>
      </c>
      <c r="AE233" s="4">
        <f t="shared" si="155"/>
        <v>0.10795188737709993</v>
      </c>
      <c r="AF233" s="4">
        <f t="shared" si="155"/>
        <v>7.5176653938091809E-2</v>
      </c>
      <c r="AG233" s="4">
        <f t="shared" si="155"/>
        <v>5.1742836177502194E-2</v>
      </c>
      <c r="AH233" s="4">
        <f t="shared" si="155"/>
        <v>3.5319190625345942E-2</v>
      </c>
      <c r="AI233" s="4">
        <f t="shared" si="155"/>
        <v>2.3969442072658165E-2</v>
      </c>
      <c r="AJ233" s="4">
        <f t="shared" si="155"/>
        <v>1.6202243558389728E-2</v>
      </c>
      <c r="AK233" s="4">
        <f t="shared" si="155"/>
        <v>1.0922240564108399E-2</v>
      </c>
      <c r="AL233" s="4">
        <f t="shared" si="155"/>
        <v>7.3493212906090566E-3</v>
      </c>
      <c r="AM233" s="4">
        <f t="shared" si="155"/>
        <v>4.9390262185057265E-3</v>
      </c>
      <c r="AN233" s="4">
        <f t="shared" si="155"/>
        <v>3.3164275492956197E-3</v>
      </c>
      <c r="AO233" s="4">
        <f t="shared" si="155"/>
        <v>2.2256362146679809E-3</v>
      </c>
      <c r="AP233" s="4">
        <f t="shared" si="155"/>
        <v>1.4930448704811861E-3</v>
      </c>
      <c r="AQ233" s="4">
        <f t="shared" si="155"/>
        <v>1.0013381504474506E-3</v>
      </c>
      <c r="AR233" s="4">
        <f t="shared" si="155"/>
        <v>6.7145100246257527E-4</v>
      </c>
    </row>
    <row r="234" spans="1:44" x14ac:dyDescent="0.25">
      <c r="A234" s="24" t="s">
        <v>67</v>
      </c>
      <c r="B234" s="45">
        <f>'Parameter Input'!$L$106</f>
        <v>0.2544561408768215</v>
      </c>
      <c r="C234" s="46">
        <f>'Parameter Input'!$M$106</f>
        <v>0.10949010032952979</v>
      </c>
      <c r="D234" s="1" t="s">
        <v>68</v>
      </c>
      <c r="L234" s="54">
        <f>'Parameter Input'!$O$106</f>
        <v>12</v>
      </c>
      <c r="M234" s="37">
        <v>0</v>
      </c>
      <c r="N234" s="37">
        <v>1</v>
      </c>
      <c r="O234" s="37">
        <f>'Parameter Input'!$P$106</f>
        <v>0.9</v>
      </c>
      <c r="P234" s="55">
        <f>'Parameter Input'!$Q$106</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Input'!$L$109</f>
        <v>0</v>
      </c>
      <c r="C235" s="116">
        <f>'Parameter Input'!$M$109</f>
        <v>0</v>
      </c>
      <c r="D235" s="1" t="s">
        <v>76</v>
      </c>
      <c r="L235" s="54">
        <f>'Parameter Input'!$O$109</f>
        <v>17</v>
      </c>
      <c r="M235" s="37">
        <v>0</v>
      </c>
      <c r="N235" s="37">
        <v>1</v>
      </c>
      <c r="O235" s="37">
        <f>'Parameter Input'!$P$109</f>
        <v>0.9</v>
      </c>
      <c r="P235" s="55">
        <f>'Parameter Input'!$Q$109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43">
        <f>'Parameter Input'!$L$103</f>
        <v>8</v>
      </c>
      <c r="C236" s="44">
        <f>'Parameter Input'!$M$103</f>
        <v>8</v>
      </c>
      <c r="D236" s="1" t="s">
        <v>42</v>
      </c>
      <c r="L236" s="54">
        <f>'Parameter Input'!$O$103</f>
        <v>9</v>
      </c>
      <c r="M236" s="37">
        <v>0</v>
      </c>
      <c r="N236" s="37">
        <v>1</v>
      </c>
      <c r="O236" s="37">
        <f>'Parameter Input'!$P$103</f>
        <v>0.9</v>
      </c>
      <c r="P236" s="55">
        <f>'Parameter Input'!$Q$103</f>
        <v>0.4</v>
      </c>
      <c r="Q236" s="4">
        <f t="shared" ref="Q236:AF241" si="159">$N236+($M236-$N236)*((1/(1+EXP(-$P236*(Q$9-$L236)))^$O236))</f>
        <v>0.96177484161592774</v>
      </c>
      <c r="R236" s="4">
        <f t="shared" si="159"/>
        <v>0.94584787155511363</v>
      </c>
      <c r="S236" s="4">
        <f t="shared" si="159"/>
        <v>0.92370360150141495</v>
      </c>
      <c r="T236" s="4">
        <f t="shared" si="159"/>
        <v>0.89334463567658451</v>
      </c>
      <c r="U236" s="4">
        <f t="shared" si="159"/>
        <v>0.85254543874327005</v>
      </c>
      <c r="V236" s="4">
        <f t="shared" si="159"/>
        <v>0.79921300652623883</v>
      </c>
      <c r="W236" s="4">
        <f t="shared" si="159"/>
        <v>0.73204982249993378</v>
      </c>
      <c r="X236" s="4">
        <f t="shared" si="159"/>
        <v>0.65145592958786691</v>
      </c>
      <c r="Y236" s="4">
        <f t="shared" si="159"/>
        <v>0.56032247880849573</v>
      </c>
      <c r="Z236" s="4">
        <f t="shared" si="159"/>
        <v>0.46411326873185343</v>
      </c>
      <c r="AA236" s="4">
        <f t="shared" si="159"/>
        <v>0.36979727595523937</v>
      </c>
      <c r="AB236" s="4">
        <f t="shared" si="159"/>
        <v>0.28393948637231203</v>
      </c>
      <c r="AC236" s="4">
        <f t="shared" si="159"/>
        <v>0.21097259161117732</v>
      </c>
      <c r="AD236" s="4">
        <f t="shared" si="159"/>
        <v>0.15253917653798199</v>
      </c>
      <c r="AE236" s="4">
        <f t="shared" si="159"/>
        <v>0.10795188737709993</v>
      </c>
      <c r="AF236" s="4">
        <f t="shared" si="159"/>
        <v>7.5176653938091809E-2</v>
      </c>
      <c r="AG236" s="4">
        <f t="shared" si="156"/>
        <v>5.1742836177502194E-2</v>
      </c>
      <c r="AH236" s="4">
        <f t="shared" si="156"/>
        <v>3.5319190625345942E-2</v>
      </c>
      <c r="AI236" s="4">
        <f t="shared" si="156"/>
        <v>2.3969442072658165E-2</v>
      </c>
      <c r="AJ236" s="4">
        <f t="shared" si="157"/>
        <v>1.6202243558389728E-2</v>
      </c>
      <c r="AK236" s="4">
        <f t="shared" si="157"/>
        <v>1.0922240564108399E-2</v>
      </c>
      <c r="AL236" s="4">
        <f t="shared" si="157"/>
        <v>7.3493212906090566E-3</v>
      </c>
      <c r="AM236" s="4">
        <f t="shared" si="157"/>
        <v>4.9390262185057265E-3</v>
      </c>
      <c r="AN236" s="4">
        <f t="shared" si="157"/>
        <v>3.3164275492956197E-3</v>
      </c>
      <c r="AO236" s="4">
        <f t="shared" si="157"/>
        <v>2.2256362146679809E-3</v>
      </c>
      <c r="AP236" s="4">
        <f t="shared" si="157"/>
        <v>1.4930448704811861E-3</v>
      </c>
      <c r="AQ236" s="4">
        <f t="shared" si="157"/>
        <v>1.0013381504474506E-3</v>
      </c>
      <c r="AR236" s="4">
        <f t="shared" si="157"/>
        <v>6.7145100246257527E-4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59"/>
        <v>0.9867978615748374</v>
      </c>
      <c r="R237" s="4">
        <f t="shared" si="159"/>
        <v>0.98114509762858249</v>
      </c>
      <c r="S237" s="4">
        <f t="shared" si="159"/>
        <v>0.97311898315872036</v>
      </c>
      <c r="T237" s="4">
        <f t="shared" si="159"/>
        <v>0.96177484161592774</v>
      </c>
      <c r="U237" s="4">
        <f t="shared" si="159"/>
        <v>0.94584787155511363</v>
      </c>
      <c r="V237" s="4">
        <f t="shared" si="159"/>
        <v>0.92370360150141495</v>
      </c>
      <c r="W237" s="4">
        <f t="shared" si="159"/>
        <v>0.89334463567658451</v>
      </c>
      <c r="X237" s="4">
        <f t="shared" si="159"/>
        <v>0.85254543874327005</v>
      </c>
      <c r="Y237" s="4">
        <f t="shared" si="159"/>
        <v>0.79921300652623883</v>
      </c>
      <c r="Z237" s="4">
        <f t="shared" si="159"/>
        <v>0.73204982249993378</v>
      </c>
      <c r="AA237" s="4">
        <f t="shared" si="159"/>
        <v>0.65145592958786691</v>
      </c>
      <c r="AB237" s="4">
        <f t="shared" si="159"/>
        <v>0.56032247880849573</v>
      </c>
      <c r="AC237" s="4">
        <f t="shared" si="159"/>
        <v>0.46411326873185343</v>
      </c>
      <c r="AD237" s="4">
        <f t="shared" si="159"/>
        <v>0.36979727595523937</v>
      </c>
      <c r="AE237" s="4">
        <f t="shared" si="159"/>
        <v>0.28393948637231203</v>
      </c>
      <c r="AF237" s="4">
        <f t="shared" si="159"/>
        <v>0.21097259161117732</v>
      </c>
      <c r="AG237" s="4">
        <f t="shared" si="156"/>
        <v>0.15253917653798199</v>
      </c>
      <c r="AH237" s="4">
        <f t="shared" si="156"/>
        <v>0.10795188737709993</v>
      </c>
      <c r="AI237" s="4">
        <f t="shared" si="156"/>
        <v>7.5176653938091809E-2</v>
      </c>
      <c r="AJ237" s="4">
        <f t="shared" si="157"/>
        <v>5.1742836177502194E-2</v>
      </c>
      <c r="AK237" s="4">
        <f t="shared" si="157"/>
        <v>3.5319190625345942E-2</v>
      </c>
      <c r="AL237" s="4">
        <f t="shared" si="157"/>
        <v>2.3969442072658165E-2</v>
      </c>
      <c r="AM237" s="4">
        <f t="shared" si="157"/>
        <v>1.6202243558389728E-2</v>
      </c>
      <c r="AN237" s="4">
        <f t="shared" si="157"/>
        <v>1.0922240564108399E-2</v>
      </c>
      <c r="AO237" s="4">
        <f t="shared" si="157"/>
        <v>7.3493212906090566E-3</v>
      </c>
      <c r="AP237" s="4">
        <f t="shared" si="157"/>
        <v>4.9390262185057265E-3</v>
      </c>
      <c r="AQ237" s="4">
        <f t="shared" si="157"/>
        <v>3.3164275492956197E-3</v>
      </c>
      <c r="AR237" s="4">
        <f t="shared" si="157"/>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59"/>
        <v>0.9867978615748374</v>
      </c>
      <c r="R238" s="4">
        <f t="shared" si="159"/>
        <v>0.98114509762858249</v>
      </c>
      <c r="S238" s="4">
        <f t="shared" si="159"/>
        <v>0.97311898315872036</v>
      </c>
      <c r="T238" s="4">
        <f t="shared" si="159"/>
        <v>0.96177484161592774</v>
      </c>
      <c r="U238" s="4">
        <f t="shared" si="159"/>
        <v>0.94584787155511363</v>
      </c>
      <c r="V238" s="4">
        <f t="shared" si="159"/>
        <v>0.92370360150141495</v>
      </c>
      <c r="W238" s="4">
        <f t="shared" si="159"/>
        <v>0.89334463567658451</v>
      </c>
      <c r="X238" s="4">
        <f t="shared" si="159"/>
        <v>0.85254543874327005</v>
      </c>
      <c r="Y238" s="4">
        <f t="shared" si="159"/>
        <v>0.79921300652623883</v>
      </c>
      <c r="Z238" s="4">
        <f t="shared" si="159"/>
        <v>0.73204982249993378</v>
      </c>
      <c r="AA238" s="4">
        <f t="shared" si="159"/>
        <v>0.65145592958786691</v>
      </c>
      <c r="AB238" s="4">
        <f t="shared" si="159"/>
        <v>0.56032247880849573</v>
      </c>
      <c r="AC238" s="4">
        <f t="shared" si="159"/>
        <v>0.46411326873185343</v>
      </c>
      <c r="AD238" s="4">
        <f t="shared" si="159"/>
        <v>0.36979727595523937</v>
      </c>
      <c r="AE238" s="4">
        <f t="shared" si="159"/>
        <v>0.28393948637231203</v>
      </c>
      <c r="AF238" s="4">
        <f t="shared" si="159"/>
        <v>0.21097259161117732</v>
      </c>
      <c r="AG238" s="4">
        <f t="shared" si="156"/>
        <v>0.15253917653798199</v>
      </c>
      <c r="AH238" s="4">
        <f t="shared" si="156"/>
        <v>0.10795188737709993</v>
      </c>
      <c r="AI238" s="4">
        <f t="shared" si="156"/>
        <v>7.5176653938091809E-2</v>
      </c>
      <c r="AJ238" s="4">
        <f t="shared" si="157"/>
        <v>5.1742836177502194E-2</v>
      </c>
      <c r="AK238" s="4">
        <f t="shared" si="157"/>
        <v>3.5319190625345942E-2</v>
      </c>
      <c r="AL238" s="4">
        <f t="shared" si="157"/>
        <v>2.3969442072658165E-2</v>
      </c>
      <c r="AM238" s="4">
        <f t="shared" si="157"/>
        <v>1.6202243558389728E-2</v>
      </c>
      <c r="AN238" s="4">
        <f t="shared" si="157"/>
        <v>1.0922240564108399E-2</v>
      </c>
      <c r="AO238" s="4">
        <f t="shared" si="157"/>
        <v>7.3493212906090566E-3</v>
      </c>
      <c r="AP238" s="4">
        <f t="shared" si="157"/>
        <v>4.9390262185057265E-3</v>
      </c>
      <c r="AQ238" s="4">
        <f t="shared" si="157"/>
        <v>3.3164275492956197E-3</v>
      </c>
      <c r="AR238" s="4">
        <f t="shared" si="157"/>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59"/>
        <v>0.9867978615748374</v>
      </c>
      <c r="R239" s="4">
        <f t="shared" si="159"/>
        <v>0.98114509762858249</v>
      </c>
      <c r="S239" s="4">
        <f t="shared" si="159"/>
        <v>0.97311898315872036</v>
      </c>
      <c r="T239" s="4">
        <f t="shared" si="159"/>
        <v>0.96177484161592774</v>
      </c>
      <c r="U239" s="4">
        <f t="shared" si="159"/>
        <v>0.94584787155511363</v>
      </c>
      <c r="V239" s="4">
        <f t="shared" si="159"/>
        <v>0.92370360150141495</v>
      </c>
      <c r="W239" s="4">
        <f t="shared" si="159"/>
        <v>0.89334463567658451</v>
      </c>
      <c r="X239" s="4">
        <f t="shared" si="159"/>
        <v>0.85254543874327005</v>
      </c>
      <c r="Y239" s="4">
        <f t="shared" si="159"/>
        <v>0.79921300652623883</v>
      </c>
      <c r="Z239" s="4">
        <f t="shared" si="159"/>
        <v>0.73204982249993378</v>
      </c>
      <c r="AA239" s="4">
        <f t="shared" si="159"/>
        <v>0.65145592958786691</v>
      </c>
      <c r="AB239" s="4">
        <f t="shared" si="159"/>
        <v>0.56032247880849573</v>
      </c>
      <c r="AC239" s="4">
        <f t="shared" si="159"/>
        <v>0.46411326873185343</v>
      </c>
      <c r="AD239" s="4">
        <f t="shared" si="159"/>
        <v>0.36979727595523937</v>
      </c>
      <c r="AE239" s="4">
        <f t="shared" si="159"/>
        <v>0.28393948637231203</v>
      </c>
      <c r="AF239" s="4">
        <f t="shared" si="159"/>
        <v>0.21097259161117732</v>
      </c>
      <c r="AG239" s="4">
        <f t="shared" si="156"/>
        <v>0.15253917653798199</v>
      </c>
      <c r="AH239" s="4">
        <f t="shared" si="156"/>
        <v>0.10795188737709993</v>
      </c>
      <c r="AI239" s="4">
        <f t="shared" si="156"/>
        <v>7.5176653938091809E-2</v>
      </c>
      <c r="AJ239" s="4">
        <f t="shared" si="157"/>
        <v>5.1742836177502194E-2</v>
      </c>
      <c r="AK239" s="4">
        <f t="shared" si="157"/>
        <v>3.5319190625345942E-2</v>
      </c>
      <c r="AL239" s="4">
        <f t="shared" si="157"/>
        <v>2.3969442072658165E-2</v>
      </c>
      <c r="AM239" s="4">
        <f t="shared" si="157"/>
        <v>1.6202243558389728E-2</v>
      </c>
      <c r="AN239" s="4">
        <f t="shared" si="157"/>
        <v>1.0922240564108399E-2</v>
      </c>
      <c r="AO239" s="4">
        <f t="shared" si="157"/>
        <v>7.3493212906090566E-3</v>
      </c>
      <c r="AP239" s="4">
        <f t="shared" si="157"/>
        <v>4.9390262185057265E-3</v>
      </c>
      <c r="AQ239" s="4">
        <f t="shared" si="157"/>
        <v>3.3164275492956197E-3</v>
      </c>
      <c r="AR239" s="4">
        <f t="shared" si="157"/>
        <v>2.2256362146679809E-3</v>
      </c>
    </row>
    <row r="240" spans="1:44" x14ac:dyDescent="0.25">
      <c r="A240" s="24" t="s">
        <v>73</v>
      </c>
      <c r="B240" s="72">
        <f>'Parameter Input'!$L$107</f>
        <v>0.05</v>
      </c>
      <c r="C240" s="73">
        <f>'Parameter Input'!$M$107</f>
        <v>0.02</v>
      </c>
      <c r="D240" s="1" t="s">
        <v>57</v>
      </c>
      <c r="L240" s="54">
        <f>'Parameter Input'!$O$107</f>
        <v>12</v>
      </c>
      <c r="M240" s="37">
        <v>0</v>
      </c>
      <c r="N240" s="37">
        <v>1</v>
      </c>
      <c r="O240" s="37">
        <f>'Parameter Input'!$P$107</f>
        <v>0.9</v>
      </c>
      <c r="P240" s="55">
        <f>'Parameter Input'!$Q$107</f>
        <v>0.4</v>
      </c>
      <c r="Q240" s="4">
        <f t="shared" si="159"/>
        <v>0.9867978615748374</v>
      </c>
      <c r="R240" s="4">
        <f t="shared" si="159"/>
        <v>0.98114509762858249</v>
      </c>
      <c r="S240" s="4">
        <f t="shared" si="159"/>
        <v>0.97311898315872036</v>
      </c>
      <c r="T240" s="4">
        <f t="shared" si="159"/>
        <v>0.96177484161592774</v>
      </c>
      <c r="U240" s="4">
        <f t="shared" si="159"/>
        <v>0.94584787155511363</v>
      </c>
      <c r="V240" s="4">
        <f t="shared" si="159"/>
        <v>0.92370360150141495</v>
      </c>
      <c r="W240" s="4">
        <f t="shared" si="159"/>
        <v>0.89334463567658451</v>
      </c>
      <c r="X240" s="4">
        <f t="shared" si="159"/>
        <v>0.85254543874327005</v>
      </c>
      <c r="Y240" s="4">
        <f t="shared" si="159"/>
        <v>0.79921300652623883</v>
      </c>
      <c r="Z240" s="4">
        <f t="shared" si="159"/>
        <v>0.73204982249993378</v>
      </c>
      <c r="AA240" s="4">
        <f t="shared" si="159"/>
        <v>0.65145592958786691</v>
      </c>
      <c r="AB240" s="4">
        <f t="shared" si="159"/>
        <v>0.56032247880849573</v>
      </c>
      <c r="AC240" s="4">
        <f t="shared" si="159"/>
        <v>0.46411326873185343</v>
      </c>
      <c r="AD240" s="4">
        <f t="shared" si="159"/>
        <v>0.36979727595523937</v>
      </c>
      <c r="AE240" s="4">
        <f t="shared" si="159"/>
        <v>0.28393948637231203</v>
      </c>
      <c r="AF240" s="4">
        <f t="shared" si="159"/>
        <v>0.21097259161117732</v>
      </c>
      <c r="AG240" s="4">
        <f t="shared" si="156"/>
        <v>0.15253917653798199</v>
      </c>
      <c r="AH240" s="4">
        <f t="shared" si="156"/>
        <v>0.10795188737709993</v>
      </c>
      <c r="AI240" s="4">
        <f t="shared" si="156"/>
        <v>7.5176653938091809E-2</v>
      </c>
      <c r="AJ240" s="4">
        <f t="shared" si="157"/>
        <v>5.1742836177502194E-2</v>
      </c>
      <c r="AK240" s="4">
        <f t="shared" si="157"/>
        <v>3.5319190625345942E-2</v>
      </c>
      <c r="AL240" s="4">
        <f t="shared" si="157"/>
        <v>2.3969442072658165E-2</v>
      </c>
      <c r="AM240" s="4">
        <f t="shared" si="157"/>
        <v>1.6202243558389728E-2</v>
      </c>
      <c r="AN240" s="4">
        <f t="shared" si="157"/>
        <v>1.0922240564108399E-2</v>
      </c>
      <c r="AO240" s="4">
        <f t="shared" si="157"/>
        <v>7.3493212906090566E-3</v>
      </c>
      <c r="AP240" s="4">
        <f t="shared" si="157"/>
        <v>4.9390262185057265E-3</v>
      </c>
      <c r="AQ240" s="4">
        <f t="shared" si="157"/>
        <v>3.3164275492956197E-3</v>
      </c>
      <c r="AR240" s="4">
        <f t="shared" si="157"/>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59"/>
        <v>0.9867978615748374</v>
      </c>
      <c r="R241" s="4">
        <f t="shared" si="159"/>
        <v>0.98114509762858249</v>
      </c>
      <c r="S241" s="4">
        <f t="shared" si="159"/>
        <v>0.97311898315872036</v>
      </c>
      <c r="T241" s="4">
        <f t="shared" si="159"/>
        <v>0.96177484161592774</v>
      </c>
      <c r="U241" s="4">
        <f t="shared" si="159"/>
        <v>0.94584787155511363</v>
      </c>
      <c r="V241" s="4">
        <f t="shared" si="159"/>
        <v>0.92370360150141495</v>
      </c>
      <c r="W241" s="4">
        <f t="shared" si="159"/>
        <v>0.89334463567658451</v>
      </c>
      <c r="X241" s="4">
        <f t="shared" si="159"/>
        <v>0.85254543874327005</v>
      </c>
      <c r="Y241" s="4">
        <f t="shared" si="159"/>
        <v>0.79921300652623883</v>
      </c>
      <c r="Z241" s="4">
        <f t="shared" si="159"/>
        <v>0.73204982249993378</v>
      </c>
      <c r="AA241" s="4">
        <f t="shared" si="159"/>
        <v>0.65145592958786691</v>
      </c>
      <c r="AB241" s="4">
        <f t="shared" si="159"/>
        <v>0.56032247880849573</v>
      </c>
      <c r="AC241" s="4">
        <f t="shared" si="159"/>
        <v>0.46411326873185343</v>
      </c>
      <c r="AD241" s="4">
        <f t="shared" si="159"/>
        <v>0.36979727595523937</v>
      </c>
      <c r="AE241" s="4">
        <f t="shared" si="159"/>
        <v>0.28393948637231203</v>
      </c>
      <c r="AF241" s="4">
        <f t="shared" si="159"/>
        <v>0.21097259161117732</v>
      </c>
      <c r="AG241" s="4">
        <f t="shared" si="156"/>
        <v>0.15253917653798199</v>
      </c>
      <c r="AH241" s="4">
        <f t="shared" si="156"/>
        <v>0.10795188737709993</v>
      </c>
      <c r="AI241" s="4">
        <f t="shared" si="156"/>
        <v>7.5176653938091809E-2</v>
      </c>
      <c r="AJ241" s="4">
        <f t="shared" si="157"/>
        <v>5.1742836177502194E-2</v>
      </c>
      <c r="AK241" s="4">
        <f t="shared" si="157"/>
        <v>3.5319190625345942E-2</v>
      </c>
      <c r="AL241" s="4">
        <f t="shared" si="157"/>
        <v>2.3969442072658165E-2</v>
      </c>
      <c r="AM241" s="4">
        <f t="shared" si="157"/>
        <v>1.6202243558389728E-2</v>
      </c>
      <c r="AN241" s="4">
        <f t="shared" si="157"/>
        <v>1.0922240564108399E-2</v>
      </c>
      <c r="AO241" s="4">
        <f t="shared" si="157"/>
        <v>7.3493212906090566E-3</v>
      </c>
      <c r="AP241" s="4">
        <f t="shared" si="157"/>
        <v>4.9390262185057265E-3</v>
      </c>
      <c r="AQ241" s="4">
        <f t="shared" si="157"/>
        <v>3.3164275492956197E-3</v>
      </c>
      <c r="AR241" s="4">
        <f t="shared" si="157"/>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381017.08777974301</v>
      </c>
      <c r="C245" s="62">
        <f t="shared" ref="C245:C253" si="162">$B225+($C225-$B225)*(1-R225)</f>
        <v>377274.24981545168</v>
      </c>
      <c r="D245" s="62">
        <f t="shared" ref="D245:D253" si="163">$B225+($C225-$B225)*(1-S225)</f>
        <v>372070.34635283251</v>
      </c>
      <c r="E245" s="62">
        <f t="shared" ref="E245:E253" si="164">$B225+($C225-$B225)*(1-T225)</f>
        <v>364935.98938399734</v>
      </c>
      <c r="F245" s="62">
        <f t="shared" ref="F245:F253" si="165">$B225+($C225-$B225)*(1-U225)</f>
        <v>355348.17810466845</v>
      </c>
      <c r="G245" s="62">
        <f t="shared" ref="G245:G253" si="166">$B225+($C225-$B225)*(1-V225)</f>
        <v>342815.05653366609</v>
      </c>
      <c r="H245" s="62">
        <f t="shared" ref="H245:H253" si="167">$B225+($C225-$B225)*(1-W225)</f>
        <v>327031.70828748442</v>
      </c>
      <c r="I245" s="62">
        <f t="shared" ref="I245:I253" si="168">$B225+($C225-$B225)*(1-X225)</f>
        <v>308092.14345314872</v>
      </c>
      <c r="J245" s="62">
        <f t="shared" ref="J245:J253" si="169">$B225+($C225-$B225)*(1-Y225)</f>
        <v>286675.78251999652</v>
      </c>
      <c r="K245" s="62">
        <f t="shared" ref="K245:K253" si="170">$B225+($C225-$B225)*(1-Z225)</f>
        <v>264066.61815198557</v>
      </c>
      <c r="L245" s="62">
        <f t="shared" ref="L245:L253" si="171">$B225+($C225-$B225)*(1-AA225)</f>
        <v>241902.35984948126</v>
      </c>
      <c r="M245" s="62">
        <f t="shared" ref="M245:M253" si="172">$B225+($C225-$B225)*(1-AB225)</f>
        <v>221725.77929749334</v>
      </c>
      <c r="N245" s="62">
        <f t="shared" ref="N245:N253" si="173">$B225+($C225-$B225)*(1-AC225)</f>
        <v>204578.55902862668</v>
      </c>
      <c r="O245" s="62">
        <f t="shared" ref="O245:O253" si="174">$B225+($C225-$B225)*(1-AD225)</f>
        <v>190846.70648642577</v>
      </c>
      <c r="P245" s="62">
        <f t="shared" ref="P245:P253" si="175">$B225+($C225-$B225)*(1-AE225)</f>
        <v>180368.6935336185</v>
      </c>
      <c r="Q245" s="62">
        <f t="shared" ref="Q245:Q253" si="176">$B225+($C225-$B225)*(1-AF225)</f>
        <v>172666.51367545157</v>
      </c>
      <c r="R245" s="62">
        <f t="shared" ref="R245:R253" si="177">$B225+($C225-$B225)*(1-AG225)</f>
        <v>167159.56650171301</v>
      </c>
      <c r="S245" s="62">
        <f t="shared" ref="S245:S253" si="178">$B225+($C225-$B225)*(1-AH225)</f>
        <v>163300.00979695629</v>
      </c>
      <c r="T245" s="62">
        <f t="shared" ref="T245:T253" si="179">$B225+($C225-$B225)*(1-AI225)</f>
        <v>160632.81888707468</v>
      </c>
      <c r="U245" s="62">
        <f t="shared" ref="U245:U253" si="180">$B225+($C225-$B225)*(1-AJ225)</f>
        <v>158807.52723622159</v>
      </c>
      <c r="V245" s="62">
        <f t="shared" ref="V245:V253" si="181">$B225+($C225-$B225)*(1-AK225)</f>
        <v>157566.72653256549</v>
      </c>
      <c r="W245" s="62">
        <f t="shared" ref="W245:W253" si="182">$B225+($C225-$B225)*(1-AL225)</f>
        <v>156727.09050329312</v>
      </c>
      <c r="X245" s="62">
        <f t="shared" ref="X245:X253" si="183">$B225+($C225-$B225)*(1-AM225)</f>
        <v>156160.67116134884</v>
      </c>
      <c r="Y245" s="62">
        <f t="shared" ref="Y245:Y253" si="184">$B225+($C225-$B225)*(1-AN225)</f>
        <v>155779.36047408447</v>
      </c>
      <c r="Z245" s="62">
        <f t="shared" ref="Z245:Z253" si="185">$B225+($C225-$B225)*(1-AO225)</f>
        <v>155523.02451044696</v>
      </c>
      <c r="AA245" s="62">
        <f t="shared" ref="AA245:AA253" si="186">$B225+($C225-$B225)*(1-AP225)</f>
        <v>155350.86554456307</v>
      </c>
      <c r="AB245" s="62">
        <f t="shared" ref="AB245:AB253" si="187">$B225+($C225-$B225)*(1-AQ225)</f>
        <v>155235.31446535516</v>
      </c>
      <c r="AC245" s="62">
        <f t="shared" ref="AC245:AC253" si="188">$B225+($C225-$B225)*(1-AR225)</f>
        <v>155157.7909855787</v>
      </c>
    </row>
    <row r="246" spans="1:44" x14ac:dyDescent="0.25">
      <c r="A246" s="30" t="str">
        <f t="shared" si="160"/>
        <v>Residual value (vehicle)</v>
      </c>
      <c r="B246" s="62">
        <f t="shared" si="161"/>
        <v>-57745.053121914571</v>
      </c>
      <c r="C246" s="62">
        <f t="shared" si="162"/>
        <v>-57430.49546321349</v>
      </c>
      <c r="D246" s="62">
        <f t="shared" si="163"/>
        <v>-56993.146129652945</v>
      </c>
      <c r="E246" s="62">
        <f t="shared" si="164"/>
        <v>-56393.556554612544</v>
      </c>
      <c r="F246" s="62">
        <f t="shared" si="165"/>
        <v>-55587.772415179585</v>
      </c>
      <c r="G246" s="62">
        <f t="shared" si="166"/>
        <v>-54534.456878893216</v>
      </c>
      <c r="H246" s="62">
        <f t="shared" si="167"/>
        <v>-53207.983994373695</v>
      </c>
      <c r="I246" s="62">
        <f t="shared" si="168"/>
        <v>-51616.254609360374</v>
      </c>
      <c r="J246" s="62">
        <f t="shared" si="169"/>
        <v>-49816.368956467792</v>
      </c>
      <c r="K246" s="62">
        <f t="shared" si="170"/>
        <v>-47916.237057454106</v>
      </c>
      <c r="L246" s="62">
        <f t="shared" si="171"/>
        <v>-46053.49620011598</v>
      </c>
      <c r="M246" s="62">
        <f t="shared" si="172"/>
        <v>-44357.804855853159</v>
      </c>
      <c r="N246" s="62">
        <f t="shared" si="173"/>
        <v>-42916.708684320751</v>
      </c>
      <c r="O246" s="62">
        <f t="shared" si="174"/>
        <v>-41762.648736625146</v>
      </c>
      <c r="P246" s="62">
        <f t="shared" si="175"/>
        <v>-40882.049775697727</v>
      </c>
      <c r="Q246" s="62">
        <f t="shared" si="176"/>
        <v>-40234.73891527731</v>
      </c>
      <c r="R246" s="62">
        <f t="shared" si="177"/>
        <v>-39771.921014505671</v>
      </c>
      <c r="S246" s="62">
        <f t="shared" si="178"/>
        <v>-39447.554014850582</v>
      </c>
      <c r="T246" s="62">
        <f t="shared" si="179"/>
        <v>-39223.396480935</v>
      </c>
      <c r="U246" s="62">
        <f t="shared" si="180"/>
        <v>-39069.994310278198</v>
      </c>
      <c r="V246" s="62">
        <f t="shared" si="181"/>
        <v>-38965.714251141137</v>
      </c>
      <c r="W246" s="62">
        <f t="shared" si="182"/>
        <v>-38895.149095489527</v>
      </c>
      <c r="X246" s="62">
        <f t="shared" si="183"/>
        <v>-38847.545767815493</v>
      </c>
      <c r="Y246" s="62">
        <f t="shared" si="184"/>
        <v>-38815.49944409859</v>
      </c>
      <c r="Z246" s="62">
        <f t="shared" si="185"/>
        <v>-38793.956315239688</v>
      </c>
      <c r="AA246" s="62">
        <f t="shared" si="186"/>
        <v>-38779.487636192003</v>
      </c>
      <c r="AB246" s="62">
        <f t="shared" si="187"/>
        <v>-38769.776428471334</v>
      </c>
      <c r="AC246" s="62">
        <f t="shared" si="188"/>
        <v>-38763.261157298635</v>
      </c>
    </row>
    <row r="247" spans="1:44" x14ac:dyDescent="0.25">
      <c r="A247" s="30" t="str">
        <f t="shared" si="160"/>
        <v>Capex costumization</v>
      </c>
      <c r="B247" s="62">
        <f t="shared" si="161"/>
        <v>30000</v>
      </c>
      <c r="C247" s="62">
        <f t="shared" si="162"/>
        <v>30000</v>
      </c>
      <c r="D247" s="62">
        <f t="shared" si="163"/>
        <v>30000</v>
      </c>
      <c r="E247" s="62">
        <f t="shared" si="164"/>
        <v>30000</v>
      </c>
      <c r="F247" s="62">
        <f t="shared" si="165"/>
        <v>30000</v>
      </c>
      <c r="G247" s="62">
        <f t="shared" si="166"/>
        <v>30000</v>
      </c>
      <c r="H247" s="62">
        <f t="shared" si="167"/>
        <v>30000</v>
      </c>
      <c r="I247" s="62">
        <f t="shared" si="168"/>
        <v>30000</v>
      </c>
      <c r="J247" s="62">
        <f t="shared" si="169"/>
        <v>30000</v>
      </c>
      <c r="K247" s="62">
        <f t="shared" si="170"/>
        <v>30000</v>
      </c>
      <c r="L247" s="62">
        <f t="shared" si="171"/>
        <v>30000</v>
      </c>
      <c r="M247" s="62">
        <f t="shared" si="172"/>
        <v>30000</v>
      </c>
      <c r="N247" s="62">
        <f t="shared" si="173"/>
        <v>30000</v>
      </c>
      <c r="O247" s="62">
        <f t="shared" si="174"/>
        <v>30000</v>
      </c>
      <c r="P247" s="62">
        <f t="shared" si="175"/>
        <v>30000</v>
      </c>
      <c r="Q247" s="62">
        <f t="shared" si="176"/>
        <v>30000</v>
      </c>
      <c r="R247" s="62">
        <f t="shared" si="177"/>
        <v>30000</v>
      </c>
      <c r="S247" s="62">
        <f t="shared" si="178"/>
        <v>30000</v>
      </c>
      <c r="T247" s="62">
        <f t="shared" si="179"/>
        <v>30000</v>
      </c>
      <c r="U247" s="62">
        <f t="shared" si="180"/>
        <v>30000</v>
      </c>
      <c r="V247" s="62">
        <f t="shared" si="181"/>
        <v>30000</v>
      </c>
      <c r="W247" s="62">
        <f t="shared" si="182"/>
        <v>30000</v>
      </c>
      <c r="X247" s="62">
        <f t="shared" si="183"/>
        <v>30000</v>
      </c>
      <c r="Y247" s="62">
        <f t="shared" si="184"/>
        <v>30000</v>
      </c>
      <c r="Z247" s="62">
        <f t="shared" si="185"/>
        <v>30000</v>
      </c>
      <c r="AA247" s="62">
        <f t="shared" si="186"/>
        <v>30000</v>
      </c>
      <c r="AB247" s="62">
        <f t="shared" si="187"/>
        <v>30000</v>
      </c>
      <c r="AC247" s="62">
        <f t="shared" si="188"/>
        <v>30000</v>
      </c>
    </row>
    <row r="248" spans="1:44" x14ac:dyDescent="0.25">
      <c r="A248" s="30" t="str">
        <f t="shared" si="160"/>
        <v>Residual value (costumization)</v>
      </c>
      <c r="B248" s="62">
        <f t="shared" si="161"/>
        <v>-7500</v>
      </c>
      <c r="C248" s="62">
        <f t="shared" si="162"/>
        <v>-7500</v>
      </c>
      <c r="D248" s="62">
        <f t="shared" si="163"/>
        <v>-7500</v>
      </c>
      <c r="E248" s="62">
        <f t="shared" si="164"/>
        <v>-7500</v>
      </c>
      <c r="F248" s="62">
        <f t="shared" si="165"/>
        <v>-7500</v>
      </c>
      <c r="G248" s="62">
        <f t="shared" si="166"/>
        <v>-7500</v>
      </c>
      <c r="H248" s="62">
        <f t="shared" si="167"/>
        <v>-7500</v>
      </c>
      <c r="I248" s="62">
        <f t="shared" si="168"/>
        <v>-7500</v>
      </c>
      <c r="J248" s="62">
        <f t="shared" si="169"/>
        <v>-7500</v>
      </c>
      <c r="K248" s="62">
        <f t="shared" si="170"/>
        <v>-7500</v>
      </c>
      <c r="L248" s="62">
        <f t="shared" si="171"/>
        <v>-7500</v>
      </c>
      <c r="M248" s="62">
        <f t="shared" si="172"/>
        <v>-7500</v>
      </c>
      <c r="N248" s="62">
        <f t="shared" si="173"/>
        <v>-7500</v>
      </c>
      <c r="O248" s="62">
        <f t="shared" si="174"/>
        <v>-7500</v>
      </c>
      <c r="P248" s="62">
        <f t="shared" si="175"/>
        <v>-7500</v>
      </c>
      <c r="Q248" s="62">
        <f t="shared" si="176"/>
        <v>-7500</v>
      </c>
      <c r="R248" s="62">
        <f t="shared" si="177"/>
        <v>-7500</v>
      </c>
      <c r="S248" s="62">
        <f t="shared" si="178"/>
        <v>-7500</v>
      </c>
      <c r="T248" s="62">
        <f t="shared" si="179"/>
        <v>-7500</v>
      </c>
      <c r="U248" s="62">
        <f t="shared" si="180"/>
        <v>-7500</v>
      </c>
      <c r="V248" s="62">
        <f t="shared" si="181"/>
        <v>-7500</v>
      </c>
      <c r="W248" s="62">
        <f t="shared" si="182"/>
        <v>-7500</v>
      </c>
      <c r="X248" s="62">
        <f t="shared" si="183"/>
        <v>-7500</v>
      </c>
      <c r="Y248" s="62">
        <f t="shared" si="184"/>
        <v>-7500</v>
      </c>
      <c r="Z248" s="62">
        <f t="shared" si="185"/>
        <v>-7500</v>
      </c>
      <c r="AA248" s="62">
        <f t="shared" si="186"/>
        <v>-7500</v>
      </c>
      <c r="AB248" s="62">
        <f t="shared" si="187"/>
        <v>-7500</v>
      </c>
      <c r="AC248" s="62">
        <f t="shared" si="188"/>
        <v>-7500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70000</v>
      </c>
      <c r="C250" s="62">
        <f t="shared" si="162"/>
        <v>70000</v>
      </c>
      <c r="D250" s="62">
        <f t="shared" si="163"/>
        <v>70000</v>
      </c>
      <c r="E250" s="62">
        <f t="shared" si="164"/>
        <v>70000</v>
      </c>
      <c r="F250" s="62">
        <f t="shared" si="165"/>
        <v>70000</v>
      </c>
      <c r="G250" s="62">
        <f t="shared" si="166"/>
        <v>70000</v>
      </c>
      <c r="H250" s="62">
        <f t="shared" si="167"/>
        <v>70000</v>
      </c>
      <c r="I250" s="62">
        <f t="shared" si="168"/>
        <v>70000</v>
      </c>
      <c r="J250" s="62">
        <f t="shared" si="169"/>
        <v>70000</v>
      </c>
      <c r="K250" s="62">
        <f t="shared" si="170"/>
        <v>70000</v>
      </c>
      <c r="L250" s="62">
        <f t="shared" si="171"/>
        <v>70000</v>
      </c>
      <c r="M250" s="62">
        <f t="shared" si="172"/>
        <v>70000</v>
      </c>
      <c r="N250" s="62">
        <f t="shared" si="173"/>
        <v>70000</v>
      </c>
      <c r="O250" s="62">
        <f t="shared" si="174"/>
        <v>70000</v>
      </c>
      <c r="P250" s="62">
        <f t="shared" si="175"/>
        <v>70000</v>
      </c>
      <c r="Q250" s="62">
        <f t="shared" si="176"/>
        <v>70000</v>
      </c>
      <c r="R250" s="62">
        <f t="shared" si="177"/>
        <v>70000</v>
      </c>
      <c r="S250" s="62">
        <f t="shared" si="178"/>
        <v>70000</v>
      </c>
      <c r="T250" s="62">
        <f t="shared" si="179"/>
        <v>70000</v>
      </c>
      <c r="U250" s="62">
        <f t="shared" si="180"/>
        <v>70000</v>
      </c>
      <c r="V250" s="62">
        <f t="shared" si="181"/>
        <v>70000</v>
      </c>
      <c r="W250" s="62">
        <f t="shared" si="182"/>
        <v>70000</v>
      </c>
      <c r="X250" s="62">
        <f t="shared" si="183"/>
        <v>70000</v>
      </c>
      <c r="Y250" s="62">
        <f t="shared" si="184"/>
        <v>70000</v>
      </c>
      <c r="Z250" s="62">
        <f t="shared" si="185"/>
        <v>70000</v>
      </c>
      <c r="AA250" s="62">
        <f t="shared" si="186"/>
        <v>70000</v>
      </c>
      <c r="AB250" s="62">
        <f t="shared" si="187"/>
        <v>70000</v>
      </c>
      <c r="AC250" s="62">
        <f t="shared" si="188"/>
        <v>70000</v>
      </c>
    </row>
    <row r="251" spans="1:44" x14ac:dyDescent="0.25">
      <c r="A251" s="30" t="str">
        <f t="shared" si="160"/>
        <v>Opex maintenance &amp; repair</v>
      </c>
      <c r="B251" s="62">
        <f t="shared" si="161"/>
        <v>25694.198732927423</v>
      </c>
      <c r="C251" s="62">
        <f t="shared" si="162"/>
        <v>25566.782972440909</v>
      </c>
      <c r="D251" s="62">
        <f t="shared" si="163"/>
        <v>25389.62881201132</v>
      </c>
      <c r="E251" s="62">
        <f t="shared" si="164"/>
        <v>25146.757085412675</v>
      </c>
      <c r="F251" s="62">
        <f t="shared" si="165"/>
        <v>24820.363509946161</v>
      </c>
      <c r="G251" s="62">
        <f t="shared" si="166"/>
        <v>24393.704052209912</v>
      </c>
      <c r="H251" s="62">
        <f t="shared" si="167"/>
        <v>23856.39857999947</v>
      </c>
      <c r="I251" s="62">
        <f t="shared" si="168"/>
        <v>23211.647436702937</v>
      </c>
      <c r="J251" s="62">
        <f t="shared" si="169"/>
        <v>22482.579830467967</v>
      </c>
      <c r="K251" s="62">
        <f t="shared" si="170"/>
        <v>21712.906149854825</v>
      </c>
      <c r="L251" s="62">
        <f t="shared" si="171"/>
        <v>20958.378207641916</v>
      </c>
      <c r="M251" s="62">
        <f t="shared" si="172"/>
        <v>20271.515890978495</v>
      </c>
      <c r="N251" s="62">
        <f t="shared" si="173"/>
        <v>19687.78073288942</v>
      </c>
      <c r="O251" s="62">
        <f t="shared" si="174"/>
        <v>19220.313412303854</v>
      </c>
      <c r="P251" s="62">
        <f t="shared" si="175"/>
        <v>18863.615099016799</v>
      </c>
      <c r="Q251" s="62">
        <f t="shared" si="176"/>
        <v>18601.413231504735</v>
      </c>
      <c r="R251" s="62">
        <f t="shared" si="177"/>
        <v>18413.942689420019</v>
      </c>
      <c r="S251" s="62">
        <f t="shared" si="178"/>
        <v>18282.553525002768</v>
      </c>
      <c r="T251" s="62">
        <f t="shared" si="179"/>
        <v>18191.755536581266</v>
      </c>
      <c r="U251" s="62">
        <f t="shared" si="180"/>
        <v>18129.617948467116</v>
      </c>
      <c r="V251" s="62">
        <f t="shared" si="181"/>
        <v>18087.377924512868</v>
      </c>
      <c r="W251" s="62">
        <f t="shared" si="182"/>
        <v>18058.794570324873</v>
      </c>
      <c r="X251" s="62">
        <f t="shared" si="183"/>
        <v>18039.512209748045</v>
      </c>
      <c r="Y251" s="62">
        <f t="shared" si="184"/>
        <v>18026.531420394364</v>
      </c>
      <c r="Z251" s="62">
        <f t="shared" si="185"/>
        <v>18017.805089717345</v>
      </c>
      <c r="AA251" s="62">
        <f t="shared" si="186"/>
        <v>18011.94435896385</v>
      </c>
      <c r="AB251" s="62">
        <f t="shared" si="187"/>
        <v>18008.010705203578</v>
      </c>
      <c r="AC251" s="62">
        <f t="shared" si="188"/>
        <v>18005.371608019701</v>
      </c>
    </row>
    <row r="252" spans="1:44" x14ac:dyDescent="0.25">
      <c r="A252" s="30" t="str">
        <f t="shared" si="160"/>
        <v>Opex var (mode-fees)</v>
      </c>
      <c r="B252" s="62">
        <f t="shared" si="161"/>
        <v>0.11</v>
      </c>
      <c r="C252" s="62">
        <f t="shared" si="162"/>
        <v>0.11</v>
      </c>
      <c r="D252" s="62">
        <f t="shared" si="163"/>
        <v>0.11</v>
      </c>
      <c r="E252" s="62">
        <f t="shared" si="164"/>
        <v>0.11</v>
      </c>
      <c r="F252" s="62">
        <f t="shared" si="165"/>
        <v>0.11</v>
      </c>
      <c r="G252" s="62">
        <f t="shared" si="166"/>
        <v>0.11</v>
      </c>
      <c r="H252" s="62">
        <f t="shared" si="167"/>
        <v>0.11</v>
      </c>
      <c r="I252" s="62">
        <f t="shared" si="168"/>
        <v>0.11</v>
      </c>
      <c r="J252" s="62">
        <f t="shared" si="169"/>
        <v>0.11</v>
      </c>
      <c r="K252" s="62">
        <f t="shared" si="170"/>
        <v>0.11</v>
      </c>
      <c r="L252" s="62">
        <f t="shared" si="171"/>
        <v>0.11</v>
      </c>
      <c r="M252" s="62">
        <f t="shared" si="172"/>
        <v>0.11</v>
      </c>
      <c r="N252" s="62">
        <f t="shared" si="173"/>
        <v>0.11</v>
      </c>
      <c r="O252" s="62">
        <f t="shared" si="174"/>
        <v>0.11</v>
      </c>
      <c r="P252" s="62">
        <f t="shared" si="175"/>
        <v>0.11</v>
      </c>
      <c r="Q252" s="62">
        <f t="shared" si="176"/>
        <v>0.11</v>
      </c>
      <c r="R252" s="62">
        <f t="shared" si="177"/>
        <v>0.11</v>
      </c>
      <c r="S252" s="62">
        <f t="shared" si="178"/>
        <v>0.11</v>
      </c>
      <c r="T252" s="62">
        <f t="shared" si="179"/>
        <v>0.11</v>
      </c>
      <c r="U252" s="62">
        <f t="shared" si="180"/>
        <v>0.11</v>
      </c>
      <c r="V252" s="62">
        <f t="shared" si="181"/>
        <v>0.11</v>
      </c>
      <c r="W252" s="62">
        <f t="shared" si="182"/>
        <v>0.11</v>
      </c>
      <c r="X252" s="62">
        <f t="shared" si="183"/>
        <v>0.11</v>
      </c>
      <c r="Y252" s="62">
        <f t="shared" si="184"/>
        <v>0.11</v>
      </c>
      <c r="Z252" s="62">
        <f t="shared" si="185"/>
        <v>0.11</v>
      </c>
      <c r="AA252" s="62">
        <f t="shared" si="186"/>
        <v>0.11</v>
      </c>
      <c r="AB252" s="62">
        <f t="shared" si="187"/>
        <v>0.11</v>
      </c>
      <c r="AC252" s="62">
        <f t="shared" si="188"/>
        <v>0.11</v>
      </c>
    </row>
    <row r="253" spans="1:44" x14ac:dyDescent="0.25">
      <c r="A253" s="30" t="str">
        <f t="shared" si="160"/>
        <v>Fuel Economy</v>
      </c>
      <c r="B253" s="62">
        <f t="shared" si="161"/>
        <v>2.5017133827957863</v>
      </c>
      <c r="C253" s="62">
        <f t="shared" si="162"/>
        <v>2.4899274249507841</v>
      </c>
      <c r="D253" s="62">
        <f t="shared" si="163"/>
        <v>2.473540665111047</v>
      </c>
      <c r="E253" s="62">
        <f t="shared" si="164"/>
        <v>2.4510750304006725</v>
      </c>
      <c r="F253" s="62">
        <f t="shared" si="165"/>
        <v>2.4208836246700196</v>
      </c>
      <c r="G253" s="62">
        <f t="shared" si="166"/>
        <v>2.3814176248294165</v>
      </c>
      <c r="H253" s="62">
        <f t="shared" si="167"/>
        <v>2.3317168686499508</v>
      </c>
      <c r="I253" s="62">
        <f t="shared" si="168"/>
        <v>2.2720773878950213</v>
      </c>
      <c r="J253" s="62">
        <f t="shared" si="169"/>
        <v>2.2046386343182869</v>
      </c>
      <c r="K253" s="62">
        <f t="shared" si="170"/>
        <v>2.1334438188615716</v>
      </c>
      <c r="L253" s="62">
        <f t="shared" si="171"/>
        <v>2.0636499842068772</v>
      </c>
      <c r="M253" s="62">
        <f t="shared" si="172"/>
        <v>2.0001152199155108</v>
      </c>
      <c r="N253" s="62">
        <f t="shared" si="173"/>
        <v>1.9461197177922713</v>
      </c>
      <c r="O253" s="62">
        <f t="shared" si="174"/>
        <v>1.9028789906381067</v>
      </c>
      <c r="P253" s="62">
        <f t="shared" si="175"/>
        <v>1.8698843966590539</v>
      </c>
      <c r="Q253" s="62">
        <f t="shared" si="176"/>
        <v>1.845630723914188</v>
      </c>
      <c r="R253" s="62">
        <f t="shared" si="177"/>
        <v>1.8282896987713517</v>
      </c>
      <c r="S253" s="62">
        <f t="shared" si="178"/>
        <v>1.816136201062756</v>
      </c>
      <c r="T253" s="62">
        <f t="shared" si="179"/>
        <v>1.8077373871337672</v>
      </c>
      <c r="U253" s="62">
        <f t="shared" si="180"/>
        <v>1.8019896602332084</v>
      </c>
      <c r="V253" s="62">
        <f t="shared" si="181"/>
        <v>1.7980824580174404</v>
      </c>
      <c r="W253" s="62">
        <f t="shared" si="182"/>
        <v>1.7954384977550508</v>
      </c>
      <c r="X253" s="62">
        <f t="shared" si="183"/>
        <v>1.7936548794016942</v>
      </c>
      <c r="Y253" s="62">
        <f t="shared" si="184"/>
        <v>1.7924541563864786</v>
      </c>
      <c r="Z253" s="62">
        <f t="shared" si="185"/>
        <v>1.7916469707988543</v>
      </c>
      <c r="AA253" s="62">
        <f t="shared" si="186"/>
        <v>1.791104853204156</v>
      </c>
      <c r="AB253" s="62">
        <f t="shared" si="187"/>
        <v>1.7907409902313312</v>
      </c>
      <c r="AC253" s="62">
        <f t="shared" si="188"/>
        <v>1.7904968737418223</v>
      </c>
    </row>
    <row r="254" spans="1:44" x14ac:dyDescent="0.25">
      <c r="A254" s="30" t="str">
        <f t="shared" si="160"/>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8</v>
      </c>
      <c r="C256" s="62">
        <f t="shared" ref="C256:L258" si="191">$B236+($C236-$B236)*(1-R236)</f>
        <v>8</v>
      </c>
      <c r="D256" s="62">
        <f t="shared" si="191"/>
        <v>8</v>
      </c>
      <c r="E256" s="62">
        <f t="shared" si="191"/>
        <v>8</v>
      </c>
      <c r="F256" s="62">
        <f t="shared" si="191"/>
        <v>8</v>
      </c>
      <c r="G256" s="62">
        <f t="shared" si="191"/>
        <v>8</v>
      </c>
      <c r="H256" s="62">
        <f t="shared" si="191"/>
        <v>8</v>
      </c>
      <c r="I256" s="62">
        <f t="shared" si="191"/>
        <v>8</v>
      </c>
      <c r="J256" s="62">
        <f t="shared" si="191"/>
        <v>8</v>
      </c>
      <c r="K256" s="62">
        <f t="shared" si="191"/>
        <v>8</v>
      </c>
      <c r="L256" s="62">
        <f t="shared" si="191"/>
        <v>8</v>
      </c>
      <c r="M256" s="62">
        <f t="shared" ref="M256:V258" si="192">$B236+($C236-$B236)*(1-AB236)</f>
        <v>8</v>
      </c>
      <c r="N256" s="62">
        <f t="shared" si="192"/>
        <v>8</v>
      </c>
      <c r="O256" s="62">
        <f t="shared" si="192"/>
        <v>8</v>
      </c>
      <c r="P256" s="62">
        <f t="shared" si="192"/>
        <v>8</v>
      </c>
      <c r="Q256" s="62">
        <f t="shared" si="192"/>
        <v>8</v>
      </c>
      <c r="R256" s="62">
        <f t="shared" si="192"/>
        <v>8</v>
      </c>
      <c r="S256" s="62">
        <f t="shared" si="192"/>
        <v>8</v>
      </c>
      <c r="T256" s="62">
        <f t="shared" si="192"/>
        <v>8</v>
      </c>
      <c r="U256" s="62">
        <f t="shared" si="192"/>
        <v>8</v>
      </c>
      <c r="V256" s="62">
        <f t="shared" si="192"/>
        <v>8</v>
      </c>
      <c r="W256" s="62">
        <f t="shared" ref="W256:AC258" si="193">$B236+($C236-$B236)*(1-AL236)</f>
        <v>8</v>
      </c>
      <c r="X256" s="62">
        <f t="shared" si="193"/>
        <v>8</v>
      </c>
      <c r="Y256" s="62">
        <f t="shared" si="193"/>
        <v>8</v>
      </c>
      <c r="Z256" s="62">
        <f t="shared" si="193"/>
        <v>8</v>
      </c>
      <c r="AA256" s="62">
        <f t="shared" si="193"/>
        <v>8</v>
      </c>
      <c r="AB256" s="62">
        <f t="shared" si="193"/>
        <v>8</v>
      </c>
      <c r="AC256" s="62">
        <f t="shared" si="193"/>
        <v>8</v>
      </c>
    </row>
    <row r="257" spans="1:29" x14ac:dyDescent="0.25">
      <c r="A257" s="30" t="str">
        <f>A237</f>
        <v>Lifetime costumization</v>
      </c>
      <c r="B257" s="62">
        <f>$B237+($C237-$B237)*(1-Q237)</f>
        <v>10</v>
      </c>
      <c r="C257" s="62">
        <f t="shared" si="191"/>
        <v>10</v>
      </c>
      <c r="D257" s="62">
        <f t="shared" si="191"/>
        <v>10</v>
      </c>
      <c r="E257" s="62">
        <f t="shared" si="191"/>
        <v>10</v>
      </c>
      <c r="F257" s="62">
        <f t="shared" si="191"/>
        <v>10</v>
      </c>
      <c r="G257" s="62">
        <f t="shared" si="191"/>
        <v>10</v>
      </c>
      <c r="H257" s="62">
        <f t="shared" si="191"/>
        <v>10</v>
      </c>
      <c r="I257" s="62">
        <f t="shared" si="191"/>
        <v>10</v>
      </c>
      <c r="J257" s="62">
        <f t="shared" si="191"/>
        <v>10</v>
      </c>
      <c r="K257" s="62">
        <f t="shared" si="191"/>
        <v>10</v>
      </c>
      <c r="L257" s="62">
        <f t="shared" si="191"/>
        <v>10</v>
      </c>
      <c r="M257" s="62">
        <f t="shared" si="192"/>
        <v>10</v>
      </c>
      <c r="N257" s="62">
        <f t="shared" si="192"/>
        <v>10</v>
      </c>
      <c r="O257" s="62">
        <f t="shared" si="192"/>
        <v>10</v>
      </c>
      <c r="P257" s="62">
        <f t="shared" si="192"/>
        <v>10</v>
      </c>
      <c r="Q257" s="62">
        <f t="shared" si="192"/>
        <v>10</v>
      </c>
      <c r="R257" s="62">
        <f t="shared" si="192"/>
        <v>10</v>
      </c>
      <c r="S257" s="62">
        <f t="shared" si="192"/>
        <v>10</v>
      </c>
      <c r="T257" s="62">
        <f t="shared" si="192"/>
        <v>10</v>
      </c>
      <c r="U257" s="62">
        <f t="shared" si="192"/>
        <v>10</v>
      </c>
      <c r="V257" s="62">
        <f t="shared" si="192"/>
        <v>10</v>
      </c>
      <c r="W257" s="62">
        <f t="shared" si="193"/>
        <v>10</v>
      </c>
      <c r="X257" s="62">
        <f t="shared" si="193"/>
        <v>10</v>
      </c>
      <c r="Y257" s="62">
        <f t="shared" si="193"/>
        <v>10</v>
      </c>
      <c r="Z257" s="62">
        <f t="shared" si="193"/>
        <v>10</v>
      </c>
      <c r="AA257" s="62">
        <f t="shared" si="193"/>
        <v>10</v>
      </c>
      <c r="AB257" s="62">
        <f t="shared" si="193"/>
        <v>10</v>
      </c>
      <c r="AC257" s="62">
        <f t="shared" si="193"/>
        <v>10</v>
      </c>
    </row>
    <row r="258" spans="1:29" x14ac:dyDescent="0.25">
      <c r="A258" s="30" t="str">
        <f>A238</f>
        <v>Tonnage .</v>
      </c>
      <c r="B258" s="62">
        <f>$B238+($C238-$B238)*(1-Q238)</f>
        <v>25</v>
      </c>
      <c r="C258" s="62">
        <f t="shared" si="191"/>
        <v>25</v>
      </c>
      <c r="D258" s="62">
        <f t="shared" si="191"/>
        <v>25</v>
      </c>
      <c r="E258" s="62">
        <f t="shared" si="191"/>
        <v>25</v>
      </c>
      <c r="F258" s="62">
        <f t="shared" si="191"/>
        <v>25</v>
      </c>
      <c r="G258" s="62">
        <f t="shared" si="191"/>
        <v>25</v>
      </c>
      <c r="H258" s="62">
        <f t="shared" si="191"/>
        <v>25</v>
      </c>
      <c r="I258" s="62">
        <f t="shared" si="191"/>
        <v>25</v>
      </c>
      <c r="J258" s="62">
        <f t="shared" si="191"/>
        <v>25</v>
      </c>
      <c r="K258" s="62">
        <f t="shared" si="191"/>
        <v>25</v>
      </c>
      <c r="L258" s="62">
        <f t="shared" si="191"/>
        <v>25</v>
      </c>
      <c r="M258" s="62">
        <f t="shared" si="192"/>
        <v>25</v>
      </c>
      <c r="N258" s="62">
        <f t="shared" si="192"/>
        <v>25</v>
      </c>
      <c r="O258" s="62">
        <f t="shared" si="192"/>
        <v>25</v>
      </c>
      <c r="P258" s="62">
        <f t="shared" si="192"/>
        <v>25</v>
      </c>
      <c r="Q258" s="62">
        <f t="shared" si="192"/>
        <v>25</v>
      </c>
      <c r="R258" s="62">
        <f t="shared" si="192"/>
        <v>25</v>
      </c>
      <c r="S258" s="62">
        <f t="shared" si="192"/>
        <v>25</v>
      </c>
      <c r="T258" s="62">
        <f t="shared" si="192"/>
        <v>25</v>
      </c>
      <c r="U258" s="62">
        <f t="shared" si="192"/>
        <v>25</v>
      </c>
      <c r="V258" s="62">
        <f t="shared" si="192"/>
        <v>25</v>
      </c>
      <c r="W258" s="62">
        <f t="shared" si="193"/>
        <v>25</v>
      </c>
      <c r="X258" s="62">
        <f t="shared" si="193"/>
        <v>25</v>
      </c>
      <c r="Y258" s="62">
        <f t="shared" si="193"/>
        <v>25</v>
      </c>
      <c r="Z258" s="62">
        <f t="shared" si="193"/>
        <v>25</v>
      </c>
      <c r="AA258" s="62">
        <f t="shared" si="193"/>
        <v>25</v>
      </c>
      <c r="AB258" s="62">
        <f t="shared" si="193"/>
        <v>25</v>
      </c>
      <c r="AC258" s="62">
        <f t="shared" si="193"/>
        <v>25</v>
      </c>
    </row>
    <row r="259" spans="1:29" x14ac:dyDescent="0.25">
      <c r="A259" s="30" t="str">
        <f>A239</f>
        <v>Market failure (av. utilization)</v>
      </c>
      <c r="B259" s="62">
        <f t="shared" ref="B259:K260" si="194">($B239+($C239-$B239)*(1-Q239))*B$44</f>
        <v>15.333333333333336</v>
      </c>
      <c r="C259" s="62">
        <f t="shared" si="194"/>
        <v>15.333333333333336</v>
      </c>
      <c r="D259" s="62">
        <f t="shared" si="194"/>
        <v>15.333333333333336</v>
      </c>
      <c r="E259" s="62">
        <f t="shared" si="194"/>
        <v>15.333333333333336</v>
      </c>
      <c r="F259" s="62">
        <f t="shared" si="194"/>
        <v>15.333333333333336</v>
      </c>
      <c r="G259" s="62">
        <f t="shared" si="194"/>
        <v>15.333333333333336</v>
      </c>
      <c r="H259" s="62">
        <f t="shared" si="194"/>
        <v>15.333333333333336</v>
      </c>
      <c r="I259" s="62">
        <f t="shared" si="194"/>
        <v>15.333333333333336</v>
      </c>
      <c r="J259" s="62">
        <f t="shared" si="194"/>
        <v>15.333333333333336</v>
      </c>
      <c r="K259" s="62">
        <f t="shared" si="194"/>
        <v>15.333333333333336</v>
      </c>
      <c r="L259" s="62">
        <f t="shared" ref="L259:U260" si="195">($B239+($C239-$B239)*(1-AA239))*L$44</f>
        <v>15.333333333333336</v>
      </c>
      <c r="M259" s="62">
        <f t="shared" si="195"/>
        <v>15.333333333333336</v>
      </c>
      <c r="N259" s="62">
        <f t="shared" si="195"/>
        <v>15.333333333333336</v>
      </c>
      <c r="O259" s="62">
        <f t="shared" si="195"/>
        <v>15.333333333333336</v>
      </c>
      <c r="P259" s="62">
        <f t="shared" si="195"/>
        <v>15.333333333333336</v>
      </c>
      <c r="Q259" s="62">
        <f t="shared" si="195"/>
        <v>15.333333333333336</v>
      </c>
      <c r="R259" s="62">
        <f t="shared" si="195"/>
        <v>15.333333333333336</v>
      </c>
      <c r="S259" s="62">
        <f t="shared" si="195"/>
        <v>15.333333333333336</v>
      </c>
      <c r="T259" s="62">
        <f t="shared" si="195"/>
        <v>15.333333333333336</v>
      </c>
      <c r="U259" s="62">
        <f t="shared" si="195"/>
        <v>15.333333333333336</v>
      </c>
      <c r="V259" s="62">
        <f t="shared" ref="V259:AC260" si="196">($B239+($C239-$B239)*(1-AK239))*V$44</f>
        <v>15.333333333333336</v>
      </c>
      <c r="W259" s="62">
        <f t="shared" si="196"/>
        <v>15.333333333333336</v>
      </c>
      <c r="X259" s="62">
        <f t="shared" si="196"/>
        <v>15.333333333333336</v>
      </c>
      <c r="Y259" s="62">
        <f t="shared" si="196"/>
        <v>15.333333333333336</v>
      </c>
      <c r="Z259" s="62">
        <f t="shared" si="196"/>
        <v>15.333333333333336</v>
      </c>
      <c r="AA259" s="62">
        <f t="shared" si="196"/>
        <v>15.333333333333336</v>
      </c>
      <c r="AB259" s="62">
        <f t="shared" si="196"/>
        <v>15.333333333333336</v>
      </c>
      <c r="AC259" s="62">
        <f t="shared" si="196"/>
        <v>15.333333333333336</v>
      </c>
    </row>
    <row r="260" spans="1:29" x14ac:dyDescent="0.25">
      <c r="A260" s="30" t="s">
        <v>73</v>
      </c>
      <c r="B260" s="62">
        <f t="shared" si="194"/>
        <v>1.240098396181128</v>
      </c>
      <c r="C260" s="62">
        <f t="shared" si="194"/>
        <v>1.2358588232214369</v>
      </c>
      <c r="D260" s="62">
        <f t="shared" si="194"/>
        <v>1.2298392373690403</v>
      </c>
      <c r="E260" s="62">
        <f t="shared" si="194"/>
        <v>1.2213311312119457</v>
      </c>
      <c r="F260" s="62">
        <f t="shared" si="194"/>
        <v>1.2093859036663352</v>
      </c>
      <c r="G260" s="62">
        <f t="shared" si="194"/>
        <v>1.1927777011260612</v>
      </c>
      <c r="H260" s="62">
        <f t="shared" si="194"/>
        <v>1.1700084767574384</v>
      </c>
      <c r="I260" s="62">
        <f t="shared" si="194"/>
        <v>1.1394090790574525</v>
      </c>
      <c r="J260" s="62">
        <f t="shared" si="194"/>
        <v>1.0994097548946793</v>
      </c>
      <c r="K260" s="62">
        <f t="shared" si="194"/>
        <v>1.0490373668749504</v>
      </c>
      <c r="L260" s="62">
        <f t="shared" si="195"/>
        <v>0.98859194719090016</v>
      </c>
      <c r="M260" s="62">
        <f t="shared" si="195"/>
        <v>0.92024185910637191</v>
      </c>
      <c r="N260" s="62">
        <f t="shared" si="195"/>
        <v>0.84808495154888996</v>
      </c>
      <c r="O260" s="62">
        <f t="shared" si="195"/>
        <v>0.77734795696642955</v>
      </c>
      <c r="P260" s="62">
        <f t="shared" si="195"/>
        <v>0.71295461477923405</v>
      </c>
      <c r="Q260" s="62">
        <f t="shared" si="195"/>
        <v>0.65822944370838299</v>
      </c>
      <c r="R260" s="62">
        <f t="shared" si="195"/>
        <v>0.61440438240348649</v>
      </c>
      <c r="S260" s="62">
        <f t="shared" si="195"/>
        <v>0.580963915532825</v>
      </c>
      <c r="T260" s="62">
        <f t="shared" si="195"/>
        <v>0.55638249045356891</v>
      </c>
      <c r="U260" s="62">
        <f t="shared" si="195"/>
        <v>0.53880712713312673</v>
      </c>
      <c r="V260" s="62">
        <f t="shared" si="196"/>
        <v>0.52648939296900943</v>
      </c>
      <c r="W260" s="62">
        <f t="shared" si="196"/>
        <v>0.51797708155449362</v>
      </c>
      <c r="X260" s="62">
        <f t="shared" si="196"/>
        <v>0.5121516826687923</v>
      </c>
      <c r="Y260" s="62">
        <f t="shared" si="196"/>
        <v>0.50819168042308127</v>
      </c>
      <c r="Z260" s="62">
        <f t="shared" si="196"/>
        <v>0.50551199096795685</v>
      </c>
      <c r="AA260" s="62">
        <f t="shared" si="196"/>
        <v>0.50370426966387927</v>
      </c>
      <c r="AB260" s="62">
        <f t="shared" si="196"/>
        <v>0.50248732066197166</v>
      </c>
      <c r="AC260" s="62">
        <f t="shared" si="196"/>
        <v>0.50166922716100104</v>
      </c>
    </row>
    <row r="261" spans="1:29" x14ac:dyDescent="0.25">
      <c r="A261" s="30" t="str">
        <f>A241</f>
        <v>Annual Mileage</v>
      </c>
      <c r="B261" s="62">
        <f t="shared" ref="B261:AC261" si="197">$B241+($C241-$B241)*(1-Q241)</f>
        <v>105000</v>
      </c>
      <c r="C261" s="62">
        <f t="shared" si="197"/>
        <v>105000</v>
      </c>
      <c r="D261" s="62">
        <f t="shared" si="197"/>
        <v>105000</v>
      </c>
      <c r="E261" s="62">
        <f t="shared" si="197"/>
        <v>105000</v>
      </c>
      <c r="F261" s="62">
        <f t="shared" si="197"/>
        <v>105000</v>
      </c>
      <c r="G261" s="62">
        <f t="shared" si="197"/>
        <v>105000</v>
      </c>
      <c r="H261" s="62">
        <f t="shared" si="197"/>
        <v>105000</v>
      </c>
      <c r="I261" s="62">
        <f t="shared" si="197"/>
        <v>105000</v>
      </c>
      <c r="J261" s="62">
        <f t="shared" si="197"/>
        <v>105000</v>
      </c>
      <c r="K261" s="62">
        <f t="shared" si="197"/>
        <v>105000</v>
      </c>
      <c r="L261" s="62">
        <f t="shared" si="197"/>
        <v>105000</v>
      </c>
      <c r="M261" s="62">
        <f t="shared" si="197"/>
        <v>105000</v>
      </c>
      <c r="N261" s="62">
        <f t="shared" si="197"/>
        <v>105000</v>
      </c>
      <c r="O261" s="62">
        <f t="shared" si="197"/>
        <v>105000</v>
      </c>
      <c r="P261" s="62">
        <f t="shared" si="197"/>
        <v>105000</v>
      </c>
      <c r="Q261" s="62">
        <f t="shared" si="197"/>
        <v>105000</v>
      </c>
      <c r="R261" s="62">
        <f t="shared" si="197"/>
        <v>105000</v>
      </c>
      <c r="S261" s="62">
        <f t="shared" si="197"/>
        <v>105000</v>
      </c>
      <c r="T261" s="62">
        <f t="shared" si="197"/>
        <v>105000</v>
      </c>
      <c r="U261" s="62">
        <f t="shared" si="197"/>
        <v>105000</v>
      </c>
      <c r="V261" s="62">
        <f t="shared" si="197"/>
        <v>105000</v>
      </c>
      <c r="W261" s="62">
        <f t="shared" si="197"/>
        <v>105000</v>
      </c>
      <c r="X261" s="62">
        <f t="shared" si="197"/>
        <v>105000</v>
      </c>
      <c r="Y261" s="62">
        <f t="shared" si="197"/>
        <v>105000</v>
      </c>
      <c r="Z261" s="62">
        <f t="shared" si="197"/>
        <v>105000</v>
      </c>
      <c r="AA261" s="62">
        <f t="shared" si="197"/>
        <v>105000</v>
      </c>
      <c r="AB261" s="62">
        <f t="shared" si="197"/>
        <v>105000</v>
      </c>
      <c r="AC261" s="62">
        <f t="shared" si="197"/>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8">((1+C249)^C256)*C249/(((1+C249)^C256)-1)*(C245)</f>
        <v>60754.714455896952</v>
      </c>
      <c r="D264" s="63">
        <f t="shared" si="198"/>
        <v>59916.698956344211</v>
      </c>
      <c r="E264" s="63">
        <f t="shared" si="198"/>
        <v>58767.811056679595</v>
      </c>
      <c r="F264" s="63">
        <f t="shared" si="198"/>
        <v>57223.828829380502</v>
      </c>
      <c r="G264" s="63">
        <f t="shared" si="198"/>
        <v>55205.54578287054</v>
      </c>
      <c r="H264" s="63">
        <f t="shared" si="198"/>
        <v>52663.859419902983</v>
      </c>
      <c r="I264" s="63">
        <f t="shared" si="198"/>
        <v>49613.908743460379</v>
      </c>
      <c r="J264" s="63">
        <f t="shared" si="198"/>
        <v>46165.10487249765</v>
      </c>
      <c r="K264" s="63">
        <f t="shared" si="198"/>
        <v>42524.216776008514</v>
      </c>
      <c r="L264" s="63">
        <f t="shared" si="198"/>
        <v>38954.974547168116</v>
      </c>
      <c r="M264" s="63">
        <f t="shared" si="198"/>
        <v>35705.819878562834</v>
      </c>
      <c r="N264" s="63">
        <f t="shared" si="198"/>
        <v>32944.501098770794</v>
      </c>
      <c r="O264" s="63">
        <f t="shared" si="198"/>
        <v>30733.179280332359</v>
      </c>
      <c r="P264" s="63">
        <f t="shared" si="198"/>
        <v>29045.842587397736</v>
      </c>
      <c r="Q264" s="63">
        <f t="shared" si="198"/>
        <v>27805.514793492392</v>
      </c>
      <c r="R264" s="63">
        <f t="shared" si="198"/>
        <v>26918.698364255953</v>
      </c>
      <c r="S264" s="63">
        <f t="shared" si="198"/>
        <v>26297.171012101549</v>
      </c>
      <c r="T264" s="63">
        <f t="shared" si="198"/>
        <v>25867.657409706244</v>
      </c>
      <c r="U264" s="63">
        <f t="shared" si="198"/>
        <v>25573.719848103356</v>
      </c>
      <c r="V264" s="63">
        <f t="shared" si="198"/>
        <v>25373.906337151635</v>
      </c>
      <c r="W264" s="63">
        <f t="shared" si="198"/>
        <v>25238.694757696427</v>
      </c>
      <c r="X264" s="63">
        <f t="shared" si="198"/>
        <v>25147.480885032299</v>
      </c>
      <c r="Y264" s="63">
        <f t="shared" si="198"/>
        <v>25086.076159066874</v>
      </c>
      <c r="Z264" s="63">
        <f t="shared" si="198"/>
        <v>25044.796855527889</v>
      </c>
      <c r="AA264" s="63">
        <f t="shared" si="198"/>
        <v>25017.073074171451</v>
      </c>
      <c r="AB264" s="63">
        <f t="shared" si="198"/>
        <v>24998.465197207195</v>
      </c>
      <c r="AC264" s="63">
        <f t="shared" si="198"/>
        <v>24985.981130564032</v>
      </c>
    </row>
    <row r="265" spans="1:29" x14ac:dyDescent="0.25">
      <c r="A265" s="30" t="str">
        <f>A246</f>
        <v>Residual value (vehicle)</v>
      </c>
      <c r="B265" s="62">
        <f>((1+B249)^B256)*B249/(((1+B249)^B256)-1)*(B246)</f>
        <v>-9299.0290627537943</v>
      </c>
      <c r="C265" s="62">
        <f t="shared" ref="C265:AC265" si="199">((1+C249)^C256)*C249/(((1+C249)^C256)-1)*(C246)</f>
        <v>-9248.373973667678</v>
      </c>
      <c r="D265" s="62">
        <f t="shared" si="199"/>
        <v>-9177.9450114712236</v>
      </c>
      <c r="E265" s="62">
        <f t="shared" si="199"/>
        <v>-9081.3895390526031</v>
      </c>
      <c r="F265" s="62">
        <f t="shared" si="199"/>
        <v>-8951.6293305881045</v>
      </c>
      <c r="G265" s="62">
        <f t="shared" si="199"/>
        <v>-8782.0076702963088</v>
      </c>
      <c r="H265" s="62">
        <f t="shared" si="199"/>
        <v>-8568.3978589405251</v>
      </c>
      <c r="I265" s="62">
        <f t="shared" si="199"/>
        <v>-8312.0722169841792</v>
      </c>
      <c r="J265" s="62">
        <f t="shared" si="199"/>
        <v>-8022.2259342117786</v>
      </c>
      <c r="K265" s="62">
        <f t="shared" si="199"/>
        <v>-7716.2364026983305</v>
      </c>
      <c r="L265" s="62">
        <f t="shared" si="199"/>
        <v>-7416.2681728277021</v>
      </c>
      <c r="M265" s="62">
        <f t="shared" si="199"/>
        <v>-7143.2009187640651</v>
      </c>
      <c r="N265" s="62">
        <f t="shared" si="199"/>
        <v>-6911.1326383347341</v>
      </c>
      <c r="O265" s="62">
        <f t="shared" si="199"/>
        <v>-6725.2875067851219</v>
      </c>
      <c r="P265" s="62">
        <f t="shared" si="199"/>
        <v>-6583.4794230172129</v>
      </c>
      <c r="Q265" s="62">
        <f t="shared" si="199"/>
        <v>-6479.2391084230394</v>
      </c>
      <c r="R265" s="62">
        <f t="shared" si="199"/>
        <v>-6404.7087914978501</v>
      </c>
      <c r="S265" s="62">
        <f t="shared" si="199"/>
        <v>-6352.4740459444474</v>
      </c>
      <c r="T265" s="62">
        <f t="shared" si="199"/>
        <v>-6316.3766261686715</v>
      </c>
      <c r="U265" s="62">
        <f t="shared" si="199"/>
        <v>-6291.6733630126846</v>
      </c>
      <c r="V265" s="62">
        <f t="shared" si="199"/>
        <v>-6274.8805253901455</v>
      </c>
      <c r="W265" s="62">
        <f t="shared" si="199"/>
        <v>-6263.5169990316763</v>
      </c>
      <c r="X265" s="62">
        <f t="shared" si="199"/>
        <v>-6255.8511522865001</v>
      </c>
      <c r="Y265" s="62">
        <f t="shared" si="199"/>
        <v>-6250.6905423383423</v>
      </c>
      <c r="Z265" s="62">
        <f t="shared" si="199"/>
        <v>-6247.2213242749585</v>
      </c>
      <c r="AA265" s="62">
        <f t="shared" si="199"/>
        <v>-6244.8913469056415</v>
      </c>
      <c r="AB265" s="62">
        <f t="shared" si="199"/>
        <v>-6243.3274934160918</v>
      </c>
      <c r="AC265" s="62">
        <f t="shared" si="199"/>
        <v>-6242.278300581188</v>
      </c>
    </row>
    <row r="266" spans="1:29" x14ac:dyDescent="0.25">
      <c r="A266" s="30" t="str">
        <f>A247</f>
        <v>Capex costumization</v>
      </c>
      <c r="B266" s="62">
        <f>((1+B249)^B257)*B249/(((1+B249)^B257)-1)*(B247)</f>
        <v>4076.0387466115117</v>
      </c>
      <c r="C266" s="62">
        <f t="shared" ref="C266:AC266" si="200">((1+C249)^C257)*C249/(((1+C249)^C257)-1)*(C247)</f>
        <v>4076.0387466115117</v>
      </c>
      <c r="D266" s="62">
        <f t="shared" si="200"/>
        <v>4076.0387466115117</v>
      </c>
      <c r="E266" s="62">
        <f t="shared" si="200"/>
        <v>4076.0387466115117</v>
      </c>
      <c r="F266" s="62">
        <f t="shared" si="200"/>
        <v>4076.0387466115117</v>
      </c>
      <c r="G266" s="62">
        <f t="shared" si="200"/>
        <v>4076.0387466115117</v>
      </c>
      <c r="H266" s="62">
        <f t="shared" si="200"/>
        <v>4076.0387466115117</v>
      </c>
      <c r="I266" s="62">
        <f t="shared" si="200"/>
        <v>4076.0387466115117</v>
      </c>
      <c r="J266" s="62">
        <f t="shared" si="200"/>
        <v>4076.0387466115117</v>
      </c>
      <c r="K266" s="62">
        <f t="shared" si="200"/>
        <v>4076.0387466115117</v>
      </c>
      <c r="L266" s="62">
        <f t="shared" si="200"/>
        <v>4076.0387466115117</v>
      </c>
      <c r="M266" s="62">
        <f t="shared" si="200"/>
        <v>4076.0387466115117</v>
      </c>
      <c r="N266" s="62">
        <f t="shared" si="200"/>
        <v>4076.0387466115117</v>
      </c>
      <c r="O266" s="62">
        <f t="shared" si="200"/>
        <v>4076.0387466115117</v>
      </c>
      <c r="P266" s="62">
        <f t="shared" si="200"/>
        <v>4076.0387466115117</v>
      </c>
      <c r="Q266" s="62">
        <f t="shared" si="200"/>
        <v>4076.0387466115117</v>
      </c>
      <c r="R266" s="62">
        <f t="shared" si="200"/>
        <v>4076.0387466115117</v>
      </c>
      <c r="S266" s="62">
        <f t="shared" si="200"/>
        <v>4076.0387466115117</v>
      </c>
      <c r="T266" s="62">
        <f t="shared" si="200"/>
        <v>4076.0387466115117</v>
      </c>
      <c r="U266" s="62">
        <f t="shared" si="200"/>
        <v>4076.0387466115117</v>
      </c>
      <c r="V266" s="62">
        <f t="shared" si="200"/>
        <v>4076.0387466115117</v>
      </c>
      <c r="W266" s="62">
        <f t="shared" si="200"/>
        <v>4076.0387466115117</v>
      </c>
      <c r="X266" s="62">
        <f t="shared" si="200"/>
        <v>4076.0387466115117</v>
      </c>
      <c r="Y266" s="62">
        <f t="shared" si="200"/>
        <v>4076.0387466115117</v>
      </c>
      <c r="Z266" s="62">
        <f t="shared" si="200"/>
        <v>4076.0387466115117</v>
      </c>
      <c r="AA266" s="62">
        <f t="shared" si="200"/>
        <v>4076.0387466115117</v>
      </c>
      <c r="AB266" s="62">
        <f t="shared" si="200"/>
        <v>4076.0387466115117</v>
      </c>
      <c r="AC266" s="62">
        <f t="shared" si="200"/>
        <v>4076.0387466115117</v>
      </c>
    </row>
    <row r="267" spans="1:29" x14ac:dyDescent="0.25">
      <c r="A267" s="30" t="str">
        <f>A248</f>
        <v>Residual value (costumization)</v>
      </c>
      <c r="B267" s="62">
        <f>((1+B249)^B257)*B249/(((1+B249)^B257)-1)*(B248)</f>
        <v>-1019.0096866528779</v>
      </c>
      <c r="C267" s="62">
        <f t="shared" ref="C267:AC267" si="201">((1+C249)^C257)*C249/(((1+C249)^C257)-1)*(C248)</f>
        <v>-1019.0096866528779</v>
      </c>
      <c r="D267" s="62">
        <f t="shared" si="201"/>
        <v>-1019.0096866528779</v>
      </c>
      <c r="E267" s="62">
        <f t="shared" si="201"/>
        <v>-1019.0096866528779</v>
      </c>
      <c r="F267" s="62">
        <f t="shared" si="201"/>
        <v>-1019.0096866528779</v>
      </c>
      <c r="G267" s="62">
        <f t="shared" si="201"/>
        <v>-1019.0096866528779</v>
      </c>
      <c r="H267" s="62">
        <f t="shared" si="201"/>
        <v>-1019.0096866528779</v>
      </c>
      <c r="I267" s="62">
        <f t="shared" si="201"/>
        <v>-1019.0096866528779</v>
      </c>
      <c r="J267" s="62">
        <f t="shared" si="201"/>
        <v>-1019.0096866528779</v>
      </c>
      <c r="K267" s="62">
        <f t="shared" si="201"/>
        <v>-1019.0096866528779</v>
      </c>
      <c r="L267" s="62">
        <f t="shared" si="201"/>
        <v>-1019.0096866528779</v>
      </c>
      <c r="M267" s="62">
        <f t="shared" si="201"/>
        <v>-1019.0096866528779</v>
      </c>
      <c r="N267" s="62">
        <f t="shared" si="201"/>
        <v>-1019.0096866528779</v>
      </c>
      <c r="O267" s="62">
        <f t="shared" si="201"/>
        <v>-1019.0096866528779</v>
      </c>
      <c r="P267" s="62">
        <f t="shared" si="201"/>
        <v>-1019.0096866528779</v>
      </c>
      <c r="Q267" s="62">
        <f t="shared" si="201"/>
        <v>-1019.0096866528779</v>
      </c>
      <c r="R267" s="62">
        <f t="shared" si="201"/>
        <v>-1019.0096866528779</v>
      </c>
      <c r="S267" s="62">
        <f t="shared" si="201"/>
        <v>-1019.0096866528779</v>
      </c>
      <c r="T267" s="62">
        <f t="shared" si="201"/>
        <v>-1019.0096866528779</v>
      </c>
      <c r="U267" s="62">
        <f t="shared" si="201"/>
        <v>-1019.0096866528779</v>
      </c>
      <c r="V267" s="62">
        <f t="shared" si="201"/>
        <v>-1019.0096866528779</v>
      </c>
      <c r="W267" s="62">
        <f t="shared" si="201"/>
        <v>-1019.0096866528779</v>
      </c>
      <c r="X267" s="62">
        <f t="shared" si="201"/>
        <v>-1019.0096866528779</v>
      </c>
      <c r="Y267" s="62">
        <f t="shared" si="201"/>
        <v>-1019.0096866528779</v>
      </c>
      <c r="Z267" s="62">
        <f t="shared" si="201"/>
        <v>-1019.0096866528779</v>
      </c>
      <c r="AA267" s="62">
        <f t="shared" si="201"/>
        <v>-1019.0096866528779</v>
      </c>
      <c r="AB267" s="62">
        <f t="shared" si="201"/>
        <v>-1019.0096866528779</v>
      </c>
      <c r="AC267" s="62">
        <f t="shared" si="201"/>
        <v>-1019.0096866528779</v>
      </c>
    </row>
    <row r="268" spans="1:29" x14ac:dyDescent="0.25">
      <c r="A268" s="30" t="str">
        <f t="shared" ref="A268:AC268" si="202">A250</f>
        <v>Opex fix (admin, crew, insurance)</v>
      </c>
      <c r="B268" s="62">
        <f t="shared" si="202"/>
        <v>70000</v>
      </c>
      <c r="C268" s="62">
        <f t="shared" si="202"/>
        <v>70000</v>
      </c>
      <c r="D268" s="62">
        <f t="shared" si="202"/>
        <v>70000</v>
      </c>
      <c r="E268" s="62">
        <f t="shared" si="202"/>
        <v>70000</v>
      </c>
      <c r="F268" s="62">
        <f t="shared" si="202"/>
        <v>70000</v>
      </c>
      <c r="G268" s="62">
        <f t="shared" si="202"/>
        <v>70000</v>
      </c>
      <c r="H268" s="62">
        <f t="shared" si="202"/>
        <v>70000</v>
      </c>
      <c r="I268" s="62">
        <f t="shared" si="202"/>
        <v>70000</v>
      </c>
      <c r="J268" s="62">
        <f t="shared" si="202"/>
        <v>70000</v>
      </c>
      <c r="K268" s="62">
        <f t="shared" si="202"/>
        <v>70000</v>
      </c>
      <c r="L268" s="62">
        <f t="shared" si="202"/>
        <v>70000</v>
      </c>
      <c r="M268" s="62">
        <f t="shared" si="202"/>
        <v>70000</v>
      </c>
      <c r="N268" s="62">
        <f t="shared" si="202"/>
        <v>70000</v>
      </c>
      <c r="O268" s="62">
        <f t="shared" si="202"/>
        <v>70000</v>
      </c>
      <c r="P268" s="62">
        <f t="shared" si="202"/>
        <v>70000</v>
      </c>
      <c r="Q268" s="62">
        <f t="shared" si="202"/>
        <v>70000</v>
      </c>
      <c r="R268" s="62">
        <f t="shared" si="202"/>
        <v>70000</v>
      </c>
      <c r="S268" s="62">
        <f t="shared" si="202"/>
        <v>70000</v>
      </c>
      <c r="T268" s="62">
        <f t="shared" si="202"/>
        <v>70000</v>
      </c>
      <c r="U268" s="62">
        <f t="shared" si="202"/>
        <v>70000</v>
      </c>
      <c r="V268" s="62">
        <f t="shared" si="202"/>
        <v>70000</v>
      </c>
      <c r="W268" s="62">
        <f t="shared" si="202"/>
        <v>70000</v>
      </c>
      <c r="X268" s="62">
        <f t="shared" si="202"/>
        <v>70000</v>
      </c>
      <c r="Y268" s="62">
        <f t="shared" si="202"/>
        <v>70000</v>
      </c>
      <c r="Z268" s="62">
        <f t="shared" si="202"/>
        <v>70000</v>
      </c>
      <c r="AA268" s="62">
        <f t="shared" si="202"/>
        <v>70000</v>
      </c>
      <c r="AB268" s="62">
        <f t="shared" si="202"/>
        <v>70000</v>
      </c>
      <c r="AC268" s="62">
        <f t="shared" si="202"/>
        <v>70000</v>
      </c>
    </row>
    <row r="269" spans="1:29" x14ac:dyDescent="0.25">
      <c r="A269" s="30" t="str">
        <f t="shared" ref="A269:AC269" si="203">A251</f>
        <v>Opex maintenance &amp; repair</v>
      </c>
      <c r="B269" s="62">
        <f t="shared" si="203"/>
        <v>25694.198732927423</v>
      </c>
      <c r="C269" s="62">
        <f t="shared" si="203"/>
        <v>25566.782972440909</v>
      </c>
      <c r="D269" s="62">
        <f t="shared" si="203"/>
        <v>25389.62881201132</v>
      </c>
      <c r="E269" s="62">
        <f t="shared" si="203"/>
        <v>25146.757085412675</v>
      </c>
      <c r="F269" s="62">
        <f t="shared" si="203"/>
        <v>24820.363509946161</v>
      </c>
      <c r="G269" s="62">
        <f t="shared" si="203"/>
        <v>24393.704052209912</v>
      </c>
      <c r="H269" s="62">
        <f t="shared" si="203"/>
        <v>23856.39857999947</v>
      </c>
      <c r="I269" s="62">
        <f t="shared" si="203"/>
        <v>23211.647436702937</v>
      </c>
      <c r="J269" s="62">
        <f t="shared" si="203"/>
        <v>22482.579830467967</v>
      </c>
      <c r="K269" s="62">
        <f t="shared" si="203"/>
        <v>21712.906149854825</v>
      </c>
      <c r="L269" s="62">
        <f t="shared" si="203"/>
        <v>20958.378207641916</v>
      </c>
      <c r="M269" s="62">
        <f t="shared" si="203"/>
        <v>20271.515890978495</v>
      </c>
      <c r="N269" s="62">
        <f t="shared" si="203"/>
        <v>19687.78073288942</v>
      </c>
      <c r="O269" s="62">
        <f t="shared" si="203"/>
        <v>19220.313412303854</v>
      </c>
      <c r="P269" s="62">
        <f t="shared" si="203"/>
        <v>18863.615099016799</v>
      </c>
      <c r="Q269" s="62">
        <f t="shared" si="203"/>
        <v>18601.413231504735</v>
      </c>
      <c r="R269" s="62">
        <f t="shared" si="203"/>
        <v>18413.942689420019</v>
      </c>
      <c r="S269" s="62">
        <f t="shared" si="203"/>
        <v>18282.553525002768</v>
      </c>
      <c r="T269" s="62">
        <f t="shared" si="203"/>
        <v>18191.755536581266</v>
      </c>
      <c r="U269" s="62">
        <f t="shared" si="203"/>
        <v>18129.617948467116</v>
      </c>
      <c r="V269" s="62">
        <f t="shared" si="203"/>
        <v>18087.377924512868</v>
      </c>
      <c r="W269" s="62">
        <f t="shared" si="203"/>
        <v>18058.794570324873</v>
      </c>
      <c r="X269" s="62">
        <f t="shared" si="203"/>
        <v>18039.512209748045</v>
      </c>
      <c r="Y269" s="62">
        <f t="shared" si="203"/>
        <v>18026.531420394364</v>
      </c>
      <c r="Z269" s="62">
        <f t="shared" si="203"/>
        <v>18017.805089717345</v>
      </c>
      <c r="AA269" s="62">
        <f t="shared" si="203"/>
        <v>18011.94435896385</v>
      </c>
      <c r="AB269" s="62">
        <f t="shared" si="203"/>
        <v>18008.010705203578</v>
      </c>
      <c r="AC269" s="62">
        <f t="shared" si="203"/>
        <v>18005.371608019701</v>
      </c>
    </row>
    <row r="270" spans="1:29" x14ac:dyDescent="0.25">
      <c r="A270" s="30" t="str">
        <f>A252</f>
        <v>Opex var (mode-fees)</v>
      </c>
      <c r="B270" s="62">
        <f>B252*B261</f>
        <v>11550</v>
      </c>
      <c r="C270" s="62">
        <f t="shared" ref="C270:AC270" si="204">C252*C261</f>
        <v>11550</v>
      </c>
      <c r="D270" s="62">
        <f t="shared" si="204"/>
        <v>11550</v>
      </c>
      <c r="E270" s="62">
        <f t="shared" si="204"/>
        <v>11550</v>
      </c>
      <c r="F270" s="62">
        <f t="shared" si="204"/>
        <v>11550</v>
      </c>
      <c r="G270" s="62">
        <f t="shared" si="204"/>
        <v>11550</v>
      </c>
      <c r="H270" s="62">
        <f t="shared" si="204"/>
        <v>11550</v>
      </c>
      <c r="I270" s="62">
        <f t="shared" si="204"/>
        <v>11550</v>
      </c>
      <c r="J270" s="62">
        <f t="shared" si="204"/>
        <v>11550</v>
      </c>
      <c r="K270" s="62">
        <f t="shared" si="204"/>
        <v>11550</v>
      </c>
      <c r="L270" s="62">
        <f t="shared" si="204"/>
        <v>11550</v>
      </c>
      <c r="M270" s="62">
        <f t="shared" si="204"/>
        <v>11550</v>
      </c>
      <c r="N270" s="62">
        <f t="shared" si="204"/>
        <v>11550</v>
      </c>
      <c r="O270" s="62">
        <f t="shared" si="204"/>
        <v>11550</v>
      </c>
      <c r="P270" s="62">
        <f t="shared" si="204"/>
        <v>11550</v>
      </c>
      <c r="Q270" s="62">
        <f t="shared" si="204"/>
        <v>11550</v>
      </c>
      <c r="R270" s="62">
        <f t="shared" si="204"/>
        <v>11550</v>
      </c>
      <c r="S270" s="62">
        <f t="shared" si="204"/>
        <v>11550</v>
      </c>
      <c r="T270" s="62">
        <f t="shared" si="204"/>
        <v>11550</v>
      </c>
      <c r="U270" s="62">
        <f t="shared" si="204"/>
        <v>11550</v>
      </c>
      <c r="V270" s="62">
        <f t="shared" si="204"/>
        <v>11550</v>
      </c>
      <c r="W270" s="62">
        <f t="shared" si="204"/>
        <v>11550</v>
      </c>
      <c r="X270" s="62">
        <f t="shared" si="204"/>
        <v>11550</v>
      </c>
      <c r="Y270" s="62">
        <f t="shared" si="204"/>
        <v>11550</v>
      </c>
      <c r="Z270" s="62">
        <f t="shared" si="204"/>
        <v>11550</v>
      </c>
      <c r="AA270" s="62">
        <f t="shared" si="204"/>
        <v>11550</v>
      </c>
      <c r="AB270" s="62">
        <f t="shared" si="204"/>
        <v>11550</v>
      </c>
      <c r="AC270" s="62">
        <f t="shared" si="204"/>
        <v>11550</v>
      </c>
    </row>
    <row r="271" spans="1:29" x14ac:dyDescent="0.25">
      <c r="A271" s="30" t="str">
        <f>A254</f>
        <v>Fuel Cost</v>
      </c>
      <c r="B271" s="62">
        <f>B253*B254*B261</f>
        <v>51737.217924346849</v>
      </c>
      <c r="C271" s="62">
        <f t="shared" ref="C271:AC271" si="205">C253*C254*C261</f>
        <v>50156.295430919781</v>
      </c>
      <c r="D271" s="62">
        <f t="shared" si="205"/>
        <v>48497.825626628633</v>
      </c>
      <c r="E271" s="62">
        <f t="shared" si="205"/>
        <v>47139.982563890982</v>
      </c>
      <c r="F271" s="62">
        <f t="shared" si="205"/>
        <v>45653.262639216351</v>
      </c>
      <c r="G271" s="62">
        <f t="shared" si="205"/>
        <v>44017.712280607229</v>
      </c>
      <c r="H271" s="62">
        <f t="shared" si="205"/>
        <v>42226.357023911834</v>
      </c>
      <c r="I271" s="62">
        <f t="shared" si="205"/>
        <v>40295.938808027327</v>
      </c>
      <c r="J271" s="62">
        <f t="shared" si="205"/>
        <v>39066.090996679603</v>
      </c>
      <c r="K271" s="62">
        <f t="shared" si="205"/>
        <v>37771.811529736602</v>
      </c>
      <c r="L271" s="62">
        <f t="shared" si="205"/>
        <v>36504.497585115379</v>
      </c>
      <c r="M271" s="62">
        <f t="shared" si="205"/>
        <v>35349.946378012683</v>
      </c>
      <c r="N271" s="62">
        <f t="shared" si="205"/>
        <v>34365.793678520917</v>
      </c>
      <c r="O271" s="62">
        <f t="shared" si="205"/>
        <v>32864.114305389703</v>
      </c>
      <c r="P271" s="62">
        <f t="shared" si="205"/>
        <v>31568.964076040189</v>
      </c>
      <c r="Q271" s="62">
        <f t="shared" si="205"/>
        <v>30443.591473595265</v>
      </c>
      <c r="R271" s="62">
        <f t="shared" si="205"/>
        <v>29448.376832765643</v>
      </c>
      <c r="S271" s="62">
        <f t="shared" si="205"/>
        <v>28548.158651464189</v>
      </c>
      <c r="T271" s="62">
        <f t="shared" si="205"/>
        <v>27765.227063979582</v>
      </c>
      <c r="U271" s="62">
        <f t="shared" si="205"/>
        <v>27028.107521540671</v>
      </c>
      <c r="V271" s="62">
        <f t="shared" si="205"/>
        <v>26322.07051010169</v>
      </c>
      <c r="W271" s="62">
        <f t="shared" si="205"/>
        <v>25636.884923306356</v>
      </c>
      <c r="X271" s="62">
        <f t="shared" si="205"/>
        <v>24965.578303037451</v>
      </c>
      <c r="Y271" s="62">
        <f t="shared" si="205"/>
        <v>24415.087735079873</v>
      </c>
      <c r="Z271" s="62">
        <f t="shared" si="205"/>
        <v>23870.555494166074</v>
      </c>
      <c r="AA271" s="62">
        <f t="shared" si="205"/>
        <v>23329.956630889228</v>
      </c>
      <c r="AB271" s="62">
        <f t="shared" si="205"/>
        <v>22791.949408725923</v>
      </c>
      <c r="AC271" s="62">
        <f t="shared" si="205"/>
        <v>22255.647330768741</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214096.86255013492</v>
      </c>
      <c r="C273" s="64">
        <f t="shared" ref="C273:AC273" si="207">C264+C265+C266+C267+C268+C269+C270+C271+C272</f>
        <v>211836.44794554863</v>
      </c>
      <c r="D273" s="64">
        <f t="shared" si="207"/>
        <v>209233.23744347156</v>
      </c>
      <c r="E273" s="64">
        <f t="shared" si="207"/>
        <v>206580.1902268893</v>
      </c>
      <c r="F273" s="64">
        <f t="shared" si="207"/>
        <v>203352.85470791353</v>
      </c>
      <c r="G273" s="64">
        <f t="shared" si="207"/>
        <v>199441.98350535001</v>
      </c>
      <c r="H273" s="64">
        <f t="shared" si="207"/>
        <v>194785.24622483243</v>
      </c>
      <c r="I273" s="64">
        <f t="shared" si="207"/>
        <v>189416.45183116512</v>
      </c>
      <c r="J273" s="64">
        <f t="shared" si="207"/>
        <v>184298.57882539206</v>
      </c>
      <c r="K273" s="64">
        <f t="shared" si="207"/>
        <v>178899.72711286024</v>
      </c>
      <c r="L273" s="64">
        <f t="shared" si="207"/>
        <v>173608.61122705633</v>
      </c>
      <c r="M273" s="64">
        <f t="shared" si="207"/>
        <v>168791.1102887486</v>
      </c>
      <c r="N273" s="64">
        <f t="shared" si="207"/>
        <v>164693.97193180505</v>
      </c>
      <c r="O273" s="64">
        <f t="shared" si="207"/>
        <v>160699.34855119942</v>
      </c>
      <c r="P273" s="64">
        <f t="shared" si="207"/>
        <v>157501.97139939613</v>
      </c>
      <c r="Q273" s="64">
        <f t="shared" si="207"/>
        <v>154978.30945012797</v>
      </c>
      <c r="R273" s="64">
        <f t="shared" si="207"/>
        <v>152983.33815490239</v>
      </c>
      <c r="S273" s="64">
        <f t="shared" si="207"/>
        <v>151382.43820258268</v>
      </c>
      <c r="T273" s="64">
        <f t="shared" si="207"/>
        <v>150115.29244405706</v>
      </c>
      <c r="U273" s="64">
        <f t="shared" si="207"/>
        <v>149046.80101505708</v>
      </c>
      <c r="V273" s="64">
        <f t="shared" si="207"/>
        <v>148115.50330633466</v>
      </c>
      <c r="W273" s="64">
        <f t="shared" si="207"/>
        <v>147277.88631225462</v>
      </c>
      <c r="X273" s="64">
        <f t="shared" si="207"/>
        <v>146503.74930548994</v>
      </c>
      <c r="Y273" s="64">
        <f t="shared" si="207"/>
        <v>145884.0338321614</v>
      </c>
      <c r="Z273" s="64">
        <f t="shared" si="207"/>
        <v>145292.96517509499</v>
      </c>
      <c r="AA273" s="64">
        <f t="shared" si="207"/>
        <v>144721.11177707752</v>
      </c>
      <c r="AB273" s="64">
        <f t="shared" si="207"/>
        <v>144162.12687767923</v>
      </c>
      <c r="AC273" s="64">
        <f t="shared" si="207"/>
        <v>143611.75082872994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0.58435662757767437</v>
      </c>
      <c r="C276" s="65">
        <f t="shared" ref="C276:AC276" si="209">((1+C249)^C256)*C249/(((1+C249)^C256)-1)*(C245)/C261</f>
        <v>0.57861632815139952</v>
      </c>
      <c r="D276" s="65">
        <f t="shared" si="209"/>
        <v>0.57063522815565915</v>
      </c>
      <c r="E276" s="65">
        <f t="shared" si="209"/>
        <v>0.55969343863504373</v>
      </c>
      <c r="F276" s="65">
        <f t="shared" si="209"/>
        <v>0.54498884599410002</v>
      </c>
      <c r="G276" s="65">
        <f t="shared" si="209"/>
        <v>0.52576710269400517</v>
      </c>
      <c r="H276" s="65">
        <f t="shared" si="209"/>
        <v>0.50156056590383791</v>
      </c>
      <c r="I276" s="65">
        <f t="shared" si="209"/>
        <v>0.47251341660438456</v>
      </c>
      <c r="J276" s="65">
        <f t="shared" si="209"/>
        <v>0.43966766545235858</v>
      </c>
      <c r="K276" s="65">
        <f t="shared" si="209"/>
        <v>0.40499254072389063</v>
      </c>
      <c r="L276" s="65">
        <f t="shared" si="209"/>
        <v>0.37099975759207732</v>
      </c>
      <c r="M276" s="65">
        <f t="shared" si="209"/>
        <v>0.34005542741488415</v>
      </c>
      <c r="N276" s="65">
        <f t="shared" si="209"/>
        <v>0.31375715332162663</v>
      </c>
      <c r="O276" s="65">
        <f t="shared" si="209"/>
        <v>0.29269694552697484</v>
      </c>
      <c r="P276" s="65">
        <f t="shared" si="209"/>
        <v>0.27662707226093081</v>
      </c>
      <c r="Q276" s="65">
        <f t="shared" si="209"/>
        <v>0.26481442660468946</v>
      </c>
      <c r="R276" s="65">
        <f t="shared" si="209"/>
        <v>0.25636855585005669</v>
      </c>
      <c r="S276" s="65">
        <f t="shared" si="209"/>
        <v>0.2504492477343005</v>
      </c>
      <c r="T276" s="65">
        <f t="shared" si="209"/>
        <v>0.24635864199720231</v>
      </c>
      <c r="U276" s="65">
        <f t="shared" si="209"/>
        <v>0.24355923664860338</v>
      </c>
      <c r="V276" s="65">
        <f t="shared" si="209"/>
        <v>0.24165625083001557</v>
      </c>
      <c r="W276" s="65">
        <f t="shared" si="209"/>
        <v>0.24036852150187074</v>
      </c>
      <c r="X276" s="65">
        <f t="shared" si="209"/>
        <v>0.23949981795268857</v>
      </c>
      <c r="Y276" s="65">
        <f t="shared" si="209"/>
        <v>0.23891501103873214</v>
      </c>
      <c r="Z276" s="65">
        <f t="shared" si="209"/>
        <v>0.23852187481455134</v>
      </c>
      <c r="AA276" s="65">
        <f t="shared" si="209"/>
        <v>0.23825783880163287</v>
      </c>
      <c r="AB276" s="65">
        <f t="shared" si="209"/>
        <v>0.2380806209257828</v>
      </c>
      <c r="AC276" s="65">
        <f t="shared" si="209"/>
        <v>0.23796172505299079</v>
      </c>
    </row>
    <row r="277" spans="1:29" x14ac:dyDescent="0.25">
      <c r="A277" s="30" t="str">
        <f t="shared" si="208"/>
        <v>Residual value (vehicle)</v>
      </c>
      <c r="B277" s="66">
        <f>((1+B249)^B256)*B249/(((1+B249)^B256)-1)*(B246)/B261</f>
        <v>-8.8562181550036131E-2</v>
      </c>
      <c r="C277" s="66">
        <f t="shared" ref="C277:AC277" si="210">((1+C249)^C256)*C249/(((1+C249)^C256)-1)*(C246)/C261</f>
        <v>-8.8079752130168359E-2</v>
      </c>
      <c r="D277" s="66">
        <f t="shared" si="210"/>
        <v>-8.7409000109249749E-2</v>
      </c>
      <c r="E277" s="66">
        <f t="shared" si="210"/>
        <v>-8.6489424181453362E-2</v>
      </c>
      <c r="F277" s="66">
        <f t="shared" si="210"/>
        <v>-8.5253612672267665E-2</v>
      </c>
      <c r="G277" s="66">
        <f t="shared" si="210"/>
        <v>-8.3638168288536277E-2</v>
      </c>
      <c r="H277" s="66">
        <f t="shared" si="210"/>
        <v>-8.1603789132766905E-2</v>
      </c>
      <c r="I277" s="66">
        <f t="shared" si="210"/>
        <v>-7.9162592542706467E-2</v>
      </c>
      <c r="J277" s="66">
        <f t="shared" si="210"/>
        <v>-7.6402151754397893E-2</v>
      </c>
      <c r="K277" s="66">
        <f t="shared" si="210"/>
        <v>-7.3487965739984104E-2</v>
      </c>
      <c r="L277" s="66">
        <f t="shared" si="210"/>
        <v>-7.0631125455501931E-2</v>
      </c>
      <c r="M277" s="66">
        <f t="shared" si="210"/>
        <v>-6.8030484940610148E-2</v>
      </c>
      <c r="N277" s="66">
        <f t="shared" si="210"/>
        <v>-6.5820310841283189E-2</v>
      </c>
      <c r="O277" s="66">
        <f t="shared" si="210"/>
        <v>-6.4050357207477357E-2</v>
      </c>
      <c r="P277" s="66">
        <f t="shared" si="210"/>
        <v>-6.2699804028735359E-2</v>
      </c>
      <c r="Q277" s="66">
        <f t="shared" si="210"/>
        <v>-6.1707039127838467E-2</v>
      </c>
      <c r="R277" s="66">
        <f t="shared" si="210"/>
        <v>-6.0997226585693808E-2</v>
      </c>
      <c r="S277" s="66">
        <f t="shared" si="210"/>
        <v>-6.0499752818518548E-2</v>
      </c>
      <c r="T277" s="66">
        <f t="shared" si="210"/>
        <v>-6.0155967868273062E-2</v>
      </c>
      <c r="U277" s="66">
        <f t="shared" si="210"/>
        <v>-5.9920698695358904E-2</v>
      </c>
      <c r="V277" s="66">
        <f t="shared" si="210"/>
        <v>-5.9760766908477578E-2</v>
      </c>
      <c r="W277" s="66">
        <f t="shared" si="210"/>
        <v>-5.965254284792073E-2</v>
      </c>
      <c r="X277" s="66">
        <f t="shared" si="210"/>
        <v>-5.957953478368095E-2</v>
      </c>
      <c r="Y277" s="66">
        <f t="shared" si="210"/>
        <v>-5.9530386117508022E-2</v>
      </c>
      <c r="Z277" s="66">
        <f t="shared" si="210"/>
        <v>-5.9497345945475795E-2</v>
      </c>
      <c r="AA277" s="66">
        <f t="shared" si="210"/>
        <v>-5.9475155684815637E-2</v>
      </c>
      <c r="AB277" s="66">
        <f t="shared" si="210"/>
        <v>-5.9460261842058014E-2</v>
      </c>
      <c r="AC277" s="66">
        <f t="shared" si="210"/>
        <v>-5.9450269529344645E-2</v>
      </c>
    </row>
    <row r="278" spans="1:29" x14ac:dyDescent="0.25">
      <c r="A278" s="30" t="str">
        <f t="shared" si="208"/>
        <v>Capex costumization</v>
      </c>
      <c r="B278" s="66">
        <f>((1+B249)^B257)*B249/(((1+B249)^B257)-1)*(B247)/B261</f>
        <v>3.8819416634395351E-2</v>
      </c>
      <c r="C278" s="66">
        <f t="shared" ref="C278:AC278" si="211">((1+C249)^C257)*C249/(((1+C249)^C257)-1)*(C247)/C261</f>
        <v>3.8819416634395351E-2</v>
      </c>
      <c r="D278" s="66">
        <f t="shared" si="211"/>
        <v>3.8819416634395351E-2</v>
      </c>
      <c r="E278" s="66">
        <f t="shared" si="211"/>
        <v>3.8819416634395351E-2</v>
      </c>
      <c r="F278" s="66">
        <f t="shared" si="211"/>
        <v>3.8819416634395351E-2</v>
      </c>
      <c r="G278" s="66">
        <f t="shared" si="211"/>
        <v>3.8819416634395351E-2</v>
      </c>
      <c r="H278" s="66">
        <f t="shared" si="211"/>
        <v>3.8819416634395351E-2</v>
      </c>
      <c r="I278" s="66">
        <f t="shared" si="211"/>
        <v>3.8819416634395351E-2</v>
      </c>
      <c r="J278" s="66">
        <f t="shared" si="211"/>
        <v>3.8819416634395351E-2</v>
      </c>
      <c r="K278" s="66">
        <f t="shared" si="211"/>
        <v>3.8819416634395351E-2</v>
      </c>
      <c r="L278" s="66">
        <f t="shared" si="211"/>
        <v>3.8819416634395351E-2</v>
      </c>
      <c r="M278" s="66">
        <f t="shared" si="211"/>
        <v>3.8819416634395351E-2</v>
      </c>
      <c r="N278" s="66">
        <f t="shared" si="211"/>
        <v>3.8819416634395351E-2</v>
      </c>
      <c r="O278" s="66">
        <f t="shared" si="211"/>
        <v>3.8819416634395351E-2</v>
      </c>
      <c r="P278" s="66">
        <f t="shared" si="211"/>
        <v>3.8819416634395351E-2</v>
      </c>
      <c r="Q278" s="66">
        <f t="shared" si="211"/>
        <v>3.8819416634395351E-2</v>
      </c>
      <c r="R278" s="66">
        <f t="shared" si="211"/>
        <v>3.8819416634395351E-2</v>
      </c>
      <c r="S278" s="66">
        <f t="shared" si="211"/>
        <v>3.8819416634395351E-2</v>
      </c>
      <c r="T278" s="66">
        <f t="shared" si="211"/>
        <v>3.8819416634395351E-2</v>
      </c>
      <c r="U278" s="66">
        <f t="shared" si="211"/>
        <v>3.8819416634395351E-2</v>
      </c>
      <c r="V278" s="66">
        <f t="shared" si="211"/>
        <v>3.8819416634395351E-2</v>
      </c>
      <c r="W278" s="66">
        <f t="shared" si="211"/>
        <v>3.8819416634395351E-2</v>
      </c>
      <c r="X278" s="66">
        <f t="shared" si="211"/>
        <v>3.8819416634395351E-2</v>
      </c>
      <c r="Y278" s="66">
        <f t="shared" si="211"/>
        <v>3.8819416634395351E-2</v>
      </c>
      <c r="Z278" s="66">
        <f t="shared" si="211"/>
        <v>3.8819416634395351E-2</v>
      </c>
      <c r="AA278" s="66">
        <f t="shared" si="211"/>
        <v>3.8819416634395351E-2</v>
      </c>
      <c r="AB278" s="66">
        <f t="shared" si="211"/>
        <v>3.8819416634395351E-2</v>
      </c>
      <c r="AC278" s="66">
        <f t="shared" si="211"/>
        <v>3.8819416634395351E-2</v>
      </c>
    </row>
    <row r="279" spans="1:29" x14ac:dyDescent="0.25">
      <c r="A279" s="30" t="str">
        <f t="shared" si="208"/>
        <v>Residual value (costumization)</v>
      </c>
      <c r="B279" s="66">
        <f>((1+B249)^B257)*B249/(((1+B249)^B257)-1)*(B248)/B261</f>
        <v>-9.7048541585988378E-3</v>
      </c>
      <c r="C279" s="66">
        <f t="shared" ref="C279:AC279" si="212">((1+C249)^C257)*C249/(((1+C249)^C257)-1)*(C248)/C261</f>
        <v>-9.7048541585988378E-3</v>
      </c>
      <c r="D279" s="66">
        <f t="shared" si="212"/>
        <v>-9.7048541585988378E-3</v>
      </c>
      <c r="E279" s="66">
        <f t="shared" si="212"/>
        <v>-9.7048541585988378E-3</v>
      </c>
      <c r="F279" s="66">
        <f t="shared" si="212"/>
        <v>-9.7048541585988378E-3</v>
      </c>
      <c r="G279" s="66">
        <f t="shared" si="212"/>
        <v>-9.7048541585988378E-3</v>
      </c>
      <c r="H279" s="66">
        <f t="shared" si="212"/>
        <v>-9.7048541585988378E-3</v>
      </c>
      <c r="I279" s="66">
        <f t="shared" si="212"/>
        <v>-9.7048541585988378E-3</v>
      </c>
      <c r="J279" s="66">
        <f t="shared" si="212"/>
        <v>-9.7048541585988378E-3</v>
      </c>
      <c r="K279" s="66">
        <f t="shared" si="212"/>
        <v>-9.7048541585988378E-3</v>
      </c>
      <c r="L279" s="66">
        <f t="shared" si="212"/>
        <v>-9.7048541585988378E-3</v>
      </c>
      <c r="M279" s="66">
        <f t="shared" si="212"/>
        <v>-9.7048541585988378E-3</v>
      </c>
      <c r="N279" s="66">
        <f t="shared" si="212"/>
        <v>-9.7048541585988378E-3</v>
      </c>
      <c r="O279" s="66">
        <f t="shared" si="212"/>
        <v>-9.7048541585988378E-3</v>
      </c>
      <c r="P279" s="66">
        <f t="shared" si="212"/>
        <v>-9.7048541585988378E-3</v>
      </c>
      <c r="Q279" s="66">
        <f t="shared" si="212"/>
        <v>-9.7048541585988378E-3</v>
      </c>
      <c r="R279" s="66">
        <f t="shared" si="212"/>
        <v>-9.7048541585988378E-3</v>
      </c>
      <c r="S279" s="66">
        <f t="shared" si="212"/>
        <v>-9.7048541585988378E-3</v>
      </c>
      <c r="T279" s="66">
        <f t="shared" si="212"/>
        <v>-9.7048541585988378E-3</v>
      </c>
      <c r="U279" s="66">
        <f t="shared" si="212"/>
        <v>-9.7048541585988378E-3</v>
      </c>
      <c r="V279" s="66">
        <f t="shared" si="212"/>
        <v>-9.7048541585988378E-3</v>
      </c>
      <c r="W279" s="66">
        <f t="shared" si="212"/>
        <v>-9.7048541585988378E-3</v>
      </c>
      <c r="X279" s="66">
        <f t="shared" si="212"/>
        <v>-9.7048541585988378E-3</v>
      </c>
      <c r="Y279" s="66">
        <f t="shared" si="212"/>
        <v>-9.7048541585988378E-3</v>
      </c>
      <c r="Z279" s="66">
        <f t="shared" si="212"/>
        <v>-9.7048541585988378E-3</v>
      </c>
      <c r="AA279" s="66">
        <f t="shared" si="212"/>
        <v>-9.7048541585988378E-3</v>
      </c>
      <c r="AB279" s="66">
        <f t="shared" si="212"/>
        <v>-9.7048541585988378E-3</v>
      </c>
      <c r="AC279" s="66">
        <f t="shared" si="212"/>
        <v>-9.7048541585988378E-3</v>
      </c>
    </row>
    <row r="280" spans="1:29" x14ac:dyDescent="0.25">
      <c r="A280" s="30" t="str">
        <f t="shared" si="208"/>
        <v>Opex fix (admin, crew, insurance)</v>
      </c>
      <c r="B280" s="66">
        <f>B250/B261</f>
        <v>0.66666666666666663</v>
      </c>
      <c r="C280" s="66">
        <f t="shared" ref="C280:AC280" si="213">C250/C261</f>
        <v>0.66666666666666663</v>
      </c>
      <c r="D280" s="66">
        <f t="shared" si="213"/>
        <v>0.66666666666666663</v>
      </c>
      <c r="E280" s="66">
        <f t="shared" si="213"/>
        <v>0.66666666666666663</v>
      </c>
      <c r="F280" s="66">
        <f t="shared" si="213"/>
        <v>0.66666666666666663</v>
      </c>
      <c r="G280" s="66">
        <f t="shared" si="213"/>
        <v>0.66666666666666663</v>
      </c>
      <c r="H280" s="66">
        <f t="shared" si="213"/>
        <v>0.66666666666666663</v>
      </c>
      <c r="I280" s="66">
        <f t="shared" si="213"/>
        <v>0.66666666666666663</v>
      </c>
      <c r="J280" s="66">
        <f t="shared" si="213"/>
        <v>0.66666666666666663</v>
      </c>
      <c r="K280" s="66">
        <f t="shared" si="213"/>
        <v>0.66666666666666663</v>
      </c>
      <c r="L280" s="66">
        <f t="shared" si="213"/>
        <v>0.66666666666666663</v>
      </c>
      <c r="M280" s="66">
        <f t="shared" si="213"/>
        <v>0.66666666666666663</v>
      </c>
      <c r="N280" s="66">
        <f t="shared" si="213"/>
        <v>0.66666666666666663</v>
      </c>
      <c r="O280" s="66">
        <f t="shared" si="213"/>
        <v>0.66666666666666663</v>
      </c>
      <c r="P280" s="66">
        <f t="shared" si="213"/>
        <v>0.66666666666666663</v>
      </c>
      <c r="Q280" s="66">
        <f t="shared" si="213"/>
        <v>0.66666666666666663</v>
      </c>
      <c r="R280" s="66">
        <f t="shared" si="213"/>
        <v>0.66666666666666663</v>
      </c>
      <c r="S280" s="66">
        <f t="shared" si="213"/>
        <v>0.66666666666666663</v>
      </c>
      <c r="T280" s="66">
        <f t="shared" si="213"/>
        <v>0.66666666666666663</v>
      </c>
      <c r="U280" s="66">
        <f t="shared" si="213"/>
        <v>0.66666666666666663</v>
      </c>
      <c r="V280" s="66">
        <f t="shared" si="213"/>
        <v>0.66666666666666663</v>
      </c>
      <c r="W280" s="66">
        <f t="shared" si="213"/>
        <v>0.66666666666666663</v>
      </c>
      <c r="X280" s="66">
        <f t="shared" si="213"/>
        <v>0.66666666666666663</v>
      </c>
      <c r="Y280" s="66">
        <f t="shared" si="213"/>
        <v>0.66666666666666663</v>
      </c>
      <c r="Z280" s="66">
        <f t="shared" si="213"/>
        <v>0.66666666666666663</v>
      </c>
      <c r="AA280" s="66">
        <f t="shared" si="213"/>
        <v>0.66666666666666663</v>
      </c>
      <c r="AB280" s="66">
        <f t="shared" si="213"/>
        <v>0.66666666666666663</v>
      </c>
      <c r="AC280" s="66">
        <f t="shared" si="213"/>
        <v>0.66666666666666663</v>
      </c>
    </row>
    <row r="281" spans="1:29" x14ac:dyDescent="0.25">
      <c r="A281" s="30" t="str">
        <f t="shared" si="208"/>
        <v>Opex maintenance &amp; repair</v>
      </c>
      <c r="B281" s="66">
        <f>B251/B261</f>
        <v>0.24470665459930879</v>
      </c>
      <c r="C281" s="66">
        <f t="shared" ref="C281:AC281" si="214">C251/C261</f>
        <v>0.24349317116610389</v>
      </c>
      <c r="D281" s="66">
        <f t="shared" si="214"/>
        <v>0.24180598868582209</v>
      </c>
      <c r="E281" s="66">
        <f t="shared" si="214"/>
        <v>0.23949292462297786</v>
      </c>
      <c r="F281" s="66">
        <f t="shared" si="214"/>
        <v>0.23638441438043964</v>
      </c>
      <c r="G281" s="66">
        <f t="shared" si="214"/>
        <v>0.23232099097342773</v>
      </c>
      <c r="H281" s="66">
        <f t="shared" si="214"/>
        <v>0.22720379599999496</v>
      </c>
      <c r="I281" s="66">
        <f t="shared" si="214"/>
        <v>0.22106330892098036</v>
      </c>
      <c r="J281" s="66">
        <f t="shared" si="214"/>
        <v>0.21411980790921872</v>
      </c>
      <c r="K281" s="66">
        <f t="shared" si="214"/>
        <v>0.20678958237956976</v>
      </c>
      <c r="L281" s="66">
        <f t="shared" si="214"/>
        <v>0.19960360197754207</v>
      </c>
      <c r="M281" s="66">
        <f t="shared" si="214"/>
        <v>0.19306205610455709</v>
      </c>
      <c r="N281" s="66">
        <f t="shared" si="214"/>
        <v>0.18750267364656589</v>
      </c>
      <c r="O281" s="66">
        <f t="shared" si="214"/>
        <v>0.18305060392670339</v>
      </c>
      <c r="P281" s="66">
        <f t="shared" si="214"/>
        <v>0.17965347713349333</v>
      </c>
      <c r="Q281" s="66">
        <f t="shared" si="214"/>
        <v>0.1771563164905213</v>
      </c>
      <c r="R281" s="66">
        <f t="shared" si="214"/>
        <v>0.17537088275638113</v>
      </c>
      <c r="S281" s="66">
        <f t="shared" si="214"/>
        <v>0.17411955738097873</v>
      </c>
      <c r="T281" s="66">
        <f t="shared" si="214"/>
        <v>0.1732548146341073</v>
      </c>
      <c r="U281" s="66">
        <f t="shared" si="214"/>
        <v>0.17266302808063919</v>
      </c>
      <c r="V281" s="66">
        <f t="shared" si="214"/>
        <v>0.17226074213821779</v>
      </c>
      <c r="W281" s="66">
        <f t="shared" si="214"/>
        <v>0.17198851971737975</v>
      </c>
      <c r="X281" s="66">
        <f t="shared" si="214"/>
        <v>0.17180487818807663</v>
      </c>
      <c r="Y281" s="66">
        <f t="shared" si="214"/>
        <v>0.17168125162280345</v>
      </c>
      <c r="Z281" s="66">
        <f t="shared" si="214"/>
        <v>0.17159814371159376</v>
      </c>
      <c r="AA281" s="66">
        <f t="shared" si="214"/>
        <v>0.17154232722822715</v>
      </c>
      <c r="AB281" s="66">
        <f t="shared" si="214"/>
        <v>0.1715048638590817</v>
      </c>
      <c r="AC281" s="66">
        <f t="shared" si="214"/>
        <v>0.17147972960018762</v>
      </c>
    </row>
    <row r="282" spans="1:29" x14ac:dyDescent="0.25">
      <c r="A282" s="30" t="str">
        <f t="shared" si="208"/>
        <v>Opex var (mode-fees)</v>
      </c>
      <c r="B282" s="66">
        <f>B252*B261/B261</f>
        <v>0.11</v>
      </c>
      <c r="C282" s="66">
        <f t="shared" ref="C282:AC282" si="215">C252*C261/C261</f>
        <v>0.11</v>
      </c>
      <c r="D282" s="66">
        <f t="shared" si="215"/>
        <v>0.11</v>
      </c>
      <c r="E282" s="66">
        <f t="shared" si="215"/>
        <v>0.11</v>
      </c>
      <c r="F282" s="66">
        <f t="shared" si="215"/>
        <v>0.11</v>
      </c>
      <c r="G282" s="66">
        <f t="shared" si="215"/>
        <v>0.11</v>
      </c>
      <c r="H282" s="66">
        <f t="shared" si="215"/>
        <v>0.11</v>
      </c>
      <c r="I282" s="66">
        <f t="shared" si="215"/>
        <v>0.11</v>
      </c>
      <c r="J282" s="66">
        <f t="shared" si="215"/>
        <v>0.11</v>
      </c>
      <c r="K282" s="66">
        <f t="shared" si="215"/>
        <v>0.11</v>
      </c>
      <c r="L282" s="66">
        <f t="shared" si="215"/>
        <v>0.11</v>
      </c>
      <c r="M282" s="66">
        <f t="shared" si="215"/>
        <v>0.11</v>
      </c>
      <c r="N282" s="66">
        <f t="shared" si="215"/>
        <v>0.11</v>
      </c>
      <c r="O282" s="66">
        <f t="shared" si="215"/>
        <v>0.11</v>
      </c>
      <c r="P282" s="66">
        <f t="shared" si="215"/>
        <v>0.11</v>
      </c>
      <c r="Q282" s="66">
        <f t="shared" si="215"/>
        <v>0.11</v>
      </c>
      <c r="R282" s="66">
        <f t="shared" si="215"/>
        <v>0.11</v>
      </c>
      <c r="S282" s="66">
        <f t="shared" si="215"/>
        <v>0.11</v>
      </c>
      <c r="T282" s="66">
        <f t="shared" si="215"/>
        <v>0.11</v>
      </c>
      <c r="U282" s="66">
        <f t="shared" si="215"/>
        <v>0.11</v>
      </c>
      <c r="V282" s="66">
        <f t="shared" si="215"/>
        <v>0.11</v>
      </c>
      <c r="W282" s="66">
        <f t="shared" si="215"/>
        <v>0.11</v>
      </c>
      <c r="X282" s="66">
        <f t="shared" si="215"/>
        <v>0.11</v>
      </c>
      <c r="Y282" s="66">
        <f t="shared" si="215"/>
        <v>0.11</v>
      </c>
      <c r="Z282" s="66">
        <f t="shared" si="215"/>
        <v>0.11</v>
      </c>
      <c r="AA282" s="66">
        <f t="shared" si="215"/>
        <v>0.11</v>
      </c>
      <c r="AB282" s="66">
        <f t="shared" si="215"/>
        <v>0.11</v>
      </c>
      <c r="AC282" s="66">
        <f t="shared" si="215"/>
        <v>0.11</v>
      </c>
    </row>
    <row r="283" spans="1:29" x14ac:dyDescent="0.25">
      <c r="A283" s="30" t="str">
        <f t="shared" si="208"/>
        <v>Fuel Cost</v>
      </c>
      <c r="B283" s="66">
        <f>B253*B254*B261/B261</f>
        <v>0.4927354088033033</v>
      </c>
      <c r="C283" s="66">
        <f t="shared" ref="C283:AC283" si="216">C253*C254*C261/C261</f>
        <v>0.47767900410399794</v>
      </c>
      <c r="D283" s="66">
        <f t="shared" si="216"/>
        <v>0.46188405358693935</v>
      </c>
      <c r="E283" s="66">
        <f t="shared" si="216"/>
        <v>0.44895221489419984</v>
      </c>
      <c r="F283" s="66">
        <f t="shared" si="216"/>
        <v>0.43479297751634621</v>
      </c>
      <c r="G283" s="66">
        <f t="shared" si="216"/>
        <v>0.41921630743435456</v>
      </c>
      <c r="H283" s="66">
        <f t="shared" si="216"/>
        <v>0.40215578118011269</v>
      </c>
      <c r="I283" s="66">
        <f t="shared" si="216"/>
        <v>0.38377084579073645</v>
      </c>
      <c r="J283" s="66">
        <f t="shared" si="216"/>
        <v>0.3720580094921867</v>
      </c>
      <c r="K283" s="66">
        <f t="shared" si="216"/>
        <v>0.35973153837844385</v>
      </c>
      <c r="L283" s="66">
        <f t="shared" si="216"/>
        <v>0.34766188176300361</v>
      </c>
      <c r="M283" s="66">
        <f t="shared" si="216"/>
        <v>0.33666615598107319</v>
      </c>
      <c r="N283" s="66">
        <f t="shared" si="216"/>
        <v>0.32729327312877066</v>
      </c>
      <c r="O283" s="66">
        <f t="shared" si="216"/>
        <v>0.31299156481323526</v>
      </c>
      <c r="P283" s="66">
        <f t="shared" si="216"/>
        <v>0.30065680072419226</v>
      </c>
      <c r="Q283" s="66">
        <f t="shared" si="216"/>
        <v>0.28993896641519301</v>
      </c>
      <c r="R283" s="66">
        <f t="shared" si="216"/>
        <v>0.28046073174062519</v>
      </c>
      <c r="S283" s="66">
        <f t="shared" si="216"/>
        <v>0.2718872252520399</v>
      </c>
      <c r="T283" s="66">
        <f t="shared" si="216"/>
        <v>0.2644307339426627</v>
      </c>
      <c r="U283" s="66">
        <f t="shared" si="216"/>
        <v>0.25741054782419687</v>
      </c>
      <c r="V283" s="66">
        <f t="shared" si="216"/>
        <v>0.2506863858104923</v>
      </c>
      <c r="W283" s="66">
        <f t="shared" si="216"/>
        <v>0.24416080879339386</v>
      </c>
      <c r="X283" s="66">
        <f t="shared" si="216"/>
        <v>0.2377674124098805</v>
      </c>
      <c r="Y283" s="66">
        <f t="shared" si="216"/>
        <v>0.23252464509599879</v>
      </c>
      <c r="Z283" s="66">
        <f t="shared" si="216"/>
        <v>0.2273386237539626</v>
      </c>
      <c r="AA283" s="66">
        <f t="shared" si="216"/>
        <v>0.22219006315132597</v>
      </c>
      <c r="AB283" s="66">
        <f t="shared" si="216"/>
        <v>0.21706618484500878</v>
      </c>
      <c r="AC283" s="66">
        <f t="shared" si="216"/>
        <v>0.21195854600732134</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2.0584274468899113</v>
      </c>
      <c r="C285" s="76">
        <f t="shared" ref="C285:AC285" si="219">C276+C277+C278-C279+C280+C281+C282+C283+C284</f>
        <v>2.036899688750994</v>
      </c>
      <c r="D285" s="76">
        <f t="shared" si="219"/>
        <v>2.0121072077788318</v>
      </c>
      <c r="E285" s="76">
        <f t="shared" si="219"/>
        <v>1.9868400914304287</v>
      </c>
      <c r="F285" s="76">
        <f t="shared" si="219"/>
        <v>1.956103562678279</v>
      </c>
      <c r="G285" s="76">
        <f t="shared" si="219"/>
        <v>1.9188571702729122</v>
      </c>
      <c r="H285" s="76">
        <f t="shared" si="219"/>
        <v>1.8745072914108396</v>
      </c>
      <c r="I285" s="76">
        <f t="shared" si="219"/>
        <v>1.8233759162330558</v>
      </c>
      <c r="J285" s="76">
        <f t="shared" si="219"/>
        <v>1.7746342685590273</v>
      </c>
      <c r="K285" s="76">
        <f t="shared" si="219"/>
        <v>1.723216633201581</v>
      </c>
      <c r="L285" s="76">
        <f t="shared" si="219"/>
        <v>1.6728250533367821</v>
      </c>
      <c r="M285" s="76">
        <f t="shared" si="219"/>
        <v>1.6269440920195652</v>
      </c>
      <c r="N285" s="76">
        <f t="shared" si="219"/>
        <v>1.5879237267153408</v>
      </c>
      <c r="O285" s="76">
        <f t="shared" si="219"/>
        <v>1.5498796945190971</v>
      </c>
      <c r="P285" s="76">
        <f t="shared" si="219"/>
        <v>1.519428483549542</v>
      </c>
      <c r="Q285" s="76">
        <f t="shared" si="219"/>
        <v>1.4953936078422261</v>
      </c>
      <c r="R285" s="76">
        <f t="shared" si="219"/>
        <v>1.47639388122103</v>
      </c>
      <c r="S285" s="76">
        <f t="shared" si="219"/>
        <v>1.4611472150084617</v>
      </c>
      <c r="T285" s="76">
        <f t="shared" si="219"/>
        <v>1.4490791601653603</v>
      </c>
      <c r="U285" s="76">
        <f t="shared" si="219"/>
        <v>1.4389030513177414</v>
      </c>
      <c r="V285" s="76">
        <f t="shared" si="219"/>
        <v>1.430033549329909</v>
      </c>
      <c r="W285" s="76">
        <f t="shared" si="219"/>
        <v>1.4220562446243847</v>
      </c>
      <c r="X285" s="76">
        <f t="shared" si="219"/>
        <v>1.4146835112266256</v>
      </c>
      <c r="Y285" s="76">
        <f t="shared" si="219"/>
        <v>1.4087814590996872</v>
      </c>
      <c r="Z285" s="76">
        <f t="shared" si="219"/>
        <v>1.4031522337942928</v>
      </c>
      <c r="AA285" s="76">
        <f t="shared" si="219"/>
        <v>1.3977060109560315</v>
      </c>
      <c r="AB285" s="76">
        <f t="shared" si="219"/>
        <v>1.3923823452474762</v>
      </c>
      <c r="AC285" s="76">
        <f t="shared" si="219"/>
        <v>1.3871406685908161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2.3374265103106976E-2</v>
      </c>
      <c r="C288" s="65">
        <f t="shared" ref="C288:AC288" si="221">((1+C249)^C256)*C249/(((1+C249)^C256)-1)*(C245)/C261/(C258)</f>
        <v>2.3144653126055979E-2</v>
      </c>
      <c r="D288" s="65">
        <f t="shared" si="221"/>
        <v>2.2825409126226368E-2</v>
      </c>
      <c r="E288" s="65">
        <f t="shared" si="221"/>
        <v>2.2387737545401749E-2</v>
      </c>
      <c r="F288" s="65">
        <f t="shared" si="221"/>
        <v>2.1799553839764001E-2</v>
      </c>
      <c r="G288" s="65">
        <f t="shared" si="221"/>
        <v>2.1030684107760208E-2</v>
      </c>
      <c r="H288" s="65">
        <f t="shared" si="221"/>
        <v>2.0062422636153515E-2</v>
      </c>
      <c r="I288" s="65">
        <f t="shared" si="221"/>
        <v>1.8900536664175384E-2</v>
      </c>
      <c r="J288" s="65">
        <f t="shared" si="221"/>
        <v>1.7586706618094344E-2</v>
      </c>
      <c r="K288" s="65">
        <f t="shared" si="221"/>
        <v>1.6199701628955624E-2</v>
      </c>
      <c r="L288" s="65">
        <f t="shared" si="221"/>
        <v>1.4839990303683093E-2</v>
      </c>
      <c r="M288" s="65">
        <f t="shared" si="221"/>
        <v>1.3602217096595365E-2</v>
      </c>
      <c r="N288" s="65">
        <f t="shared" si="221"/>
        <v>1.2550286132865065E-2</v>
      </c>
      <c r="O288" s="65">
        <f t="shared" si="221"/>
        <v>1.1707877821078993E-2</v>
      </c>
      <c r="P288" s="65">
        <f t="shared" si="221"/>
        <v>1.1065082890437233E-2</v>
      </c>
      <c r="Q288" s="65">
        <f t="shared" si="221"/>
        <v>1.0592577064187578E-2</v>
      </c>
      <c r="R288" s="65">
        <f t="shared" si="221"/>
        <v>1.0254742234002268E-2</v>
      </c>
      <c r="S288" s="65">
        <f t="shared" si="221"/>
        <v>1.001796990937202E-2</v>
      </c>
      <c r="T288" s="65">
        <f t="shared" si="221"/>
        <v>9.8543456798880925E-3</v>
      </c>
      <c r="U288" s="65">
        <f t="shared" si="221"/>
        <v>9.7423694659441347E-3</v>
      </c>
      <c r="V288" s="65">
        <f t="shared" si="221"/>
        <v>9.6662500332006223E-3</v>
      </c>
      <c r="W288" s="65">
        <f t="shared" si="221"/>
        <v>9.6147408600748292E-3</v>
      </c>
      <c r="X288" s="65">
        <f t="shared" si="221"/>
        <v>9.5799927181075429E-3</v>
      </c>
      <c r="Y288" s="65">
        <f t="shared" si="221"/>
        <v>9.5566004415492851E-3</v>
      </c>
      <c r="Z288" s="65">
        <f t="shared" si="221"/>
        <v>9.5408749925820543E-3</v>
      </c>
      <c r="AA288" s="65">
        <f t="shared" si="221"/>
        <v>9.5303135520653157E-3</v>
      </c>
      <c r="AB288" s="65">
        <f t="shared" si="221"/>
        <v>9.5232248370313126E-3</v>
      </c>
      <c r="AC288" s="65">
        <f t="shared" si="221"/>
        <v>9.5184690021196325E-3</v>
      </c>
    </row>
    <row r="289" spans="1:29" x14ac:dyDescent="0.25">
      <c r="A289" s="30" t="str">
        <f t="shared" si="220"/>
        <v>Residual value (vehicle)</v>
      </c>
      <c r="B289" s="68">
        <f>((1+B249)^B256)*B249/(((1+B249)^B256)-1)*(B246)/B261/(B258)</f>
        <v>-3.5424872620014453E-3</v>
      </c>
      <c r="C289" s="68">
        <f t="shared" ref="C289:AC289" si="222">((1+C249)^C256)*C249/(((1+C249)^C256)-1)*(C246)/C261/(C258)</f>
        <v>-3.5231900852067343E-3</v>
      </c>
      <c r="D289" s="68">
        <f t="shared" si="222"/>
        <v>-3.4963600043699901E-3</v>
      </c>
      <c r="E289" s="68">
        <f t="shared" si="222"/>
        <v>-3.4595769672581345E-3</v>
      </c>
      <c r="F289" s="68">
        <f t="shared" si="222"/>
        <v>-3.4101445068907064E-3</v>
      </c>
      <c r="G289" s="68">
        <f t="shared" si="222"/>
        <v>-3.3455267315414513E-3</v>
      </c>
      <c r="H289" s="68">
        <f t="shared" si="222"/>
        <v>-3.2641515653106762E-3</v>
      </c>
      <c r="I289" s="68">
        <f t="shared" si="222"/>
        <v>-3.1665037017082585E-3</v>
      </c>
      <c r="J289" s="68">
        <f t="shared" si="222"/>
        <v>-3.0560860701759158E-3</v>
      </c>
      <c r="K289" s="68">
        <f t="shared" si="222"/>
        <v>-2.9395186295993643E-3</v>
      </c>
      <c r="L289" s="68">
        <f t="shared" si="222"/>
        <v>-2.825245018220077E-3</v>
      </c>
      <c r="M289" s="68">
        <f t="shared" si="222"/>
        <v>-2.721219397624406E-3</v>
      </c>
      <c r="N289" s="68">
        <f t="shared" si="222"/>
        <v>-2.6328124336513275E-3</v>
      </c>
      <c r="O289" s="68">
        <f t="shared" si="222"/>
        <v>-2.5620142882990943E-3</v>
      </c>
      <c r="P289" s="68">
        <f t="shared" si="222"/>
        <v>-2.5079921611494142E-3</v>
      </c>
      <c r="Q289" s="68">
        <f t="shared" si="222"/>
        <v>-2.4682815651135386E-3</v>
      </c>
      <c r="R289" s="68">
        <f t="shared" si="222"/>
        <v>-2.4398890634277524E-3</v>
      </c>
      <c r="S289" s="68">
        <f t="shared" si="222"/>
        <v>-2.419990112740742E-3</v>
      </c>
      <c r="T289" s="68">
        <f t="shared" si="222"/>
        <v>-2.4062387147309227E-3</v>
      </c>
      <c r="U289" s="68">
        <f t="shared" si="222"/>
        <v>-2.3968279478143563E-3</v>
      </c>
      <c r="V289" s="68">
        <f t="shared" si="222"/>
        <v>-2.390430676339103E-3</v>
      </c>
      <c r="W289" s="68">
        <f t="shared" si="222"/>
        <v>-2.3861017139168291E-3</v>
      </c>
      <c r="X289" s="68">
        <f t="shared" si="222"/>
        <v>-2.3831813913472379E-3</v>
      </c>
      <c r="Y289" s="68">
        <f t="shared" si="222"/>
        <v>-2.3812154447003207E-3</v>
      </c>
      <c r="Z289" s="68">
        <f t="shared" si="222"/>
        <v>-2.3798938378190317E-3</v>
      </c>
      <c r="AA289" s="68">
        <f t="shared" si="222"/>
        <v>-2.3790062273926255E-3</v>
      </c>
      <c r="AB289" s="68">
        <f t="shared" si="222"/>
        <v>-2.3784104736823204E-3</v>
      </c>
      <c r="AC289" s="68">
        <f t="shared" si="222"/>
        <v>-2.3780107811737857E-3</v>
      </c>
    </row>
    <row r="290" spans="1:29" x14ac:dyDescent="0.25">
      <c r="A290" s="30" t="str">
        <f t="shared" si="220"/>
        <v>Capex costumization</v>
      </c>
      <c r="B290" s="66">
        <f>((1+B249)^B257)*B249/(((1+B249)^B257)-1)*(B247)/B261/(B258)</f>
        <v>1.552776665375814E-3</v>
      </c>
      <c r="C290" s="66">
        <f t="shared" ref="C290:AC290" si="223">((1+C249)^C257)*C249/(((1+C249)^C257)-1)*(C247)/C261/(C258)</f>
        <v>1.552776665375814E-3</v>
      </c>
      <c r="D290" s="66">
        <f t="shared" si="223"/>
        <v>1.552776665375814E-3</v>
      </c>
      <c r="E290" s="66">
        <f t="shared" si="223"/>
        <v>1.552776665375814E-3</v>
      </c>
      <c r="F290" s="66">
        <f t="shared" si="223"/>
        <v>1.552776665375814E-3</v>
      </c>
      <c r="G290" s="66">
        <f t="shared" si="223"/>
        <v>1.552776665375814E-3</v>
      </c>
      <c r="H290" s="66">
        <f t="shared" si="223"/>
        <v>1.552776665375814E-3</v>
      </c>
      <c r="I290" s="66">
        <f t="shared" si="223"/>
        <v>1.552776665375814E-3</v>
      </c>
      <c r="J290" s="66">
        <f t="shared" si="223"/>
        <v>1.552776665375814E-3</v>
      </c>
      <c r="K290" s="66">
        <f t="shared" si="223"/>
        <v>1.552776665375814E-3</v>
      </c>
      <c r="L290" s="66">
        <f t="shared" si="223"/>
        <v>1.552776665375814E-3</v>
      </c>
      <c r="M290" s="66">
        <f t="shared" si="223"/>
        <v>1.552776665375814E-3</v>
      </c>
      <c r="N290" s="66">
        <f t="shared" si="223"/>
        <v>1.552776665375814E-3</v>
      </c>
      <c r="O290" s="66">
        <f t="shared" si="223"/>
        <v>1.552776665375814E-3</v>
      </c>
      <c r="P290" s="66">
        <f t="shared" si="223"/>
        <v>1.552776665375814E-3</v>
      </c>
      <c r="Q290" s="66">
        <f t="shared" si="223"/>
        <v>1.552776665375814E-3</v>
      </c>
      <c r="R290" s="66">
        <f t="shared" si="223"/>
        <v>1.552776665375814E-3</v>
      </c>
      <c r="S290" s="66">
        <f t="shared" si="223"/>
        <v>1.552776665375814E-3</v>
      </c>
      <c r="T290" s="66">
        <f t="shared" si="223"/>
        <v>1.552776665375814E-3</v>
      </c>
      <c r="U290" s="66">
        <f t="shared" si="223"/>
        <v>1.552776665375814E-3</v>
      </c>
      <c r="V290" s="66">
        <f t="shared" si="223"/>
        <v>1.552776665375814E-3</v>
      </c>
      <c r="W290" s="66">
        <f t="shared" si="223"/>
        <v>1.552776665375814E-3</v>
      </c>
      <c r="X290" s="66">
        <f t="shared" si="223"/>
        <v>1.552776665375814E-3</v>
      </c>
      <c r="Y290" s="66">
        <f t="shared" si="223"/>
        <v>1.552776665375814E-3</v>
      </c>
      <c r="Z290" s="66">
        <f t="shared" si="223"/>
        <v>1.552776665375814E-3</v>
      </c>
      <c r="AA290" s="66">
        <f t="shared" si="223"/>
        <v>1.552776665375814E-3</v>
      </c>
      <c r="AB290" s="66">
        <f t="shared" si="223"/>
        <v>1.552776665375814E-3</v>
      </c>
      <c r="AC290" s="66">
        <f t="shared" si="223"/>
        <v>1.552776665375814E-3</v>
      </c>
    </row>
    <row r="291" spans="1:29" x14ac:dyDescent="0.25">
      <c r="A291" s="30" t="str">
        <f t="shared" si="220"/>
        <v>Residual value (costumization)</v>
      </c>
      <c r="B291" s="69">
        <f>((1+B249)^B257)*B249/(((1+B249)^B257)-1)*(B248)/B261/(B258)</f>
        <v>-3.8819416634395349E-4</v>
      </c>
      <c r="C291" s="69">
        <f t="shared" ref="C291:AC291" si="224">((1+C249)^C257)*C249/(((1+C249)^C257)-1)*(C248)/C261/(C258)</f>
        <v>-3.8819416634395349E-4</v>
      </c>
      <c r="D291" s="69">
        <f t="shared" si="224"/>
        <v>-3.8819416634395349E-4</v>
      </c>
      <c r="E291" s="69">
        <f t="shared" si="224"/>
        <v>-3.8819416634395349E-4</v>
      </c>
      <c r="F291" s="69">
        <f t="shared" si="224"/>
        <v>-3.8819416634395349E-4</v>
      </c>
      <c r="G291" s="69">
        <f t="shared" si="224"/>
        <v>-3.8819416634395349E-4</v>
      </c>
      <c r="H291" s="69">
        <f t="shared" si="224"/>
        <v>-3.8819416634395349E-4</v>
      </c>
      <c r="I291" s="69">
        <f t="shared" si="224"/>
        <v>-3.8819416634395349E-4</v>
      </c>
      <c r="J291" s="69">
        <f t="shared" si="224"/>
        <v>-3.8819416634395349E-4</v>
      </c>
      <c r="K291" s="69">
        <f t="shared" si="224"/>
        <v>-3.8819416634395349E-4</v>
      </c>
      <c r="L291" s="69">
        <f t="shared" si="224"/>
        <v>-3.8819416634395349E-4</v>
      </c>
      <c r="M291" s="69">
        <f t="shared" si="224"/>
        <v>-3.8819416634395349E-4</v>
      </c>
      <c r="N291" s="69">
        <f t="shared" si="224"/>
        <v>-3.8819416634395349E-4</v>
      </c>
      <c r="O291" s="69">
        <f t="shared" si="224"/>
        <v>-3.8819416634395349E-4</v>
      </c>
      <c r="P291" s="69">
        <f t="shared" si="224"/>
        <v>-3.8819416634395349E-4</v>
      </c>
      <c r="Q291" s="69">
        <f t="shared" si="224"/>
        <v>-3.8819416634395349E-4</v>
      </c>
      <c r="R291" s="69">
        <f t="shared" si="224"/>
        <v>-3.8819416634395349E-4</v>
      </c>
      <c r="S291" s="69">
        <f t="shared" si="224"/>
        <v>-3.8819416634395349E-4</v>
      </c>
      <c r="T291" s="69">
        <f t="shared" si="224"/>
        <v>-3.8819416634395349E-4</v>
      </c>
      <c r="U291" s="69">
        <f t="shared" si="224"/>
        <v>-3.8819416634395349E-4</v>
      </c>
      <c r="V291" s="69">
        <f t="shared" si="224"/>
        <v>-3.8819416634395349E-4</v>
      </c>
      <c r="W291" s="69">
        <f t="shared" si="224"/>
        <v>-3.8819416634395349E-4</v>
      </c>
      <c r="X291" s="69">
        <f t="shared" si="224"/>
        <v>-3.8819416634395349E-4</v>
      </c>
      <c r="Y291" s="69">
        <f t="shared" si="224"/>
        <v>-3.8819416634395349E-4</v>
      </c>
      <c r="Z291" s="69">
        <f t="shared" si="224"/>
        <v>-3.8819416634395349E-4</v>
      </c>
      <c r="AA291" s="69">
        <f t="shared" si="224"/>
        <v>-3.8819416634395349E-4</v>
      </c>
      <c r="AB291" s="69">
        <f t="shared" si="224"/>
        <v>-3.8819416634395349E-4</v>
      </c>
      <c r="AC291" s="69">
        <f t="shared" si="224"/>
        <v>-3.8819416634395349E-4</v>
      </c>
    </row>
    <row r="292" spans="1:29" x14ac:dyDescent="0.25">
      <c r="A292" s="30" t="str">
        <f t="shared" si="220"/>
        <v>Opex fix (admin, crew, insurance)</v>
      </c>
      <c r="B292" s="66">
        <f>B250/B261/(B258)</f>
        <v>2.6666666666666665E-2</v>
      </c>
      <c r="C292" s="66">
        <f t="shared" ref="C292:AC292" si="225">C250/C261/(C258)</f>
        <v>2.6666666666666665E-2</v>
      </c>
      <c r="D292" s="66">
        <f t="shared" si="225"/>
        <v>2.6666666666666665E-2</v>
      </c>
      <c r="E292" s="66">
        <f t="shared" si="225"/>
        <v>2.6666666666666665E-2</v>
      </c>
      <c r="F292" s="66">
        <f t="shared" si="225"/>
        <v>2.6666666666666665E-2</v>
      </c>
      <c r="G292" s="66">
        <f t="shared" si="225"/>
        <v>2.6666666666666665E-2</v>
      </c>
      <c r="H292" s="66">
        <f t="shared" si="225"/>
        <v>2.6666666666666665E-2</v>
      </c>
      <c r="I292" s="66">
        <f t="shared" si="225"/>
        <v>2.6666666666666665E-2</v>
      </c>
      <c r="J292" s="66">
        <f t="shared" si="225"/>
        <v>2.6666666666666665E-2</v>
      </c>
      <c r="K292" s="66">
        <f t="shared" si="225"/>
        <v>2.6666666666666665E-2</v>
      </c>
      <c r="L292" s="66">
        <f t="shared" si="225"/>
        <v>2.6666666666666665E-2</v>
      </c>
      <c r="M292" s="66">
        <f t="shared" si="225"/>
        <v>2.6666666666666665E-2</v>
      </c>
      <c r="N292" s="66">
        <f t="shared" si="225"/>
        <v>2.6666666666666665E-2</v>
      </c>
      <c r="O292" s="66">
        <f t="shared" si="225"/>
        <v>2.6666666666666665E-2</v>
      </c>
      <c r="P292" s="66">
        <f t="shared" si="225"/>
        <v>2.6666666666666665E-2</v>
      </c>
      <c r="Q292" s="66">
        <f t="shared" si="225"/>
        <v>2.6666666666666665E-2</v>
      </c>
      <c r="R292" s="66">
        <f t="shared" si="225"/>
        <v>2.6666666666666665E-2</v>
      </c>
      <c r="S292" s="66">
        <f t="shared" si="225"/>
        <v>2.6666666666666665E-2</v>
      </c>
      <c r="T292" s="66">
        <f t="shared" si="225"/>
        <v>2.6666666666666665E-2</v>
      </c>
      <c r="U292" s="66">
        <f t="shared" si="225"/>
        <v>2.6666666666666665E-2</v>
      </c>
      <c r="V292" s="66">
        <f t="shared" si="225"/>
        <v>2.6666666666666665E-2</v>
      </c>
      <c r="W292" s="66">
        <f t="shared" si="225"/>
        <v>2.6666666666666665E-2</v>
      </c>
      <c r="X292" s="66">
        <f t="shared" si="225"/>
        <v>2.6666666666666665E-2</v>
      </c>
      <c r="Y292" s="66">
        <f t="shared" si="225"/>
        <v>2.6666666666666665E-2</v>
      </c>
      <c r="Z292" s="66">
        <f t="shared" si="225"/>
        <v>2.6666666666666665E-2</v>
      </c>
      <c r="AA292" s="66">
        <f t="shared" si="225"/>
        <v>2.6666666666666665E-2</v>
      </c>
      <c r="AB292" s="66">
        <f t="shared" si="225"/>
        <v>2.6666666666666665E-2</v>
      </c>
      <c r="AC292" s="66">
        <f t="shared" si="225"/>
        <v>2.6666666666666665E-2</v>
      </c>
    </row>
    <row r="293" spans="1:29" x14ac:dyDescent="0.25">
      <c r="A293" s="30" t="str">
        <f t="shared" si="220"/>
        <v>Opex maintenance &amp; repair</v>
      </c>
      <c r="B293" s="66">
        <f>B251/B261/(B258)</f>
        <v>9.7882661839723516E-3</v>
      </c>
      <c r="C293" s="66">
        <f t="shared" ref="C293:AC293" si="226">C251/C261/(C258)</f>
        <v>9.7397268466441547E-3</v>
      </c>
      <c r="D293" s="66">
        <f t="shared" si="226"/>
        <v>9.6722395474328829E-3</v>
      </c>
      <c r="E293" s="66">
        <f t="shared" si="226"/>
        <v>9.5797169849191136E-3</v>
      </c>
      <c r="F293" s="66">
        <f t="shared" si="226"/>
        <v>9.4553765752175851E-3</v>
      </c>
      <c r="G293" s="66">
        <f t="shared" si="226"/>
        <v>9.2928396389371087E-3</v>
      </c>
      <c r="H293" s="66">
        <f t="shared" si="226"/>
        <v>9.0881518399997981E-3</v>
      </c>
      <c r="I293" s="66">
        <f t="shared" si="226"/>
        <v>8.8425323568392146E-3</v>
      </c>
      <c r="J293" s="66">
        <f t="shared" si="226"/>
        <v>8.5647923163687488E-3</v>
      </c>
      <c r="K293" s="66">
        <f t="shared" si="226"/>
        <v>8.2715832951827904E-3</v>
      </c>
      <c r="L293" s="66">
        <f t="shared" si="226"/>
        <v>7.9841440791016821E-3</v>
      </c>
      <c r="M293" s="66">
        <f t="shared" si="226"/>
        <v>7.7224822441822839E-3</v>
      </c>
      <c r="N293" s="66">
        <f t="shared" si="226"/>
        <v>7.5001069458626359E-3</v>
      </c>
      <c r="O293" s="66">
        <f t="shared" si="226"/>
        <v>7.3220241570681353E-3</v>
      </c>
      <c r="P293" s="66">
        <f t="shared" si="226"/>
        <v>7.1861390853397329E-3</v>
      </c>
      <c r="Q293" s="66">
        <f t="shared" si="226"/>
        <v>7.0862526596208522E-3</v>
      </c>
      <c r="R293" s="66">
        <f t="shared" si="226"/>
        <v>7.0148353102552456E-3</v>
      </c>
      <c r="S293" s="66">
        <f t="shared" si="226"/>
        <v>6.9647822952391492E-3</v>
      </c>
      <c r="T293" s="66">
        <f t="shared" si="226"/>
        <v>6.9301925853642917E-3</v>
      </c>
      <c r="U293" s="66">
        <f t="shared" si="226"/>
        <v>6.9065211232255674E-3</v>
      </c>
      <c r="V293" s="66">
        <f t="shared" si="226"/>
        <v>6.8904296855287119E-3</v>
      </c>
      <c r="W293" s="66">
        <f t="shared" si="226"/>
        <v>6.8795407886951898E-3</v>
      </c>
      <c r="X293" s="66">
        <f t="shared" si="226"/>
        <v>6.8721951275230652E-3</v>
      </c>
      <c r="Y293" s="66">
        <f t="shared" si="226"/>
        <v>6.8672500649121383E-3</v>
      </c>
      <c r="Z293" s="66">
        <f t="shared" si="226"/>
        <v>6.8639257484637509E-3</v>
      </c>
      <c r="AA293" s="66">
        <f t="shared" si="226"/>
        <v>6.8616930891290864E-3</v>
      </c>
      <c r="AB293" s="66">
        <f t="shared" si="226"/>
        <v>6.860194554363268E-3</v>
      </c>
      <c r="AC293" s="66">
        <f t="shared" si="226"/>
        <v>6.8591891840075045E-3</v>
      </c>
    </row>
    <row r="294" spans="1:29" x14ac:dyDescent="0.25">
      <c r="A294" s="30" t="str">
        <f t="shared" si="220"/>
        <v>Opex var (mode-fees)</v>
      </c>
      <c r="B294" s="66">
        <f>B252*B261/B261/(B258)</f>
        <v>4.4000000000000003E-3</v>
      </c>
      <c r="C294" s="66">
        <f t="shared" ref="C294:AC294" si="227">C252*C261/C261/(C258)</f>
        <v>4.4000000000000003E-3</v>
      </c>
      <c r="D294" s="66">
        <f t="shared" si="227"/>
        <v>4.4000000000000003E-3</v>
      </c>
      <c r="E294" s="66">
        <f t="shared" si="227"/>
        <v>4.4000000000000003E-3</v>
      </c>
      <c r="F294" s="66">
        <f t="shared" si="227"/>
        <v>4.4000000000000003E-3</v>
      </c>
      <c r="G294" s="66">
        <f t="shared" si="227"/>
        <v>4.4000000000000003E-3</v>
      </c>
      <c r="H294" s="66">
        <f t="shared" si="227"/>
        <v>4.4000000000000003E-3</v>
      </c>
      <c r="I294" s="66">
        <f t="shared" si="227"/>
        <v>4.4000000000000003E-3</v>
      </c>
      <c r="J294" s="66">
        <f t="shared" si="227"/>
        <v>4.4000000000000003E-3</v>
      </c>
      <c r="K294" s="66">
        <f t="shared" si="227"/>
        <v>4.4000000000000003E-3</v>
      </c>
      <c r="L294" s="66">
        <f t="shared" si="227"/>
        <v>4.4000000000000003E-3</v>
      </c>
      <c r="M294" s="66">
        <f t="shared" si="227"/>
        <v>4.4000000000000003E-3</v>
      </c>
      <c r="N294" s="66">
        <f t="shared" si="227"/>
        <v>4.4000000000000003E-3</v>
      </c>
      <c r="O294" s="66">
        <f t="shared" si="227"/>
        <v>4.4000000000000003E-3</v>
      </c>
      <c r="P294" s="66">
        <f t="shared" si="227"/>
        <v>4.4000000000000003E-3</v>
      </c>
      <c r="Q294" s="66">
        <f t="shared" si="227"/>
        <v>4.4000000000000003E-3</v>
      </c>
      <c r="R294" s="66">
        <f t="shared" si="227"/>
        <v>4.4000000000000003E-3</v>
      </c>
      <c r="S294" s="66">
        <f t="shared" si="227"/>
        <v>4.4000000000000003E-3</v>
      </c>
      <c r="T294" s="66">
        <f t="shared" si="227"/>
        <v>4.4000000000000003E-3</v>
      </c>
      <c r="U294" s="66">
        <f t="shared" si="227"/>
        <v>4.4000000000000003E-3</v>
      </c>
      <c r="V294" s="66">
        <f t="shared" si="227"/>
        <v>4.4000000000000003E-3</v>
      </c>
      <c r="W294" s="66">
        <f t="shared" si="227"/>
        <v>4.4000000000000003E-3</v>
      </c>
      <c r="X294" s="66">
        <f t="shared" si="227"/>
        <v>4.4000000000000003E-3</v>
      </c>
      <c r="Y294" s="66">
        <f t="shared" si="227"/>
        <v>4.4000000000000003E-3</v>
      </c>
      <c r="Z294" s="66">
        <f t="shared" si="227"/>
        <v>4.4000000000000003E-3</v>
      </c>
      <c r="AA294" s="66">
        <f t="shared" si="227"/>
        <v>4.4000000000000003E-3</v>
      </c>
      <c r="AB294" s="66">
        <f t="shared" si="227"/>
        <v>4.4000000000000003E-3</v>
      </c>
      <c r="AC294" s="66">
        <f t="shared" si="227"/>
        <v>4.4000000000000003E-3</v>
      </c>
    </row>
    <row r="295" spans="1:29" x14ac:dyDescent="0.25">
      <c r="A295" s="30" t="str">
        <f t="shared" si="220"/>
        <v>Fuel Cost</v>
      </c>
      <c r="B295" s="66">
        <f>B253*B254*B261/B261/(B258)</f>
        <v>1.9709416352132133E-2</v>
      </c>
      <c r="C295" s="66">
        <f t="shared" ref="C295:AC295" si="228">C253*C254*C261/C261/(C258)</f>
        <v>1.9107160164159916E-2</v>
      </c>
      <c r="D295" s="66">
        <f t="shared" si="228"/>
        <v>1.8475362143477572E-2</v>
      </c>
      <c r="E295" s="66">
        <f t="shared" si="228"/>
        <v>1.7958088595767994E-2</v>
      </c>
      <c r="F295" s="66">
        <f t="shared" si="228"/>
        <v>1.739171910065385E-2</v>
      </c>
      <c r="G295" s="66">
        <f t="shared" si="228"/>
        <v>1.6768652297374183E-2</v>
      </c>
      <c r="H295" s="66">
        <f t="shared" si="228"/>
        <v>1.6086231247204506E-2</v>
      </c>
      <c r="I295" s="66">
        <f t="shared" si="228"/>
        <v>1.5350833831629457E-2</v>
      </c>
      <c r="J295" s="66">
        <f t="shared" si="228"/>
        <v>1.4882320379687468E-2</v>
      </c>
      <c r="K295" s="66">
        <f t="shared" si="228"/>
        <v>1.4389261535137754E-2</v>
      </c>
      <c r="L295" s="66">
        <f t="shared" si="228"/>
        <v>1.3906475270520144E-2</v>
      </c>
      <c r="M295" s="66">
        <f t="shared" si="228"/>
        <v>1.3466646239242928E-2</v>
      </c>
      <c r="N295" s="66">
        <f t="shared" si="228"/>
        <v>1.3091730925150827E-2</v>
      </c>
      <c r="O295" s="66">
        <f t="shared" si="228"/>
        <v>1.251966259252941E-2</v>
      </c>
      <c r="P295" s="66">
        <f t="shared" si="228"/>
        <v>1.202627202896769E-2</v>
      </c>
      <c r="Q295" s="66">
        <f t="shared" si="228"/>
        <v>1.159755865660772E-2</v>
      </c>
      <c r="R295" s="66">
        <f t="shared" si="228"/>
        <v>1.1218429269625008E-2</v>
      </c>
      <c r="S295" s="66">
        <f t="shared" si="228"/>
        <v>1.0875489010081596E-2</v>
      </c>
      <c r="T295" s="66">
        <f t="shared" si="228"/>
        <v>1.0577229357706507E-2</v>
      </c>
      <c r="U295" s="66">
        <f t="shared" si="228"/>
        <v>1.0296421912967875E-2</v>
      </c>
      <c r="V295" s="66">
        <f t="shared" si="228"/>
        <v>1.0027455432419691E-2</v>
      </c>
      <c r="W295" s="66">
        <f t="shared" si="228"/>
        <v>9.7664323517357536E-3</v>
      </c>
      <c r="X295" s="66">
        <f t="shared" si="228"/>
        <v>9.5106964963952208E-3</v>
      </c>
      <c r="Y295" s="66">
        <f t="shared" si="228"/>
        <v>9.3009858038399524E-3</v>
      </c>
      <c r="Z295" s="66">
        <f t="shared" si="228"/>
        <v>9.0935449501585042E-3</v>
      </c>
      <c r="AA295" s="66">
        <f t="shared" si="228"/>
        <v>8.8876025260530393E-3</v>
      </c>
      <c r="AB295" s="66">
        <f t="shared" si="228"/>
        <v>8.6826473938003516E-3</v>
      </c>
      <c r="AC295" s="66">
        <f t="shared" si="228"/>
        <v>8.478341840292853E-3</v>
      </c>
    </row>
    <row r="296" spans="1:29" x14ac:dyDescent="0.25">
      <c r="A296" s="59" t="str">
        <f>A259</f>
        <v>Market failure (av. utilization)</v>
      </c>
      <c r="B296" s="66">
        <f t="shared" ref="B296:AC296" si="229">B285/B259-B285/B258</f>
        <v>5.1908170399832532E-2</v>
      </c>
      <c r="C296" s="66">
        <f t="shared" si="229"/>
        <v>5.136529649893809E-2</v>
      </c>
      <c r="D296" s="66">
        <f t="shared" si="229"/>
        <v>5.0740094804857486E-2</v>
      </c>
      <c r="E296" s="66">
        <f t="shared" si="229"/>
        <v>5.0102924044767322E-2</v>
      </c>
      <c r="F296" s="66">
        <f t="shared" si="229"/>
        <v>4.9327828971887006E-2</v>
      </c>
      <c r="G296" s="66">
        <f t="shared" si="229"/>
        <v>4.8388572119925602E-2</v>
      </c>
      <c r="H296" s="66">
        <f t="shared" si="229"/>
        <v>4.7270183870360291E-2</v>
      </c>
      <c r="I296" s="66">
        <f t="shared" si="229"/>
        <v>4.5980783974572698E-2</v>
      </c>
      <c r="J296" s="66">
        <f t="shared" si="229"/>
        <v>4.4751646772358059E-2</v>
      </c>
      <c r="K296" s="66">
        <f t="shared" si="229"/>
        <v>4.3455028141605068E-2</v>
      </c>
      <c r="L296" s="66">
        <f t="shared" si="229"/>
        <v>4.2184283953710142E-2</v>
      </c>
      <c r="M296" s="66">
        <f t="shared" si="229"/>
        <v>4.102728579875424E-2</v>
      </c>
      <c r="N296" s="66">
        <f t="shared" si="229"/>
        <v>4.0043293978039005E-2</v>
      </c>
      <c r="O296" s="66">
        <f t="shared" si="229"/>
        <v>3.9083922731351133E-2</v>
      </c>
      <c r="P296" s="66">
        <f t="shared" si="229"/>
        <v>3.831602262864061E-2</v>
      </c>
      <c r="Q296" s="66">
        <f t="shared" si="229"/>
        <v>3.770992576297786E-2</v>
      </c>
      <c r="R296" s="66">
        <f t="shared" si="229"/>
        <v>3.723080222209553E-2</v>
      </c>
      <c r="S296" s="66">
        <f t="shared" si="229"/>
        <v>3.6846321074126408E-2</v>
      </c>
      <c r="T296" s="66">
        <f t="shared" si="229"/>
        <v>3.65419962128656E-2</v>
      </c>
      <c r="U296" s="66">
        <f t="shared" si="229"/>
        <v>3.6285381294099556E-2</v>
      </c>
      <c r="V296" s="66">
        <f t="shared" si="229"/>
        <v>3.6061715591797688E-2</v>
      </c>
      <c r="W296" s="66">
        <f t="shared" si="229"/>
        <v>3.5860548777484472E-2</v>
      </c>
      <c r="X296" s="66">
        <f t="shared" si="229"/>
        <v>3.5674627674410542E-2</v>
      </c>
      <c r="Y296" s="66">
        <f t="shared" si="229"/>
        <v>3.5525793316426878E-2</v>
      </c>
      <c r="Z296" s="66">
        <f t="shared" si="229"/>
        <v>3.5383838939160417E-2</v>
      </c>
      <c r="AA296" s="66">
        <f t="shared" si="229"/>
        <v>3.5246499406717299E-2</v>
      </c>
      <c r="AB296" s="66">
        <f t="shared" si="229"/>
        <v>3.5112250445371126E-2</v>
      </c>
      <c r="AC296" s="66">
        <f t="shared" si="229"/>
        <v>3.4980069034029261E-2</v>
      </c>
    </row>
    <row r="297" spans="1:29" x14ac:dyDescent="0.25">
      <c r="A297" s="59" t="str">
        <f>A260</f>
        <v>Payload loss (fuel)</v>
      </c>
      <c r="B297" s="66">
        <f>B285/(B258-B260)-B285/B258</f>
        <v>4.2974127049972416E-3</v>
      </c>
      <c r="C297" s="66">
        <f t="shared" ref="C297:AC297" si="230">C285/(C258-C260)-C285/C258</f>
        <v>4.2371747140094451E-3</v>
      </c>
      <c r="D297" s="66">
        <f t="shared" si="230"/>
        <v>4.1641592896750346E-3</v>
      </c>
      <c r="E297" s="66">
        <f t="shared" si="230"/>
        <v>4.0819604659857595E-3</v>
      </c>
      <c r="F297" s="66">
        <f t="shared" si="230"/>
        <v>3.9775082143494178E-3</v>
      </c>
      <c r="G297" s="66">
        <f t="shared" si="230"/>
        <v>3.8455053943116102E-3</v>
      </c>
      <c r="H297" s="66">
        <f t="shared" si="230"/>
        <v>3.6813935389866798E-3</v>
      </c>
      <c r="I297" s="66">
        <f t="shared" si="230"/>
        <v>3.4828493231777446E-3</v>
      </c>
      <c r="J297" s="66">
        <f t="shared" si="230"/>
        <v>3.2652753864498979E-3</v>
      </c>
      <c r="K297" s="66">
        <f t="shared" si="230"/>
        <v>3.0190329585313008E-3</v>
      </c>
      <c r="L297" s="66">
        <f t="shared" si="230"/>
        <v>2.7549261137052861E-3</v>
      </c>
      <c r="M297" s="66">
        <f t="shared" si="230"/>
        <v>2.4870383616679564E-3</v>
      </c>
      <c r="N297" s="66">
        <f t="shared" si="230"/>
        <v>2.2303725632242671E-3</v>
      </c>
      <c r="O297" s="66">
        <f t="shared" si="230"/>
        <v>1.9895357650149201E-3</v>
      </c>
      <c r="P297" s="66">
        <f t="shared" si="230"/>
        <v>1.7841339397057579E-3</v>
      </c>
      <c r="Q297" s="66">
        <f t="shared" si="230"/>
        <v>1.6174864524974228E-3</v>
      </c>
      <c r="R297" s="66">
        <f t="shared" si="230"/>
        <v>1.4879322777276438E-3</v>
      </c>
      <c r="S297" s="66">
        <f t="shared" si="230"/>
        <v>1.3905115734542187E-3</v>
      </c>
      <c r="T297" s="66">
        <f t="shared" si="230"/>
        <v>1.3193501684966094E-3</v>
      </c>
      <c r="U297" s="66">
        <f t="shared" si="230"/>
        <v>1.2677897162792565E-3</v>
      </c>
      <c r="V297" s="66">
        <f t="shared" si="230"/>
        <v>1.2305508717588218E-3</v>
      </c>
      <c r="W297" s="66">
        <f t="shared" si="230"/>
        <v>1.2034831367499707E-3</v>
      </c>
      <c r="X297" s="66">
        <f t="shared" si="230"/>
        <v>1.1834972698776952E-3</v>
      </c>
      <c r="Y297" s="66">
        <f t="shared" si="230"/>
        <v>1.1692579130247252E-3</v>
      </c>
      <c r="Z297" s="66">
        <f t="shared" si="230"/>
        <v>1.1583181964447478E-3</v>
      </c>
      <c r="AA297" s="66">
        <f t="shared" si="230"/>
        <v>1.1496113423901111E-3</v>
      </c>
      <c r="AB297" s="66">
        <f t="shared" si="230"/>
        <v>1.1424089998990777E-3</v>
      </c>
      <c r="AC297" s="66">
        <f t="shared" si="230"/>
        <v>1.1362174731464891E-3</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0.13776629264773832</v>
      </c>
      <c r="C299" s="67">
        <f t="shared" ref="C299:AC299" si="232">C288+C289+C290+C291+C292+C293+C294+C295+C296+C297+C298</f>
        <v>0.13630207043029938</v>
      </c>
      <c r="D299" s="67">
        <f t="shared" si="232"/>
        <v>0.1346121540729979</v>
      </c>
      <c r="E299" s="67">
        <f t="shared" si="232"/>
        <v>0.13288209983528232</v>
      </c>
      <c r="F299" s="67">
        <f t="shared" si="232"/>
        <v>0.13077309136067969</v>
      </c>
      <c r="G299" s="67">
        <f t="shared" si="232"/>
        <v>0.12821197599246581</v>
      </c>
      <c r="H299" s="67">
        <f t="shared" si="232"/>
        <v>0.12515548073309263</v>
      </c>
      <c r="I299" s="67">
        <f t="shared" si="232"/>
        <v>0.12162228161438476</v>
      </c>
      <c r="J299" s="67">
        <f t="shared" si="232"/>
        <v>0.11822590456848113</v>
      </c>
      <c r="K299" s="67">
        <f t="shared" si="232"/>
        <v>0.1146263380955117</v>
      </c>
      <c r="L299" s="67">
        <f t="shared" si="232"/>
        <v>0.11107582386819879</v>
      </c>
      <c r="M299" s="67">
        <f t="shared" si="232"/>
        <v>0.10781569950851688</v>
      </c>
      <c r="N299" s="67">
        <f t="shared" si="232"/>
        <v>0.10501422727718901</v>
      </c>
      <c r="O299" s="67">
        <f t="shared" si="232"/>
        <v>0.10229225794444202</v>
      </c>
      <c r="P299" s="67">
        <f t="shared" si="232"/>
        <v>0.10010090757764012</v>
      </c>
      <c r="Q299" s="67">
        <f t="shared" si="232"/>
        <v>9.8366768196476412E-2</v>
      </c>
      <c r="R299" s="67">
        <f t="shared" si="232"/>
        <v>9.6998101415976465E-2</v>
      </c>
      <c r="S299" s="67">
        <f t="shared" si="232"/>
        <v>9.5906332915231179E-2</v>
      </c>
      <c r="T299" s="67">
        <f t="shared" si="232"/>
        <v>9.5048124455288707E-2</v>
      </c>
      <c r="U299" s="67">
        <f t="shared" si="232"/>
        <v>9.4332904730400541E-2</v>
      </c>
      <c r="V299" s="67">
        <f t="shared" si="232"/>
        <v>9.3717220104064969E-2</v>
      </c>
      <c r="W299" s="67">
        <f t="shared" si="232"/>
        <v>9.31698933665219E-2</v>
      </c>
      <c r="X299" s="67">
        <f t="shared" si="232"/>
        <v>9.2669077060665364E-2</v>
      </c>
      <c r="Y299" s="67">
        <f t="shared" si="232"/>
        <v>9.2269921260751175E-2</v>
      </c>
      <c r="Z299" s="67">
        <f t="shared" si="232"/>
        <v>9.1891858154688949E-2</v>
      </c>
      <c r="AA299" s="67">
        <f t="shared" si="232"/>
        <v>9.1527962854660749E-2</v>
      </c>
      <c r="AB299" s="67">
        <f t="shared" si="232"/>
        <v>9.117356492248134E-2</v>
      </c>
      <c r="AC299" s="67">
        <f t="shared" si="232"/>
        <v>9.0825524918120487E-2</v>
      </c>
    </row>
    <row r="301" spans="1:29" x14ac:dyDescent="0.25">
      <c r="B301" s="40"/>
    </row>
    <row r="324" spans="1:44" s="3" customFormat="1" ht="21" x14ac:dyDescent="0.35">
      <c r="A324" s="2" t="str">
        <f>'Parameter Input'!A114</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Input'!$L$101</f>
        <v>390000</v>
      </c>
      <c r="C334" s="42">
        <f>'Parameter Input'!$M$101</f>
        <v>155000</v>
      </c>
      <c r="D334" s="1" t="s">
        <v>15</v>
      </c>
      <c r="L334" s="51">
        <f>'Parameter Input'!$O$101</f>
        <v>9</v>
      </c>
      <c r="M334" s="52">
        <v>0</v>
      </c>
      <c r="N334" s="52">
        <v>1</v>
      </c>
      <c r="O334" s="52">
        <f>'Parameter Input'!$P$101</f>
        <v>0.9</v>
      </c>
      <c r="P334" s="53">
        <f>'Parameter Input'!$Q$101</f>
        <v>0.4</v>
      </c>
      <c r="Q334" s="4">
        <f t="shared" ref="Q334:AR343" si="233">$N334+($M334-$N334)*((1/(1+EXP(-$P334*(Q$9-$L334)))^$O334))</f>
        <v>0.96177484161592774</v>
      </c>
      <c r="R334" s="4">
        <f t="shared" si="233"/>
        <v>0.94584787155511363</v>
      </c>
      <c r="S334" s="4">
        <f t="shared" si="233"/>
        <v>0.92370360150141495</v>
      </c>
      <c r="T334" s="4">
        <f t="shared" si="233"/>
        <v>0.89334463567658451</v>
      </c>
      <c r="U334" s="4">
        <f t="shared" si="233"/>
        <v>0.85254543874327005</v>
      </c>
      <c r="V334" s="4">
        <f t="shared" si="233"/>
        <v>0.79921300652623883</v>
      </c>
      <c r="W334" s="4">
        <f t="shared" si="233"/>
        <v>0.73204982249993378</v>
      </c>
      <c r="X334" s="4">
        <f t="shared" si="233"/>
        <v>0.65145592958786691</v>
      </c>
      <c r="Y334" s="4">
        <f t="shared" si="233"/>
        <v>0.56032247880849573</v>
      </c>
      <c r="Z334" s="4">
        <f t="shared" si="233"/>
        <v>0.46411326873185343</v>
      </c>
      <c r="AA334" s="4">
        <f t="shared" si="233"/>
        <v>0.36979727595523937</v>
      </c>
      <c r="AB334" s="4">
        <f t="shared" si="233"/>
        <v>0.28393948637231203</v>
      </c>
      <c r="AC334" s="4">
        <f t="shared" si="233"/>
        <v>0.21097259161117732</v>
      </c>
      <c r="AD334" s="4">
        <f t="shared" si="233"/>
        <v>0.15253917653798199</v>
      </c>
      <c r="AE334" s="4">
        <f t="shared" si="233"/>
        <v>0.10795188737709993</v>
      </c>
      <c r="AF334" s="4">
        <f t="shared" si="233"/>
        <v>7.5176653938091809E-2</v>
      </c>
      <c r="AG334" s="4">
        <f t="shared" si="233"/>
        <v>5.1742836177502194E-2</v>
      </c>
      <c r="AH334" s="4">
        <f t="shared" si="233"/>
        <v>3.5319190625345942E-2</v>
      </c>
      <c r="AI334" s="4">
        <f t="shared" si="233"/>
        <v>2.3969442072658165E-2</v>
      </c>
      <c r="AJ334" s="4">
        <f t="shared" si="233"/>
        <v>1.6202243558389728E-2</v>
      </c>
      <c r="AK334" s="4">
        <f t="shared" si="233"/>
        <v>1.0922240564108399E-2</v>
      </c>
      <c r="AL334" s="4">
        <f t="shared" si="233"/>
        <v>7.3493212906090566E-3</v>
      </c>
      <c r="AM334" s="4">
        <f t="shared" si="233"/>
        <v>4.9390262185057265E-3</v>
      </c>
      <c r="AN334" s="4">
        <f t="shared" si="233"/>
        <v>3.3164275492956197E-3</v>
      </c>
      <c r="AO334" s="4">
        <f t="shared" si="233"/>
        <v>2.2256362146679809E-3</v>
      </c>
      <c r="AP334" s="4">
        <f t="shared" si="233"/>
        <v>1.4930448704811861E-3</v>
      </c>
      <c r="AQ334" s="4">
        <f t="shared" si="233"/>
        <v>1.0013381504474506E-3</v>
      </c>
      <c r="AR334" s="4">
        <f t="shared" si="233"/>
        <v>6.7145100246257527E-4</v>
      </c>
    </row>
    <row r="335" spans="1:44" x14ac:dyDescent="0.25">
      <c r="A335" s="24" t="s">
        <v>28</v>
      </c>
      <c r="B335" s="60">
        <f>'Parameter Input'!$L$102</f>
        <v>-58500</v>
      </c>
      <c r="C335" s="61">
        <f>'Parameter Input'!$M$102</f>
        <v>-38750</v>
      </c>
      <c r="D335" s="1" t="s">
        <v>15</v>
      </c>
      <c r="L335" s="54">
        <f>'Parameter Input'!$O$102</f>
        <v>9</v>
      </c>
      <c r="M335" s="37">
        <v>0</v>
      </c>
      <c r="N335" s="37">
        <v>1</v>
      </c>
      <c r="O335" s="37">
        <f>'Parameter Input'!$P$102</f>
        <v>0.9</v>
      </c>
      <c r="P335" s="55">
        <f>'Parameter Input'!$Q$102</f>
        <v>0.4</v>
      </c>
      <c r="Q335" s="4">
        <f t="shared" si="233"/>
        <v>0.96177484161592774</v>
      </c>
      <c r="R335" s="4">
        <f t="shared" si="233"/>
        <v>0.94584787155511363</v>
      </c>
      <c r="S335" s="4">
        <f t="shared" si="233"/>
        <v>0.92370360150141495</v>
      </c>
      <c r="T335" s="4">
        <f t="shared" si="233"/>
        <v>0.89334463567658451</v>
      </c>
      <c r="U335" s="4">
        <f t="shared" si="233"/>
        <v>0.85254543874327005</v>
      </c>
      <c r="V335" s="4">
        <f t="shared" si="233"/>
        <v>0.79921300652623883</v>
      </c>
      <c r="W335" s="4">
        <f t="shared" si="233"/>
        <v>0.73204982249993378</v>
      </c>
      <c r="X335" s="4">
        <f t="shared" si="233"/>
        <v>0.65145592958786691</v>
      </c>
      <c r="Y335" s="4">
        <f t="shared" si="233"/>
        <v>0.56032247880849573</v>
      </c>
      <c r="Z335" s="4">
        <f t="shared" si="233"/>
        <v>0.46411326873185343</v>
      </c>
      <c r="AA335" s="4">
        <f t="shared" si="233"/>
        <v>0.36979727595523937</v>
      </c>
      <c r="AB335" s="4">
        <f t="shared" si="233"/>
        <v>0.28393948637231203</v>
      </c>
      <c r="AC335" s="4">
        <f t="shared" si="233"/>
        <v>0.21097259161117732</v>
      </c>
      <c r="AD335" s="4">
        <f t="shared" si="233"/>
        <v>0.15253917653798199</v>
      </c>
      <c r="AE335" s="4">
        <f t="shared" si="233"/>
        <v>0.10795188737709993</v>
      </c>
      <c r="AF335" s="4">
        <f t="shared" si="233"/>
        <v>7.5176653938091809E-2</v>
      </c>
      <c r="AG335" s="4">
        <f t="shared" si="233"/>
        <v>5.1742836177502194E-2</v>
      </c>
      <c r="AH335" s="4">
        <f t="shared" si="233"/>
        <v>3.5319190625345942E-2</v>
      </c>
      <c r="AI335" s="4">
        <f t="shared" si="233"/>
        <v>2.3969442072658165E-2</v>
      </c>
      <c r="AJ335" s="4">
        <f t="shared" si="233"/>
        <v>1.6202243558389728E-2</v>
      </c>
      <c r="AK335" s="4">
        <f t="shared" si="233"/>
        <v>1.0922240564108399E-2</v>
      </c>
      <c r="AL335" s="4">
        <f t="shared" si="233"/>
        <v>7.3493212906090566E-3</v>
      </c>
      <c r="AM335" s="4">
        <f t="shared" si="233"/>
        <v>4.9390262185057265E-3</v>
      </c>
      <c r="AN335" s="4">
        <f t="shared" si="233"/>
        <v>3.3164275492956197E-3</v>
      </c>
      <c r="AO335" s="4">
        <f t="shared" si="233"/>
        <v>2.2256362146679809E-3</v>
      </c>
      <c r="AP335" s="4">
        <f t="shared" si="233"/>
        <v>1.4930448704811861E-3</v>
      </c>
      <c r="AQ335" s="4">
        <f t="shared" si="233"/>
        <v>1.0013381504474506E-3</v>
      </c>
      <c r="AR335" s="4">
        <f t="shared" si="233"/>
        <v>6.7145100246257527E-4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33"/>
        <v>0.9867978615748374</v>
      </c>
      <c r="R336" s="4">
        <f t="shared" si="233"/>
        <v>0.98114509762858249</v>
      </c>
      <c r="S336" s="4">
        <f t="shared" si="233"/>
        <v>0.97311898315872036</v>
      </c>
      <c r="T336" s="4">
        <f t="shared" si="233"/>
        <v>0.96177484161592774</v>
      </c>
      <c r="U336" s="4">
        <f t="shared" si="233"/>
        <v>0.94584787155511363</v>
      </c>
      <c r="V336" s="4">
        <f t="shared" si="233"/>
        <v>0.92370360150141495</v>
      </c>
      <c r="W336" s="4">
        <f t="shared" si="233"/>
        <v>0.89334463567658451</v>
      </c>
      <c r="X336" s="4">
        <f t="shared" si="233"/>
        <v>0.85254543874327005</v>
      </c>
      <c r="Y336" s="4">
        <f t="shared" si="233"/>
        <v>0.79921300652623883</v>
      </c>
      <c r="Z336" s="4">
        <f t="shared" si="233"/>
        <v>0.73204982249993378</v>
      </c>
      <c r="AA336" s="4">
        <f t="shared" si="233"/>
        <v>0.65145592958786691</v>
      </c>
      <c r="AB336" s="4">
        <f t="shared" si="233"/>
        <v>0.56032247880849573</v>
      </c>
      <c r="AC336" s="4">
        <f t="shared" si="233"/>
        <v>0.46411326873185343</v>
      </c>
      <c r="AD336" s="4">
        <f t="shared" si="233"/>
        <v>0.36979727595523937</v>
      </c>
      <c r="AE336" s="4">
        <f t="shared" si="233"/>
        <v>0.28393948637231203</v>
      </c>
      <c r="AF336" s="4">
        <f t="shared" si="233"/>
        <v>0.21097259161117732</v>
      </c>
      <c r="AG336" s="4">
        <f t="shared" si="233"/>
        <v>0.15253917653798199</v>
      </c>
      <c r="AH336" s="4">
        <f t="shared" si="233"/>
        <v>0.10795188737709993</v>
      </c>
      <c r="AI336" s="4">
        <f t="shared" si="233"/>
        <v>7.5176653938091809E-2</v>
      </c>
      <c r="AJ336" s="4">
        <f t="shared" si="233"/>
        <v>5.1742836177502194E-2</v>
      </c>
      <c r="AK336" s="4">
        <f t="shared" si="233"/>
        <v>3.5319190625345942E-2</v>
      </c>
      <c r="AL336" s="4">
        <f t="shared" si="233"/>
        <v>2.3969442072658165E-2</v>
      </c>
      <c r="AM336" s="4">
        <f t="shared" si="233"/>
        <v>1.6202243558389728E-2</v>
      </c>
      <c r="AN336" s="4">
        <f t="shared" si="233"/>
        <v>1.0922240564108399E-2</v>
      </c>
      <c r="AO336" s="4">
        <f t="shared" si="233"/>
        <v>7.3493212906090566E-3</v>
      </c>
      <c r="AP336" s="4">
        <f t="shared" si="233"/>
        <v>4.9390262185057265E-3</v>
      </c>
      <c r="AQ336" s="4">
        <f t="shared" si="233"/>
        <v>3.3164275492956197E-3</v>
      </c>
      <c r="AR336" s="4">
        <f t="shared" si="233"/>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33"/>
        <v>0.9867978615748374</v>
      </c>
      <c r="R337" s="4">
        <f t="shared" si="233"/>
        <v>0.98114509762858249</v>
      </c>
      <c r="S337" s="4">
        <f t="shared" si="233"/>
        <v>0.97311898315872036</v>
      </c>
      <c r="T337" s="4">
        <f t="shared" si="233"/>
        <v>0.96177484161592774</v>
      </c>
      <c r="U337" s="4">
        <f t="shared" si="233"/>
        <v>0.94584787155511363</v>
      </c>
      <c r="V337" s="4">
        <f t="shared" si="233"/>
        <v>0.92370360150141495</v>
      </c>
      <c r="W337" s="4">
        <f t="shared" si="233"/>
        <v>0.89334463567658451</v>
      </c>
      <c r="X337" s="4">
        <f t="shared" si="233"/>
        <v>0.85254543874327005</v>
      </c>
      <c r="Y337" s="4">
        <f t="shared" si="233"/>
        <v>0.79921300652623883</v>
      </c>
      <c r="Z337" s="4">
        <f t="shared" si="233"/>
        <v>0.73204982249993378</v>
      </c>
      <c r="AA337" s="4">
        <f t="shared" si="233"/>
        <v>0.65145592958786691</v>
      </c>
      <c r="AB337" s="4">
        <f t="shared" si="233"/>
        <v>0.56032247880849573</v>
      </c>
      <c r="AC337" s="4">
        <f t="shared" si="233"/>
        <v>0.46411326873185343</v>
      </c>
      <c r="AD337" s="4">
        <f t="shared" si="233"/>
        <v>0.36979727595523937</v>
      </c>
      <c r="AE337" s="4">
        <f t="shared" si="233"/>
        <v>0.28393948637231203</v>
      </c>
      <c r="AF337" s="4">
        <f t="shared" si="233"/>
        <v>0.21097259161117732</v>
      </c>
      <c r="AG337" s="4">
        <f t="shared" si="233"/>
        <v>0.15253917653798199</v>
      </c>
      <c r="AH337" s="4">
        <f t="shared" si="233"/>
        <v>0.10795188737709993</v>
      </c>
      <c r="AI337" s="4">
        <f t="shared" si="233"/>
        <v>7.5176653938091809E-2</v>
      </c>
      <c r="AJ337" s="4">
        <f t="shared" si="233"/>
        <v>5.1742836177502194E-2</v>
      </c>
      <c r="AK337" s="4">
        <f t="shared" si="233"/>
        <v>3.5319190625345942E-2</v>
      </c>
      <c r="AL337" s="4">
        <f t="shared" si="233"/>
        <v>2.3969442072658165E-2</v>
      </c>
      <c r="AM337" s="4">
        <f t="shared" si="233"/>
        <v>1.6202243558389728E-2</v>
      </c>
      <c r="AN337" s="4">
        <f t="shared" si="233"/>
        <v>1.0922240564108399E-2</v>
      </c>
      <c r="AO337" s="4">
        <f t="shared" si="233"/>
        <v>7.3493212906090566E-3</v>
      </c>
      <c r="AP337" s="4">
        <f t="shared" si="233"/>
        <v>4.9390262185057265E-3</v>
      </c>
      <c r="AQ337" s="4">
        <f t="shared" si="233"/>
        <v>3.3164275492956197E-3</v>
      </c>
      <c r="AR337" s="4">
        <f t="shared" si="233"/>
        <v>2.2256362146679809E-3</v>
      </c>
    </row>
    <row r="338" spans="1:44" x14ac:dyDescent="0.25">
      <c r="A338" s="24" t="s">
        <v>79</v>
      </c>
      <c r="B338" s="45">
        <f>'Parameter Input'!$L$108</f>
        <v>0.06</v>
      </c>
      <c r="C338" s="46">
        <f>'Parameter Input'!$M$108</f>
        <v>0.06</v>
      </c>
      <c r="D338" s="1" t="s">
        <v>57</v>
      </c>
      <c r="L338" s="54">
        <f>'Parameter Input'!$O$108</f>
        <v>12</v>
      </c>
      <c r="M338" s="37">
        <v>0</v>
      </c>
      <c r="N338" s="37">
        <v>1</v>
      </c>
      <c r="O338" s="37">
        <f>'Parameter Input'!$P$108</f>
        <v>0.9</v>
      </c>
      <c r="P338" s="55">
        <f>'Parameter Input'!$Q$108</f>
        <v>0.4</v>
      </c>
      <c r="Q338" s="4">
        <f t="shared" si="233"/>
        <v>0.9867978615748374</v>
      </c>
      <c r="R338" s="4">
        <f t="shared" si="233"/>
        <v>0.98114509762858249</v>
      </c>
      <c r="S338" s="4">
        <f t="shared" si="233"/>
        <v>0.97311898315872036</v>
      </c>
      <c r="T338" s="4">
        <f t="shared" si="233"/>
        <v>0.96177484161592774</v>
      </c>
      <c r="U338" s="4">
        <f t="shared" si="233"/>
        <v>0.94584787155511363</v>
      </c>
      <c r="V338" s="4">
        <f t="shared" si="233"/>
        <v>0.92370360150141495</v>
      </c>
      <c r="W338" s="4">
        <f t="shared" si="233"/>
        <v>0.89334463567658451</v>
      </c>
      <c r="X338" s="4">
        <f t="shared" si="233"/>
        <v>0.85254543874327005</v>
      </c>
      <c r="Y338" s="4">
        <f t="shared" si="233"/>
        <v>0.79921300652623883</v>
      </c>
      <c r="Z338" s="4">
        <f t="shared" si="233"/>
        <v>0.73204982249993378</v>
      </c>
      <c r="AA338" s="4">
        <f t="shared" si="233"/>
        <v>0.65145592958786691</v>
      </c>
      <c r="AB338" s="4">
        <f t="shared" si="233"/>
        <v>0.56032247880849573</v>
      </c>
      <c r="AC338" s="4">
        <f t="shared" si="233"/>
        <v>0.46411326873185343</v>
      </c>
      <c r="AD338" s="4">
        <f t="shared" si="233"/>
        <v>0.36979727595523937</v>
      </c>
      <c r="AE338" s="4">
        <f t="shared" si="233"/>
        <v>0.28393948637231203</v>
      </c>
      <c r="AF338" s="4">
        <f t="shared" si="233"/>
        <v>0.21097259161117732</v>
      </c>
      <c r="AG338" s="4">
        <f t="shared" si="233"/>
        <v>0.15253917653798199</v>
      </c>
      <c r="AH338" s="4">
        <f t="shared" si="233"/>
        <v>0.10795188737709993</v>
      </c>
      <c r="AI338" s="4">
        <f t="shared" si="233"/>
        <v>7.5176653938091809E-2</v>
      </c>
      <c r="AJ338" s="4">
        <f t="shared" si="233"/>
        <v>5.1742836177502194E-2</v>
      </c>
      <c r="AK338" s="4">
        <f t="shared" si="233"/>
        <v>3.5319190625345942E-2</v>
      </c>
      <c r="AL338" s="4">
        <f t="shared" si="233"/>
        <v>2.3969442072658165E-2</v>
      </c>
      <c r="AM338" s="4">
        <f t="shared" si="233"/>
        <v>1.6202243558389728E-2</v>
      </c>
      <c r="AN338" s="4">
        <f t="shared" si="233"/>
        <v>1.0922240564108399E-2</v>
      </c>
      <c r="AO338" s="4">
        <f t="shared" si="233"/>
        <v>7.3493212906090566E-3</v>
      </c>
      <c r="AP338" s="4">
        <f t="shared" si="233"/>
        <v>4.9390262185057265E-3</v>
      </c>
      <c r="AQ338" s="4">
        <f t="shared" si="233"/>
        <v>3.3164275492956197E-3</v>
      </c>
      <c r="AR338" s="4">
        <f t="shared" si="233"/>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33"/>
        <v>0.9867978615748374</v>
      </c>
      <c r="R339" s="4">
        <f t="shared" si="233"/>
        <v>0.98114509762858249</v>
      </c>
      <c r="S339" s="4">
        <f t="shared" si="233"/>
        <v>0.97311898315872036</v>
      </c>
      <c r="T339" s="4">
        <f t="shared" si="233"/>
        <v>0.96177484161592774</v>
      </c>
      <c r="U339" s="4">
        <f t="shared" si="233"/>
        <v>0.94584787155511363</v>
      </c>
      <c r="V339" s="4">
        <f t="shared" si="233"/>
        <v>0.92370360150141495</v>
      </c>
      <c r="W339" s="4">
        <f t="shared" si="233"/>
        <v>0.89334463567658451</v>
      </c>
      <c r="X339" s="4">
        <f t="shared" si="233"/>
        <v>0.85254543874327005</v>
      </c>
      <c r="Y339" s="4">
        <f t="shared" si="233"/>
        <v>0.79921300652623883</v>
      </c>
      <c r="Z339" s="4">
        <f t="shared" si="233"/>
        <v>0.73204982249993378</v>
      </c>
      <c r="AA339" s="4">
        <f t="shared" si="233"/>
        <v>0.65145592958786691</v>
      </c>
      <c r="AB339" s="4">
        <f t="shared" si="233"/>
        <v>0.56032247880849573</v>
      </c>
      <c r="AC339" s="4">
        <f t="shared" si="233"/>
        <v>0.46411326873185343</v>
      </c>
      <c r="AD339" s="4">
        <f t="shared" si="233"/>
        <v>0.36979727595523937</v>
      </c>
      <c r="AE339" s="4">
        <f t="shared" si="233"/>
        <v>0.28393948637231203</v>
      </c>
      <c r="AF339" s="4">
        <f t="shared" si="233"/>
        <v>0.21097259161117732</v>
      </c>
      <c r="AG339" s="4">
        <f t="shared" si="233"/>
        <v>0.15253917653798199</v>
      </c>
      <c r="AH339" s="4">
        <f t="shared" si="233"/>
        <v>0.10795188737709993</v>
      </c>
      <c r="AI339" s="4">
        <f t="shared" si="233"/>
        <v>7.5176653938091809E-2</v>
      </c>
      <c r="AJ339" s="4">
        <f t="shared" si="233"/>
        <v>5.1742836177502194E-2</v>
      </c>
      <c r="AK339" s="4">
        <f t="shared" si="233"/>
        <v>3.5319190625345942E-2</v>
      </c>
      <c r="AL339" s="4">
        <f t="shared" si="233"/>
        <v>2.3969442072658165E-2</v>
      </c>
      <c r="AM339" s="4">
        <f t="shared" si="233"/>
        <v>1.6202243558389728E-2</v>
      </c>
      <c r="AN339" s="4">
        <f t="shared" si="233"/>
        <v>1.0922240564108399E-2</v>
      </c>
      <c r="AO339" s="4">
        <f t="shared" si="233"/>
        <v>7.3493212906090566E-3</v>
      </c>
      <c r="AP339" s="4">
        <f t="shared" si="233"/>
        <v>4.9390262185057265E-3</v>
      </c>
      <c r="AQ339" s="4">
        <f t="shared" si="233"/>
        <v>3.3164275492956197E-3</v>
      </c>
      <c r="AR339" s="4">
        <f t="shared" si="233"/>
        <v>2.2256362146679809E-3</v>
      </c>
    </row>
    <row r="340" spans="1:44" x14ac:dyDescent="0.25">
      <c r="A340" s="24" t="s">
        <v>52</v>
      </c>
      <c r="B340" s="43">
        <f>'Parameter Input'!$L$104</f>
        <v>26000</v>
      </c>
      <c r="C340" s="44">
        <f>'Parameter Input'!$M$104</f>
        <v>18000</v>
      </c>
      <c r="D340" s="1" t="s">
        <v>38</v>
      </c>
      <c r="L340" s="54">
        <f>'Parameter Input'!$O$104</f>
        <v>9</v>
      </c>
      <c r="M340" s="37">
        <v>0</v>
      </c>
      <c r="N340" s="37">
        <v>1</v>
      </c>
      <c r="O340" s="37">
        <f>'Parameter Input'!$P$104</f>
        <v>0.9</v>
      </c>
      <c r="P340" s="55">
        <f>'Parameter Input'!$Q$104</f>
        <v>0.4</v>
      </c>
      <c r="Q340" s="4">
        <f t="shared" si="233"/>
        <v>0.96177484161592774</v>
      </c>
      <c r="R340" s="4">
        <f t="shared" si="233"/>
        <v>0.94584787155511363</v>
      </c>
      <c r="S340" s="4">
        <f t="shared" si="233"/>
        <v>0.92370360150141495</v>
      </c>
      <c r="T340" s="4">
        <f t="shared" si="233"/>
        <v>0.89334463567658451</v>
      </c>
      <c r="U340" s="4">
        <f t="shared" si="233"/>
        <v>0.85254543874327005</v>
      </c>
      <c r="V340" s="4">
        <f t="shared" si="233"/>
        <v>0.79921300652623883</v>
      </c>
      <c r="W340" s="4">
        <f t="shared" si="233"/>
        <v>0.73204982249993378</v>
      </c>
      <c r="X340" s="4">
        <f t="shared" si="233"/>
        <v>0.65145592958786691</v>
      </c>
      <c r="Y340" s="4">
        <f t="shared" si="233"/>
        <v>0.56032247880849573</v>
      </c>
      <c r="Z340" s="4">
        <f t="shared" si="233"/>
        <v>0.46411326873185343</v>
      </c>
      <c r="AA340" s="4">
        <f t="shared" si="233"/>
        <v>0.36979727595523937</v>
      </c>
      <c r="AB340" s="4">
        <f t="shared" si="233"/>
        <v>0.28393948637231203</v>
      </c>
      <c r="AC340" s="4">
        <f t="shared" si="233"/>
        <v>0.21097259161117732</v>
      </c>
      <c r="AD340" s="4">
        <f t="shared" si="233"/>
        <v>0.15253917653798199</v>
      </c>
      <c r="AE340" s="4">
        <f t="shared" si="233"/>
        <v>0.10795188737709993</v>
      </c>
      <c r="AF340" s="4">
        <f t="shared" si="233"/>
        <v>7.5176653938091809E-2</v>
      </c>
      <c r="AG340" s="4">
        <f t="shared" si="233"/>
        <v>5.1742836177502194E-2</v>
      </c>
      <c r="AH340" s="4">
        <f t="shared" si="233"/>
        <v>3.5319190625345942E-2</v>
      </c>
      <c r="AI340" s="4">
        <f t="shared" si="233"/>
        <v>2.3969442072658165E-2</v>
      </c>
      <c r="AJ340" s="4">
        <f t="shared" si="233"/>
        <v>1.6202243558389728E-2</v>
      </c>
      <c r="AK340" s="4">
        <f t="shared" si="233"/>
        <v>1.0922240564108399E-2</v>
      </c>
      <c r="AL340" s="4">
        <f t="shared" si="233"/>
        <v>7.3493212906090566E-3</v>
      </c>
      <c r="AM340" s="4">
        <f t="shared" si="233"/>
        <v>4.9390262185057265E-3</v>
      </c>
      <c r="AN340" s="4">
        <f t="shared" si="233"/>
        <v>3.3164275492956197E-3</v>
      </c>
      <c r="AO340" s="4">
        <f t="shared" si="233"/>
        <v>2.2256362146679809E-3</v>
      </c>
      <c r="AP340" s="4">
        <f t="shared" si="233"/>
        <v>1.4930448704811861E-3</v>
      </c>
      <c r="AQ340" s="4">
        <f t="shared" si="233"/>
        <v>1.0013381504474506E-3</v>
      </c>
      <c r="AR340" s="4">
        <f t="shared" si="233"/>
        <v>6.7145100246257527E-4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33"/>
        <v>0.9867978615748374</v>
      </c>
      <c r="R341" s="4">
        <f t="shared" si="233"/>
        <v>0.98114509762858249</v>
      </c>
      <c r="S341" s="4">
        <f t="shared" si="233"/>
        <v>0.97311898315872036</v>
      </c>
      <c r="T341" s="4">
        <f t="shared" si="233"/>
        <v>0.96177484161592774</v>
      </c>
      <c r="U341" s="4">
        <f t="shared" si="233"/>
        <v>0.94584787155511363</v>
      </c>
      <c r="V341" s="4">
        <f t="shared" si="233"/>
        <v>0.92370360150141495</v>
      </c>
      <c r="W341" s="4">
        <f t="shared" si="233"/>
        <v>0.89334463567658451</v>
      </c>
      <c r="X341" s="4">
        <f t="shared" si="233"/>
        <v>0.85254543874327005</v>
      </c>
      <c r="Y341" s="4">
        <f t="shared" si="233"/>
        <v>0.79921300652623883</v>
      </c>
      <c r="Z341" s="4">
        <f t="shared" si="233"/>
        <v>0.73204982249993378</v>
      </c>
      <c r="AA341" s="4">
        <f t="shared" si="233"/>
        <v>0.65145592958786691</v>
      </c>
      <c r="AB341" s="4">
        <f t="shared" si="233"/>
        <v>0.56032247880849573</v>
      </c>
      <c r="AC341" s="4">
        <f t="shared" si="233"/>
        <v>0.46411326873185343</v>
      </c>
      <c r="AD341" s="4">
        <f t="shared" si="233"/>
        <v>0.36979727595523937</v>
      </c>
      <c r="AE341" s="4">
        <f t="shared" si="233"/>
        <v>0.28393948637231203</v>
      </c>
      <c r="AF341" s="4">
        <f t="shared" si="233"/>
        <v>0.21097259161117732</v>
      </c>
      <c r="AG341" s="4">
        <f t="shared" si="233"/>
        <v>0.15253917653798199</v>
      </c>
      <c r="AH341" s="4">
        <f t="shared" si="233"/>
        <v>0.10795188737709993</v>
      </c>
      <c r="AI341" s="4">
        <f t="shared" si="233"/>
        <v>7.5176653938091809E-2</v>
      </c>
      <c r="AJ341" s="4">
        <f t="shared" si="233"/>
        <v>5.1742836177502194E-2</v>
      </c>
      <c r="AK341" s="4">
        <f t="shared" si="233"/>
        <v>3.5319190625345942E-2</v>
      </c>
      <c r="AL341" s="4">
        <f t="shared" si="233"/>
        <v>2.3969442072658165E-2</v>
      </c>
      <c r="AM341" s="4">
        <f t="shared" si="233"/>
        <v>1.6202243558389728E-2</v>
      </c>
      <c r="AN341" s="4">
        <f t="shared" si="233"/>
        <v>1.0922240564108399E-2</v>
      </c>
      <c r="AO341" s="4">
        <f t="shared" si="233"/>
        <v>7.3493212906090566E-3</v>
      </c>
      <c r="AP341" s="4">
        <f t="shared" si="233"/>
        <v>4.9390262185057265E-3</v>
      </c>
      <c r="AQ341" s="4">
        <f t="shared" si="233"/>
        <v>3.3164275492956197E-3</v>
      </c>
      <c r="AR341" s="4">
        <f t="shared" si="233"/>
        <v>2.2256362146679809E-3</v>
      </c>
    </row>
    <row r="342" spans="1:44" x14ac:dyDescent="0.25">
      <c r="A342" s="24" t="s">
        <v>59</v>
      </c>
      <c r="B342" s="47">
        <f>'Parameter Input'!$L$105</f>
        <v>2.5299999999999998</v>
      </c>
      <c r="C342" s="48">
        <f>'Parameter Input'!$M$105</f>
        <v>1.79</v>
      </c>
      <c r="D342" s="1" t="s">
        <v>60</v>
      </c>
      <c r="L342" s="54">
        <f>'Parameter Input'!$O$105</f>
        <v>9</v>
      </c>
      <c r="M342" s="37">
        <v>0</v>
      </c>
      <c r="N342" s="37">
        <v>1</v>
      </c>
      <c r="O342" s="37">
        <f>'Parameter Input'!$P$105</f>
        <v>0.9</v>
      </c>
      <c r="P342" s="55">
        <f>'Parameter Input'!$Q$105</f>
        <v>0.4</v>
      </c>
      <c r="Q342" s="4">
        <f t="shared" si="233"/>
        <v>0.96177484161592774</v>
      </c>
      <c r="R342" s="4">
        <f t="shared" si="233"/>
        <v>0.94584787155511363</v>
      </c>
      <c r="S342" s="4">
        <f t="shared" si="233"/>
        <v>0.92370360150141495</v>
      </c>
      <c r="T342" s="4">
        <f t="shared" si="233"/>
        <v>0.89334463567658451</v>
      </c>
      <c r="U342" s="4">
        <f t="shared" si="233"/>
        <v>0.85254543874327005</v>
      </c>
      <c r="V342" s="4">
        <f t="shared" si="233"/>
        <v>0.79921300652623883</v>
      </c>
      <c r="W342" s="4">
        <f t="shared" si="233"/>
        <v>0.73204982249993378</v>
      </c>
      <c r="X342" s="4">
        <f t="shared" si="233"/>
        <v>0.65145592958786691</v>
      </c>
      <c r="Y342" s="4">
        <f t="shared" si="233"/>
        <v>0.56032247880849573</v>
      </c>
      <c r="Z342" s="4">
        <f t="shared" si="233"/>
        <v>0.46411326873185343</v>
      </c>
      <c r="AA342" s="4">
        <f t="shared" si="233"/>
        <v>0.36979727595523937</v>
      </c>
      <c r="AB342" s="4">
        <f t="shared" si="233"/>
        <v>0.28393948637231203</v>
      </c>
      <c r="AC342" s="4">
        <f t="shared" si="233"/>
        <v>0.21097259161117732</v>
      </c>
      <c r="AD342" s="4">
        <f t="shared" si="233"/>
        <v>0.15253917653798199</v>
      </c>
      <c r="AE342" s="4">
        <f t="shared" si="233"/>
        <v>0.10795188737709993</v>
      </c>
      <c r="AF342" s="4">
        <f t="shared" si="233"/>
        <v>7.5176653938091809E-2</v>
      </c>
      <c r="AG342" s="4">
        <f t="shared" si="233"/>
        <v>5.1742836177502194E-2</v>
      </c>
      <c r="AH342" s="4">
        <f t="shared" si="233"/>
        <v>3.5319190625345942E-2</v>
      </c>
      <c r="AI342" s="4">
        <f t="shared" si="233"/>
        <v>2.3969442072658165E-2</v>
      </c>
      <c r="AJ342" s="4">
        <f t="shared" si="233"/>
        <v>1.6202243558389728E-2</v>
      </c>
      <c r="AK342" s="4">
        <f t="shared" si="233"/>
        <v>1.0922240564108399E-2</v>
      </c>
      <c r="AL342" s="4">
        <f t="shared" si="233"/>
        <v>7.3493212906090566E-3</v>
      </c>
      <c r="AM342" s="4">
        <f t="shared" si="233"/>
        <v>4.9390262185057265E-3</v>
      </c>
      <c r="AN342" s="4">
        <f t="shared" si="233"/>
        <v>3.3164275492956197E-3</v>
      </c>
      <c r="AO342" s="4">
        <f t="shared" si="233"/>
        <v>2.2256362146679809E-3</v>
      </c>
      <c r="AP342" s="4">
        <f t="shared" si="233"/>
        <v>1.4930448704811861E-3</v>
      </c>
      <c r="AQ342" s="4">
        <f t="shared" si="233"/>
        <v>1.0013381504474506E-3</v>
      </c>
      <c r="AR342" s="4">
        <f t="shared" si="233"/>
        <v>6.7145100246257527E-4</v>
      </c>
    </row>
    <row r="343" spans="1:44" x14ac:dyDescent="0.25">
      <c r="A343" s="24" t="s">
        <v>67</v>
      </c>
      <c r="B343" s="45">
        <f>'Parameter Input'!$L$106</f>
        <v>0.2544561408768215</v>
      </c>
      <c r="C343" s="46">
        <f>'Parameter Input'!$M$106</f>
        <v>0.10949010032952979</v>
      </c>
      <c r="D343" s="1" t="s">
        <v>68</v>
      </c>
      <c r="L343" s="54">
        <f>'Parameter Input'!$O$106</f>
        <v>12</v>
      </c>
      <c r="M343" s="37">
        <v>0</v>
      </c>
      <c r="N343" s="37">
        <v>1</v>
      </c>
      <c r="O343" s="37">
        <f>'Parameter Input'!$P$106</f>
        <v>0.9</v>
      </c>
      <c r="P343" s="55">
        <f>'Parameter Input'!$Q$106</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Input'!$L$109</f>
        <v>0</v>
      </c>
      <c r="C344" s="116">
        <f>'Parameter Input'!$M$109</f>
        <v>0</v>
      </c>
      <c r="D344" s="1" t="s">
        <v>76</v>
      </c>
      <c r="L344" s="54">
        <f>'Parameter Input'!$O$109</f>
        <v>17</v>
      </c>
      <c r="M344" s="37">
        <v>0</v>
      </c>
      <c r="N344" s="37">
        <v>1</v>
      </c>
      <c r="O344" s="37">
        <f>'Parameter Input'!$P$109</f>
        <v>0.9</v>
      </c>
      <c r="P344" s="55">
        <f>'Parameter Input'!$Q$109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43">
        <f>'Parameter Input'!$L$103</f>
        <v>8</v>
      </c>
      <c r="C345" s="44">
        <f>'Parameter Input'!$M$103</f>
        <v>8</v>
      </c>
      <c r="D345" s="1" t="s">
        <v>42</v>
      </c>
      <c r="L345" s="54">
        <f>'Parameter Input'!$O$103</f>
        <v>9</v>
      </c>
      <c r="M345" s="37">
        <v>0</v>
      </c>
      <c r="N345" s="37">
        <v>1</v>
      </c>
      <c r="O345" s="37">
        <f>'Parameter Input'!$P$103</f>
        <v>0.9</v>
      </c>
      <c r="P345" s="55">
        <f>'Parameter Input'!$Q$103</f>
        <v>0.4</v>
      </c>
      <c r="Q345" s="4">
        <f t="shared" ref="Q345:AF350" si="237">$N345+($M345-$N345)*((1/(1+EXP(-$P345*(Q$9-$L345)))^$O345))</f>
        <v>0.96177484161592774</v>
      </c>
      <c r="R345" s="4">
        <f t="shared" si="237"/>
        <v>0.94584787155511363</v>
      </c>
      <c r="S345" s="4">
        <f t="shared" si="237"/>
        <v>0.92370360150141495</v>
      </c>
      <c r="T345" s="4">
        <f t="shared" si="237"/>
        <v>0.89334463567658451</v>
      </c>
      <c r="U345" s="4">
        <f t="shared" si="237"/>
        <v>0.85254543874327005</v>
      </c>
      <c r="V345" s="4">
        <f t="shared" si="237"/>
        <v>0.79921300652623883</v>
      </c>
      <c r="W345" s="4">
        <f t="shared" si="237"/>
        <v>0.73204982249993378</v>
      </c>
      <c r="X345" s="4">
        <f t="shared" si="237"/>
        <v>0.65145592958786691</v>
      </c>
      <c r="Y345" s="4">
        <f t="shared" si="237"/>
        <v>0.56032247880849573</v>
      </c>
      <c r="Z345" s="4">
        <f t="shared" si="237"/>
        <v>0.46411326873185343</v>
      </c>
      <c r="AA345" s="4">
        <f t="shared" si="237"/>
        <v>0.36979727595523937</v>
      </c>
      <c r="AB345" s="4">
        <f t="shared" si="237"/>
        <v>0.28393948637231203</v>
      </c>
      <c r="AC345" s="4">
        <f t="shared" si="237"/>
        <v>0.21097259161117732</v>
      </c>
      <c r="AD345" s="4">
        <f t="shared" si="237"/>
        <v>0.15253917653798199</v>
      </c>
      <c r="AE345" s="4">
        <f t="shared" si="237"/>
        <v>0.10795188737709993</v>
      </c>
      <c r="AF345" s="4">
        <f t="shared" si="237"/>
        <v>7.5176653938091809E-2</v>
      </c>
      <c r="AG345" s="4">
        <f t="shared" si="234"/>
        <v>5.1742836177502194E-2</v>
      </c>
      <c r="AH345" s="4">
        <f t="shared" si="234"/>
        <v>3.5319190625345942E-2</v>
      </c>
      <c r="AI345" s="4">
        <f t="shared" si="234"/>
        <v>2.3969442072658165E-2</v>
      </c>
      <c r="AJ345" s="4">
        <f t="shared" si="235"/>
        <v>1.6202243558389728E-2</v>
      </c>
      <c r="AK345" s="4">
        <f t="shared" si="235"/>
        <v>1.0922240564108399E-2</v>
      </c>
      <c r="AL345" s="4">
        <f t="shared" si="235"/>
        <v>7.3493212906090566E-3</v>
      </c>
      <c r="AM345" s="4">
        <f t="shared" si="235"/>
        <v>4.9390262185057265E-3</v>
      </c>
      <c r="AN345" s="4">
        <f t="shared" si="235"/>
        <v>3.3164275492956197E-3</v>
      </c>
      <c r="AO345" s="4">
        <f t="shared" si="235"/>
        <v>2.2256362146679809E-3</v>
      </c>
      <c r="AP345" s="4">
        <f t="shared" si="235"/>
        <v>1.4930448704811861E-3</v>
      </c>
      <c r="AQ345" s="4">
        <f t="shared" si="235"/>
        <v>1.0013381504474506E-3</v>
      </c>
      <c r="AR345" s="4">
        <f t="shared" si="235"/>
        <v>6.7145100246257527E-4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37"/>
        <v>0.9867978615748374</v>
      </c>
      <c r="R346" s="4">
        <f t="shared" si="237"/>
        <v>0.98114509762858249</v>
      </c>
      <c r="S346" s="4">
        <f t="shared" si="237"/>
        <v>0.97311898315872036</v>
      </c>
      <c r="T346" s="4">
        <f t="shared" si="237"/>
        <v>0.96177484161592774</v>
      </c>
      <c r="U346" s="4">
        <f t="shared" si="237"/>
        <v>0.94584787155511363</v>
      </c>
      <c r="V346" s="4">
        <f t="shared" si="237"/>
        <v>0.92370360150141495</v>
      </c>
      <c r="W346" s="4">
        <f t="shared" si="237"/>
        <v>0.89334463567658451</v>
      </c>
      <c r="X346" s="4">
        <f t="shared" si="237"/>
        <v>0.85254543874327005</v>
      </c>
      <c r="Y346" s="4">
        <f t="shared" si="237"/>
        <v>0.79921300652623883</v>
      </c>
      <c r="Z346" s="4">
        <f t="shared" si="237"/>
        <v>0.73204982249993378</v>
      </c>
      <c r="AA346" s="4">
        <f t="shared" si="237"/>
        <v>0.65145592958786691</v>
      </c>
      <c r="AB346" s="4">
        <f t="shared" si="237"/>
        <v>0.56032247880849573</v>
      </c>
      <c r="AC346" s="4">
        <f t="shared" si="237"/>
        <v>0.46411326873185343</v>
      </c>
      <c r="AD346" s="4">
        <f t="shared" si="237"/>
        <v>0.36979727595523937</v>
      </c>
      <c r="AE346" s="4">
        <f t="shared" si="237"/>
        <v>0.28393948637231203</v>
      </c>
      <c r="AF346" s="4">
        <f t="shared" si="237"/>
        <v>0.21097259161117732</v>
      </c>
      <c r="AG346" s="4">
        <f t="shared" si="234"/>
        <v>0.15253917653798199</v>
      </c>
      <c r="AH346" s="4">
        <f t="shared" si="234"/>
        <v>0.10795188737709993</v>
      </c>
      <c r="AI346" s="4">
        <f t="shared" si="234"/>
        <v>7.5176653938091809E-2</v>
      </c>
      <c r="AJ346" s="4">
        <f t="shared" si="235"/>
        <v>5.1742836177502194E-2</v>
      </c>
      <c r="AK346" s="4">
        <f t="shared" si="235"/>
        <v>3.5319190625345942E-2</v>
      </c>
      <c r="AL346" s="4">
        <f t="shared" si="235"/>
        <v>2.3969442072658165E-2</v>
      </c>
      <c r="AM346" s="4">
        <f t="shared" si="235"/>
        <v>1.6202243558389728E-2</v>
      </c>
      <c r="AN346" s="4">
        <f t="shared" si="235"/>
        <v>1.0922240564108399E-2</v>
      </c>
      <c r="AO346" s="4">
        <f t="shared" si="235"/>
        <v>7.3493212906090566E-3</v>
      </c>
      <c r="AP346" s="4">
        <f t="shared" si="235"/>
        <v>4.9390262185057265E-3</v>
      </c>
      <c r="AQ346" s="4">
        <f t="shared" si="235"/>
        <v>3.3164275492956197E-3</v>
      </c>
      <c r="AR346" s="4">
        <f t="shared" si="235"/>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37"/>
        <v>0.9867978615748374</v>
      </c>
      <c r="R347" s="4">
        <f t="shared" si="237"/>
        <v>0.98114509762858249</v>
      </c>
      <c r="S347" s="4">
        <f t="shared" si="237"/>
        <v>0.97311898315872036</v>
      </c>
      <c r="T347" s="4">
        <f t="shared" si="237"/>
        <v>0.96177484161592774</v>
      </c>
      <c r="U347" s="4">
        <f t="shared" si="237"/>
        <v>0.94584787155511363</v>
      </c>
      <c r="V347" s="4">
        <f t="shared" si="237"/>
        <v>0.92370360150141495</v>
      </c>
      <c r="W347" s="4">
        <f t="shared" si="237"/>
        <v>0.89334463567658451</v>
      </c>
      <c r="X347" s="4">
        <f t="shared" si="237"/>
        <v>0.85254543874327005</v>
      </c>
      <c r="Y347" s="4">
        <f t="shared" si="237"/>
        <v>0.79921300652623883</v>
      </c>
      <c r="Z347" s="4">
        <f t="shared" si="237"/>
        <v>0.73204982249993378</v>
      </c>
      <c r="AA347" s="4">
        <f t="shared" si="237"/>
        <v>0.65145592958786691</v>
      </c>
      <c r="AB347" s="4">
        <f t="shared" si="237"/>
        <v>0.56032247880849573</v>
      </c>
      <c r="AC347" s="4">
        <f t="shared" si="237"/>
        <v>0.46411326873185343</v>
      </c>
      <c r="AD347" s="4">
        <f t="shared" si="237"/>
        <v>0.36979727595523937</v>
      </c>
      <c r="AE347" s="4">
        <f t="shared" si="237"/>
        <v>0.28393948637231203</v>
      </c>
      <c r="AF347" s="4">
        <f t="shared" si="237"/>
        <v>0.21097259161117732</v>
      </c>
      <c r="AG347" s="4">
        <f t="shared" si="234"/>
        <v>0.15253917653798199</v>
      </c>
      <c r="AH347" s="4">
        <f t="shared" si="234"/>
        <v>0.10795188737709993</v>
      </c>
      <c r="AI347" s="4">
        <f t="shared" si="234"/>
        <v>7.5176653938091809E-2</v>
      </c>
      <c r="AJ347" s="4">
        <f t="shared" si="235"/>
        <v>5.1742836177502194E-2</v>
      </c>
      <c r="AK347" s="4">
        <f t="shared" si="235"/>
        <v>3.5319190625345942E-2</v>
      </c>
      <c r="AL347" s="4">
        <f t="shared" si="235"/>
        <v>2.3969442072658165E-2</v>
      </c>
      <c r="AM347" s="4">
        <f t="shared" si="235"/>
        <v>1.6202243558389728E-2</v>
      </c>
      <c r="AN347" s="4">
        <f t="shared" si="235"/>
        <v>1.0922240564108399E-2</v>
      </c>
      <c r="AO347" s="4">
        <f t="shared" si="235"/>
        <v>7.3493212906090566E-3</v>
      </c>
      <c r="AP347" s="4">
        <f t="shared" si="235"/>
        <v>4.9390262185057265E-3</v>
      </c>
      <c r="AQ347" s="4">
        <f t="shared" si="235"/>
        <v>3.3164275492956197E-3</v>
      </c>
      <c r="AR347" s="4">
        <f t="shared" si="235"/>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37"/>
        <v>0.9867978615748374</v>
      </c>
      <c r="R348" s="4">
        <f t="shared" si="237"/>
        <v>0.98114509762858249</v>
      </c>
      <c r="S348" s="4">
        <f t="shared" si="237"/>
        <v>0.97311898315872036</v>
      </c>
      <c r="T348" s="4">
        <f t="shared" si="237"/>
        <v>0.96177484161592774</v>
      </c>
      <c r="U348" s="4">
        <f t="shared" si="237"/>
        <v>0.94584787155511363</v>
      </c>
      <c r="V348" s="4">
        <f t="shared" si="237"/>
        <v>0.92370360150141495</v>
      </c>
      <c r="W348" s="4">
        <f t="shared" si="237"/>
        <v>0.89334463567658451</v>
      </c>
      <c r="X348" s="4">
        <f t="shared" si="237"/>
        <v>0.85254543874327005</v>
      </c>
      <c r="Y348" s="4">
        <f t="shared" si="237"/>
        <v>0.79921300652623883</v>
      </c>
      <c r="Z348" s="4">
        <f t="shared" si="237"/>
        <v>0.73204982249993378</v>
      </c>
      <c r="AA348" s="4">
        <f t="shared" si="237"/>
        <v>0.65145592958786691</v>
      </c>
      <c r="AB348" s="4">
        <f t="shared" si="237"/>
        <v>0.56032247880849573</v>
      </c>
      <c r="AC348" s="4">
        <f t="shared" si="237"/>
        <v>0.46411326873185343</v>
      </c>
      <c r="AD348" s="4">
        <f t="shared" si="237"/>
        <v>0.36979727595523937</v>
      </c>
      <c r="AE348" s="4">
        <f t="shared" si="237"/>
        <v>0.28393948637231203</v>
      </c>
      <c r="AF348" s="4">
        <f t="shared" si="237"/>
        <v>0.21097259161117732</v>
      </c>
      <c r="AG348" s="4">
        <f t="shared" si="234"/>
        <v>0.15253917653798199</v>
      </c>
      <c r="AH348" s="4">
        <f t="shared" si="234"/>
        <v>0.10795188737709993</v>
      </c>
      <c r="AI348" s="4">
        <f t="shared" si="234"/>
        <v>7.5176653938091809E-2</v>
      </c>
      <c r="AJ348" s="4">
        <f t="shared" si="235"/>
        <v>5.1742836177502194E-2</v>
      </c>
      <c r="AK348" s="4">
        <f t="shared" si="235"/>
        <v>3.5319190625345942E-2</v>
      </c>
      <c r="AL348" s="4">
        <f t="shared" si="235"/>
        <v>2.3969442072658165E-2</v>
      </c>
      <c r="AM348" s="4">
        <f t="shared" si="235"/>
        <v>1.6202243558389728E-2</v>
      </c>
      <c r="AN348" s="4">
        <f t="shared" si="235"/>
        <v>1.0922240564108399E-2</v>
      </c>
      <c r="AO348" s="4">
        <f t="shared" si="235"/>
        <v>7.3493212906090566E-3</v>
      </c>
      <c r="AP348" s="4">
        <f t="shared" si="235"/>
        <v>4.9390262185057265E-3</v>
      </c>
      <c r="AQ348" s="4">
        <f t="shared" si="235"/>
        <v>3.3164275492956197E-3</v>
      </c>
      <c r="AR348" s="4">
        <f t="shared" si="235"/>
        <v>2.2256362146679809E-3</v>
      </c>
    </row>
    <row r="349" spans="1:44" x14ac:dyDescent="0.25">
      <c r="A349" s="24" t="s">
        <v>73</v>
      </c>
      <c r="B349" s="72">
        <f>'Parameter Input'!$L$107</f>
        <v>0.05</v>
      </c>
      <c r="C349" s="73">
        <f>'Parameter Input'!$M$107</f>
        <v>0.02</v>
      </c>
      <c r="D349" s="1" t="s">
        <v>57</v>
      </c>
      <c r="L349" s="54">
        <f>'Parameter Input'!$O$107</f>
        <v>12</v>
      </c>
      <c r="M349" s="37">
        <v>0</v>
      </c>
      <c r="N349" s="37">
        <v>1</v>
      </c>
      <c r="O349" s="37">
        <f>'Parameter Input'!$P$107</f>
        <v>0.9</v>
      </c>
      <c r="P349" s="55">
        <f>'Parameter Input'!$Q$107</f>
        <v>0.4</v>
      </c>
      <c r="Q349" s="4">
        <f t="shared" si="237"/>
        <v>0.9867978615748374</v>
      </c>
      <c r="R349" s="4">
        <f t="shared" si="237"/>
        <v>0.98114509762858249</v>
      </c>
      <c r="S349" s="4">
        <f t="shared" si="237"/>
        <v>0.97311898315872036</v>
      </c>
      <c r="T349" s="4">
        <f t="shared" si="237"/>
        <v>0.96177484161592774</v>
      </c>
      <c r="U349" s="4">
        <f t="shared" si="237"/>
        <v>0.94584787155511363</v>
      </c>
      <c r="V349" s="4">
        <f t="shared" si="237"/>
        <v>0.92370360150141495</v>
      </c>
      <c r="W349" s="4">
        <f t="shared" si="237"/>
        <v>0.89334463567658451</v>
      </c>
      <c r="X349" s="4">
        <f t="shared" si="237"/>
        <v>0.85254543874327005</v>
      </c>
      <c r="Y349" s="4">
        <f t="shared" si="237"/>
        <v>0.79921300652623883</v>
      </c>
      <c r="Z349" s="4">
        <f t="shared" si="237"/>
        <v>0.73204982249993378</v>
      </c>
      <c r="AA349" s="4">
        <f t="shared" si="237"/>
        <v>0.65145592958786691</v>
      </c>
      <c r="AB349" s="4">
        <f t="shared" si="237"/>
        <v>0.56032247880849573</v>
      </c>
      <c r="AC349" s="4">
        <f t="shared" si="237"/>
        <v>0.46411326873185343</v>
      </c>
      <c r="AD349" s="4">
        <f t="shared" si="237"/>
        <v>0.36979727595523937</v>
      </c>
      <c r="AE349" s="4">
        <f t="shared" si="237"/>
        <v>0.28393948637231203</v>
      </c>
      <c r="AF349" s="4">
        <f t="shared" si="237"/>
        <v>0.21097259161117732</v>
      </c>
      <c r="AG349" s="4">
        <f t="shared" si="234"/>
        <v>0.15253917653798199</v>
      </c>
      <c r="AH349" s="4">
        <f t="shared" si="234"/>
        <v>0.10795188737709993</v>
      </c>
      <c r="AI349" s="4">
        <f t="shared" si="234"/>
        <v>7.5176653938091809E-2</v>
      </c>
      <c r="AJ349" s="4">
        <f t="shared" si="235"/>
        <v>5.1742836177502194E-2</v>
      </c>
      <c r="AK349" s="4">
        <f t="shared" si="235"/>
        <v>3.5319190625345942E-2</v>
      </c>
      <c r="AL349" s="4">
        <f t="shared" si="235"/>
        <v>2.3969442072658165E-2</v>
      </c>
      <c r="AM349" s="4">
        <f t="shared" si="235"/>
        <v>1.6202243558389728E-2</v>
      </c>
      <c r="AN349" s="4">
        <f t="shared" si="235"/>
        <v>1.0922240564108399E-2</v>
      </c>
      <c r="AO349" s="4">
        <f t="shared" si="235"/>
        <v>7.3493212906090566E-3</v>
      </c>
      <c r="AP349" s="4">
        <f t="shared" si="235"/>
        <v>4.9390262185057265E-3</v>
      </c>
      <c r="AQ349" s="4">
        <f t="shared" si="235"/>
        <v>3.3164275492956197E-3</v>
      </c>
      <c r="AR349" s="4">
        <f t="shared" si="235"/>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37"/>
        <v>0.9867978615748374</v>
      </c>
      <c r="R350" s="4">
        <f t="shared" si="237"/>
        <v>0.98114509762858249</v>
      </c>
      <c r="S350" s="4">
        <f t="shared" si="237"/>
        <v>0.97311898315872036</v>
      </c>
      <c r="T350" s="4">
        <f t="shared" si="237"/>
        <v>0.96177484161592774</v>
      </c>
      <c r="U350" s="4">
        <f t="shared" si="237"/>
        <v>0.94584787155511363</v>
      </c>
      <c r="V350" s="4">
        <f t="shared" si="237"/>
        <v>0.92370360150141495</v>
      </c>
      <c r="W350" s="4">
        <f t="shared" si="237"/>
        <v>0.89334463567658451</v>
      </c>
      <c r="X350" s="4">
        <f t="shared" si="237"/>
        <v>0.85254543874327005</v>
      </c>
      <c r="Y350" s="4">
        <f t="shared" si="237"/>
        <v>0.79921300652623883</v>
      </c>
      <c r="Z350" s="4">
        <f t="shared" si="237"/>
        <v>0.73204982249993378</v>
      </c>
      <c r="AA350" s="4">
        <f t="shared" si="237"/>
        <v>0.65145592958786691</v>
      </c>
      <c r="AB350" s="4">
        <f t="shared" si="237"/>
        <v>0.56032247880849573</v>
      </c>
      <c r="AC350" s="4">
        <f t="shared" si="237"/>
        <v>0.46411326873185343</v>
      </c>
      <c r="AD350" s="4">
        <f t="shared" si="237"/>
        <v>0.36979727595523937</v>
      </c>
      <c r="AE350" s="4">
        <f t="shared" si="237"/>
        <v>0.28393948637231203</v>
      </c>
      <c r="AF350" s="4">
        <f t="shared" si="237"/>
        <v>0.21097259161117732</v>
      </c>
      <c r="AG350" s="4">
        <f t="shared" si="234"/>
        <v>0.15253917653798199</v>
      </c>
      <c r="AH350" s="4">
        <f t="shared" si="234"/>
        <v>0.10795188737709993</v>
      </c>
      <c r="AI350" s="4">
        <f t="shared" si="234"/>
        <v>7.5176653938091809E-2</v>
      </c>
      <c r="AJ350" s="4">
        <f t="shared" si="235"/>
        <v>5.1742836177502194E-2</v>
      </c>
      <c r="AK350" s="4">
        <f t="shared" si="235"/>
        <v>3.5319190625345942E-2</v>
      </c>
      <c r="AL350" s="4">
        <f t="shared" si="235"/>
        <v>2.3969442072658165E-2</v>
      </c>
      <c r="AM350" s="4">
        <f t="shared" si="235"/>
        <v>1.6202243558389728E-2</v>
      </c>
      <c r="AN350" s="4">
        <f t="shared" si="235"/>
        <v>1.0922240564108399E-2</v>
      </c>
      <c r="AO350" s="4">
        <f t="shared" si="235"/>
        <v>7.3493212906090566E-3</v>
      </c>
      <c r="AP350" s="4">
        <f t="shared" si="235"/>
        <v>4.9390262185057265E-3</v>
      </c>
      <c r="AQ350" s="4">
        <f t="shared" si="235"/>
        <v>3.3164275492956197E-3</v>
      </c>
      <c r="AR350" s="4">
        <f t="shared" si="235"/>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381017.08777974301</v>
      </c>
      <c r="C354" s="62">
        <f t="shared" ref="C354:C362" si="240">$B334+($C334-$B334)*(1-R334)</f>
        <v>377274.24981545168</v>
      </c>
      <c r="D354" s="62">
        <f t="shared" ref="D354:D362" si="241">$B334+($C334-$B334)*(1-S334)</f>
        <v>372070.34635283251</v>
      </c>
      <c r="E354" s="62">
        <f t="shared" ref="E354:E362" si="242">$B334+($C334-$B334)*(1-T334)</f>
        <v>364935.98938399734</v>
      </c>
      <c r="F354" s="62">
        <f t="shared" ref="F354:F362" si="243">$B334+($C334-$B334)*(1-U334)</f>
        <v>355348.17810466845</v>
      </c>
      <c r="G354" s="62">
        <f t="shared" ref="G354:G362" si="244">$B334+($C334-$B334)*(1-V334)</f>
        <v>342815.05653366609</v>
      </c>
      <c r="H354" s="62">
        <f t="shared" ref="H354:H362" si="245">$B334+($C334-$B334)*(1-W334)</f>
        <v>327031.70828748442</v>
      </c>
      <c r="I354" s="62">
        <f t="shared" ref="I354:I362" si="246">$B334+($C334-$B334)*(1-X334)</f>
        <v>308092.14345314872</v>
      </c>
      <c r="J354" s="62">
        <f t="shared" ref="J354:J362" si="247">$B334+($C334-$B334)*(1-Y334)</f>
        <v>286675.78251999652</v>
      </c>
      <c r="K354" s="62">
        <f t="shared" ref="K354:K362" si="248">$B334+($C334-$B334)*(1-Z334)</f>
        <v>264066.61815198557</v>
      </c>
      <c r="L354" s="62">
        <f t="shared" ref="L354:L362" si="249">$B334+($C334-$B334)*(1-AA334)</f>
        <v>241902.35984948126</v>
      </c>
      <c r="M354" s="62">
        <f t="shared" ref="M354:M362" si="250">$B334+($C334-$B334)*(1-AB334)</f>
        <v>221725.77929749334</v>
      </c>
      <c r="N354" s="62">
        <f t="shared" ref="N354:N362" si="251">$B334+($C334-$B334)*(1-AC334)</f>
        <v>204578.55902862668</v>
      </c>
      <c r="O354" s="62">
        <f t="shared" ref="O354:O362" si="252">$B334+($C334-$B334)*(1-AD334)</f>
        <v>190846.70648642577</v>
      </c>
      <c r="P354" s="62">
        <f t="shared" ref="P354:P362" si="253">$B334+($C334-$B334)*(1-AE334)</f>
        <v>180368.6935336185</v>
      </c>
      <c r="Q354" s="62">
        <f t="shared" ref="Q354:Q362" si="254">$B334+($C334-$B334)*(1-AF334)</f>
        <v>172666.51367545157</v>
      </c>
      <c r="R354" s="62">
        <f t="shared" ref="R354:R362" si="255">$B334+($C334-$B334)*(1-AG334)</f>
        <v>167159.56650171301</v>
      </c>
      <c r="S354" s="62">
        <f t="shared" ref="S354:S362" si="256">$B334+($C334-$B334)*(1-AH334)</f>
        <v>163300.00979695629</v>
      </c>
      <c r="T354" s="62">
        <f t="shared" ref="T354:T362" si="257">$B334+($C334-$B334)*(1-AI334)</f>
        <v>160632.81888707468</v>
      </c>
      <c r="U354" s="62">
        <f t="shared" ref="U354:U362" si="258">$B334+($C334-$B334)*(1-AJ334)</f>
        <v>158807.52723622159</v>
      </c>
      <c r="V354" s="62">
        <f t="shared" ref="V354:V362" si="259">$B334+($C334-$B334)*(1-AK334)</f>
        <v>157566.72653256549</v>
      </c>
      <c r="W354" s="62">
        <f t="shared" ref="W354:W362" si="260">$B334+($C334-$B334)*(1-AL334)</f>
        <v>156727.09050329312</v>
      </c>
      <c r="X354" s="62">
        <f t="shared" ref="X354:X362" si="261">$B334+($C334-$B334)*(1-AM334)</f>
        <v>156160.67116134884</v>
      </c>
      <c r="Y354" s="62">
        <f t="shared" ref="Y354:Y362" si="262">$B334+($C334-$B334)*(1-AN334)</f>
        <v>155779.36047408447</v>
      </c>
      <c r="Z354" s="62">
        <f t="shared" ref="Z354:Z362" si="263">$B334+($C334-$B334)*(1-AO334)</f>
        <v>155523.02451044696</v>
      </c>
      <c r="AA354" s="62">
        <f t="shared" ref="AA354:AA362" si="264">$B334+($C334-$B334)*(1-AP334)</f>
        <v>155350.86554456307</v>
      </c>
      <c r="AB354" s="62">
        <f t="shared" ref="AB354:AB362" si="265">$B334+($C334-$B334)*(1-AQ334)</f>
        <v>155235.31446535516</v>
      </c>
      <c r="AC354" s="62">
        <f t="shared" ref="AC354:AC362" si="266">$B334+($C334-$B334)*(1-AR334)</f>
        <v>155157.7909855787</v>
      </c>
    </row>
    <row r="355" spans="1:29" x14ac:dyDescent="0.25">
      <c r="A355" s="30" t="str">
        <f t="shared" si="238"/>
        <v>Residual value (vehicle)</v>
      </c>
      <c r="B355" s="62">
        <f t="shared" si="239"/>
        <v>-57745.053121914571</v>
      </c>
      <c r="C355" s="62">
        <f t="shared" si="240"/>
        <v>-57430.49546321349</v>
      </c>
      <c r="D355" s="62">
        <f t="shared" si="241"/>
        <v>-56993.146129652945</v>
      </c>
      <c r="E355" s="62">
        <f t="shared" si="242"/>
        <v>-56393.556554612544</v>
      </c>
      <c r="F355" s="62">
        <f t="shared" si="243"/>
        <v>-55587.772415179585</v>
      </c>
      <c r="G355" s="62">
        <f t="shared" si="244"/>
        <v>-54534.456878893216</v>
      </c>
      <c r="H355" s="62">
        <f t="shared" si="245"/>
        <v>-53207.983994373695</v>
      </c>
      <c r="I355" s="62">
        <f t="shared" si="246"/>
        <v>-51616.254609360374</v>
      </c>
      <c r="J355" s="62">
        <f t="shared" si="247"/>
        <v>-49816.368956467792</v>
      </c>
      <c r="K355" s="62">
        <f t="shared" si="248"/>
        <v>-47916.237057454106</v>
      </c>
      <c r="L355" s="62">
        <f t="shared" si="249"/>
        <v>-46053.49620011598</v>
      </c>
      <c r="M355" s="62">
        <f t="shared" si="250"/>
        <v>-44357.804855853159</v>
      </c>
      <c r="N355" s="62">
        <f t="shared" si="251"/>
        <v>-42916.708684320751</v>
      </c>
      <c r="O355" s="62">
        <f t="shared" si="252"/>
        <v>-41762.648736625146</v>
      </c>
      <c r="P355" s="62">
        <f t="shared" si="253"/>
        <v>-40882.049775697727</v>
      </c>
      <c r="Q355" s="62">
        <f t="shared" si="254"/>
        <v>-40234.73891527731</v>
      </c>
      <c r="R355" s="62">
        <f t="shared" si="255"/>
        <v>-39771.921014505671</v>
      </c>
      <c r="S355" s="62">
        <f t="shared" si="256"/>
        <v>-39447.554014850582</v>
      </c>
      <c r="T355" s="62">
        <f t="shared" si="257"/>
        <v>-39223.396480935</v>
      </c>
      <c r="U355" s="62">
        <f t="shared" si="258"/>
        <v>-39069.994310278198</v>
      </c>
      <c r="V355" s="62">
        <f t="shared" si="259"/>
        <v>-38965.714251141137</v>
      </c>
      <c r="W355" s="62">
        <f t="shared" si="260"/>
        <v>-38895.149095489527</v>
      </c>
      <c r="X355" s="62">
        <f t="shared" si="261"/>
        <v>-38847.545767815493</v>
      </c>
      <c r="Y355" s="62">
        <f t="shared" si="262"/>
        <v>-38815.49944409859</v>
      </c>
      <c r="Z355" s="62">
        <f t="shared" si="263"/>
        <v>-38793.956315239688</v>
      </c>
      <c r="AA355" s="62">
        <f t="shared" si="264"/>
        <v>-38779.487636192003</v>
      </c>
      <c r="AB355" s="62">
        <f t="shared" si="265"/>
        <v>-38769.776428471334</v>
      </c>
      <c r="AC355" s="62">
        <f t="shared" si="266"/>
        <v>-38763.261157298635</v>
      </c>
    </row>
    <row r="356" spans="1:29" x14ac:dyDescent="0.25">
      <c r="A356" s="30" t="str">
        <f t="shared" si="238"/>
        <v>Capex costumization</v>
      </c>
      <c r="B356" s="62">
        <f t="shared" si="239"/>
        <v>40000</v>
      </c>
      <c r="C356" s="62">
        <f t="shared" si="240"/>
        <v>40000</v>
      </c>
      <c r="D356" s="62">
        <f t="shared" si="241"/>
        <v>40000</v>
      </c>
      <c r="E356" s="62">
        <f t="shared" si="242"/>
        <v>40000</v>
      </c>
      <c r="F356" s="62">
        <f t="shared" si="243"/>
        <v>40000</v>
      </c>
      <c r="G356" s="62">
        <f t="shared" si="244"/>
        <v>40000</v>
      </c>
      <c r="H356" s="62">
        <f t="shared" si="245"/>
        <v>40000</v>
      </c>
      <c r="I356" s="62">
        <f t="shared" si="246"/>
        <v>40000</v>
      </c>
      <c r="J356" s="62">
        <f t="shared" si="247"/>
        <v>40000</v>
      </c>
      <c r="K356" s="62">
        <f t="shared" si="248"/>
        <v>40000</v>
      </c>
      <c r="L356" s="62">
        <f t="shared" si="249"/>
        <v>40000</v>
      </c>
      <c r="M356" s="62">
        <f t="shared" si="250"/>
        <v>40000</v>
      </c>
      <c r="N356" s="62">
        <f t="shared" si="251"/>
        <v>40000</v>
      </c>
      <c r="O356" s="62">
        <f t="shared" si="252"/>
        <v>40000</v>
      </c>
      <c r="P356" s="62">
        <f t="shared" si="253"/>
        <v>40000</v>
      </c>
      <c r="Q356" s="62">
        <f t="shared" si="254"/>
        <v>40000</v>
      </c>
      <c r="R356" s="62">
        <f t="shared" si="255"/>
        <v>40000</v>
      </c>
      <c r="S356" s="62">
        <f t="shared" si="256"/>
        <v>40000</v>
      </c>
      <c r="T356" s="62">
        <f t="shared" si="257"/>
        <v>40000</v>
      </c>
      <c r="U356" s="62">
        <f t="shared" si="258"/>
        <v>40000</v>
      </c>
      <c r="V356" s="62">
        <f t="shared" si="259"/>
        <v>40000</v>
      </c>
      <c r="W356" s="62">
        <f t="shared" si="260"/>
        <v>40000</v>
      </c>
      <c r="X356" s="62">
        <f t="shared" si="261"/>
        <v>40000</v>
      </c>
      <c r="Y356" s="62">
        <f t="shared" si="262"/>
        <v>40000</v>
      </c>
      <c r="Z356" s="62">
        <f t="shared" si="263"/>
        <v>40000</v>
      </c>
      <c r="AA356" s="62">
        <f t="shared" si="264"/>
        <v>40000</v>
      </c>
      <c r="AB356" s="62">
        <f t="shared" si="265"/>
        <v>40000</v>
      </c>
      <c r="AC356" s="62">
        <f t="shared" si="266"/>
        <v>40000</v>
      </c>
    </row>
    <row r="357" spans="1:29" x14ac:dyDescent="0.25">
      <c r="A357" s="30" t="str">
        <f t="shared" si="238"/>
        <v>Residual value (costumization)</v>
      </c>
      <c r="B357" s="62">
        <f t="shared" si="239"/>
        <v>-10000</v>
      </c>
      <c r="C357" s="62">
        <f t="shared" si="240"/>
        <v>-10000</v>
      </c>
      <c r="D357" s="62">
        <f t="shared" si="241"/>
        <v>-10000</v>
      </c>
      <c r="E357" s="62">
        <f t="shared" si="242"/>
        <v>-10000</v>
      </c>
      <c r="F357" s="62">
        <f t="shared" si="243"/>
        <v>-10000</v>
      </c>
      <c r="G357" s="62">
        <f t="shared" si="244"/>
        <v>-10000</v>
      </c>
      <c r="H357" s="62">
        <f t="shared" si="245"/>
        <v>-10000</v>
      </c>
      <c r="I357" s="62">
        <f t="shared" si="246"/>
        <v>-10000</v>
      </c>
      <c r="J357" s="62">
        <f t="shared" si="247"/>
        <v>-10000</v>
      </c>
      <c r="K357" s="62">
        <f t="shared" si="248"/>
        <v>-10000</v>
      </c>
      <c r="L357" s="62">
        <f t="shared" si="249"/>
        <v>-10000</v>
      </c>
      <c r="M357" s="62">
        <f t="shared" si="250"/>
        <v>-10000</v>
      </c>
      <c r="N357" s="62">
        <f t="shared" si="251"/>
        <v>-10000</v>
      </c>
      <c r="O357" s="62">
        <f t="shared" si="252"/>
        <v>-10000</v>
      </c>
      <c r="P357" s="62">
        <f t="shared" si="253"/>
        <v>-10000</v>
      </c>
      <c r="Q357" s="62">
        <f t="shared" si="254"/>
        <v>-10000</v>
      </c>
      <c r="R357" s="62">
        <f t="shared" si="255"/>
        <v>-10000</v>
      </c>
      <c r="S357" s="62">
        <f t="shared" si="256"/>
        <v>-10000</v>
      </c>
      <c r="T357" s="62">
        <f t="shared" si="257"/>
        <v>-10000</v>
      </c>
      <c r="U357" s="62">
        <f t="shared" si="258"/>
        <v>-10000</v>
      </c>
      <c r="V357" s="62">
        <f t="shared" si="259"/>
        <v>-10000</v>
      </c>
      <c r="W357" s="62">
        <f t="shared" si="260"/>
        <v>-10000</v>
      </c>
      <c r="X357" s="62">
        <f t="shared" si="261"/>
        <v>-10000</v>
      </c>
      <c r="Y357" s="62">
        <f t="shared" si="262"/>
        <v>-10000</v>
      </c>
      <c r="Z357" s="62">
        <f t="shared" si="263"/>
        <v>-10000</v>
      </c>
      <c r="AA357" s="62">
        <f t="shared" si="264"/>
        <v>-10000</v>
      </c>
      <c r="AB357" s="62">
        <f t="shared" si="265"/>
        <v>-10000</v>
      </c>
      <c r="AC357" s="62">
        <f t="shared" si="266"/>
        <v>-10000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70000</v>
      </c>
      <c r="C359" s="62">
        <f t="shared" si="240"/>
        <v>70000</v>
      </c>
      <c r="D359" s="62">
        <f t="shared" si="241"/>
        <v>70000</v>
      </c>
      <c r="E359" s="62">
        <f t="shared" si="242"/>
        <v>70000</v>
      </c>
      <c r="F359" s="62">
        <f t="shared" si="243"/>
        <v>70000</v>
      </c>
      <c r="G359" s="62">
        <f t="shared" si="244"/>
        <v>70000</v>
      </c>
      <c r="H359" s="62">
        <f t="shared" si="245"/>
        <v>70000</v>
      </c>
      <c r="I359" s="62">
        <f t="shared" si="246"/>
        <v>70000</v>
      </c>
      <c r="J359" s="62">
        <f t="shared" si="247"/>
        <v>70000</v>
      </c>
      <c r="K359" s="62">
        <f t="shared" si="248"/>
        <v>70000</v>
      </c>
      <c r="L359" s="62">
        <f t="shared" si="249"/>
        <v>70000</v>
      </c>
      <c r="M359" s="62">
        <f t="shared" si="250"/>
        <v>70000</v>
      </c>
      <c r="N359" s="62">
        <f t="shared" si="251"/>
        <v>70000</v>
      </c>
      <c r="O359" s="62">
        <f t="shared" si="252"/>
        <v>70000</v>
      </c>
      <c r="P359" s="62">
        <f t="shared" si="253"/>
        <v>70000</v>
      </c>
      <c r="Q359" s="62">
        <f t="shared" si="254"/>
        <v>70000</v>
      </c>
      <c r="R359" s="62">
        <f t="shared" si="255"/>
        <v>70000</v>
      </c>
      <c r="S359" s="62">
        <f t="shared" si="256"/>
        <v>70000</v>
      </c>
      <c r="T359" s="62">
        <f t="shared" si="257"/>
        <v>70000</v>
      </c>
      <c r="U359" s="62">
        <f t="shared" si="258"/>
        <v>70000</v>
      </c>
      <c r="V359" s="62">
        <f t="shared" si="259"/>
        <v>70000</v>
      </c>
      <c r="W359" s="62">
        <f t="shared" si="260"/>
        <v>70000</v>
      </c>
      <c r="X359" s="62">
        <f t="shared" si="261"/>
        <v>70000</v>
      </c>
      <c r="Y359" s="62">
        <f t="shared" si="262"/>
        <v>70000</v>
      </c>
      <c r="Z359" s="62">
        <f t="shared" si="263"/>
        <v>70000</v>
      </c>
      <c r="AA359" s="62">
        <f t="shared" si="264"/>
        <v>70000</v>
      </c>
      <c r="AB359" s="62">
        <f t="shared" si="265"/>
        <v>70000</v>
      </c>
      <c r="AC359" s="62">
        <f t="shared" si="266"/>
        <v>70000</v>
      </c>
    </row>
    <row r="360" spans="1:29" x14ac:dyDescent="0.25">
      <c r="A360" s="30" t="str">
        <f t="shared" si="238"/>
        <v>Opex maintenance &amp; repair</v>
      </c>
      <c r="B360" s="62">
        <f t="shared" si="239"/>
        <v>25694.198732927423</v>
      </c>
      <c r="C360" s="62">
        <f t="shared" si="240"/>
        <v>25566.782972440909</v>
      </c>
      <c r="D360" s="62">
        <f t="shared" si="241"/>
        <v>25389.62881201132</v>
      </c>
      <c r="E360" s="62">
        <f t="shared" si="242"/>
        <v>25146.757085412675</v>
      </c>
      <c r="F360" s="62">
        <f t="shared" si="243"/>
        <v>24820.363509946161</v>
      </c>
      <c r="G360" s="62">
        <f t="shared" si="244"/>
        <v>24393.704052209912</v>
      </c>
      <c r="H360" s="62">
        <f t="shared" si="245"/>
        <v>23856.39857999947</v>
      </c>
      <c r="I360" s="62">
        <f t="shared" si="246"/>
        <v>23211.647436702937</v>
      </c>
      <c r="J360" s="62">
        <f t="shared" si="247"/>
        <v>22482.579830467967</v>
      </c>
      <c r="K360" s="62">
        <f t="shared" si="248"/>
        <v>21712.906149854825</v>
      </c>
      <c r="L360" s="62">
        <f t="shared" si="249"/>
        <v>20958.378207641916</v>
      </c>
      <c r="M360" s="62">
        <f t="shared" si="250"/>
        <v>20271.515890978495</v>
      </c>
      <c r="N360" s="62">
        <f t="shared" si="251"/>
        <v>19687.78073288942</v>
      </c>
      <c r="O360" s="62">
        <f t="shared" si="252"/>
        <v>19220.313412303854</v>
      </c>
      <c r="P360" s="62">
        <f t="shared" si="253"/>
        <v>18863.615099016799</v>
      </c>
      <c r="Q360" s="62">
        <f t="shared" si="254"/>
        <v>18601.413231504735</v>
      </c>
      <c r="R360" s="62">
        <f t="shared" si="255"/>
        <v>18413.942689420019</v>
      </c>
      <c r="S360" s="62">
        <f t="shared" si="256"/>
        <v>18282.553525002768</v>
      </c>
      <c r="T360" s="62">
        <f t="shared" si="257"/>
        <v>18191.755536581266</v>
      </c>
      <c r="U360" s="62">
        <f t="shared" si="258"/>
        <v>18129.617948467116</v>
      </c>
      <c r="V360" s="62">
        <f t="shared" si="259"/>
        <v>18087.377924512868</v>
      </c>
      <c r="W360" s="62">
        <f t="shared" si="260"/>
        <v>18058.794570324873</v>
      </c>
      <c r="X360" s="62">
        <f t="shared" si="261"/>
        <v>18039.512209748045</v>
      </c>
      <c r="Y360" s="62">
        <f t="shared" si="262"/>
        <v>18026.531420394364</v>
      </c>
      <c r="Z360" s="62">
        <f t="shared" si="263"/>
        <v>18017.805089717345</v>
      </c>
      <c r="AA360" s="62">
        <f t="shared" si="264"/>
        <v>18011.94435896385</v>
      </c>
      <c r="AB360" s="62">
        <f t="shared" si="265"/>
        <v>18008.010705203578</v>
      </c>
      <c r="AC360" s="62">
        <f t="shared" si="266"/>
        <v>18005.371608019701</v>
      </c>
    </row>
    <row r="361" spans="1:29" x14ac:dyDescent="0.25">
      <c r="A361" s="30" t="str">
        <f t="shared" si="238"/>
        <v>Opex var (mode-fees)</v>
      </c>
      <c r="B361" s="62">
        <f t="shared" si="239"/>
        <v>0.11</v>
      </c>
      <c r="C361" s="62">
        <f t="shared" si="240"/>
        <v>0.11</v>
      </c>
      <c r="D361" s="62">
        <f t="shared" si="241"/>
        <v>0.11</v>
      </c>
      <c r="E361" s="62">
        <f t="shared" si="242"/>
        <v>0.11</v>
      </c>
      <c r="F361" s="62">
        <f t="shared" si="243"/>
        <v>0.11</v>
      </c>
      <c r="G361" s="62">
        <f t="shared" si="244"/>
        <v>0.11</v>
      </c>
      <c r="H361" s="62">
        <f t="shared" si="245"/>
        <v>0.11</v>
      </c>
      <c r="I361" s="62">
        <f t="shared" si="246"/>
        <v>0.11</v>
      </c>
      <c r="J361" s="62">
        <f t="shared" si="247"/>
        <v>0.11</v>
      </c>
      <c r="K361" s="62">
        <f t="shared" si="248"/>
        <v>0.11</v>
      </c>
      <c r="L361" s="62">
        <f t="shared" si="249"/>
        <v>0.11</v>
      </c>
      <c r="M361" s="62">
        <f t="shared" si="250"/>
        <v>0.11</v>
      </c>
      <c r="N361" s="62">
        <f t="shared" si="251"/>
        <v>0.11</v>
      </c>
      <c r="O361" s="62">
        <f t="shared" si="252"/>
        <v>0.11</v>
      </c>
      <c r="P361" s="62">
        <f t="shared" si="253"/>
        <v>0.11</v>
      </c>
      <c r="Q361" s="62">
        <f t="shared" si="254"/>
        <v>0.11</v>
      </c>
      <c r="R361" s="62">
        <f t="shared" si="255"/>
        <v>0.11</v>
      </c>
      <c r="S361" s="62">
        <f t="shared" si="256"/>
        <v>0.11</v>
      </c>
      <c r="T361" s="62">
        <f t="shared" si="257"/>
        <v>0.11</v>
      </c>
      <c r="U361" s="62">
        <f t="shared" si="258"/>
        <v>0.11</v>
      </c>
      <c r="V361" s="62">
        <f t="shared" si="259"/>
        <v>0.11</v>
      </c>
      <c r="W361" s="62">
        <f t="shared" si="260"/>
        <v>0.11</v>
      </c>
      <c r="X361" s="62">
        <f t="shared" si="261"/>
        <v>0.11</v>
      </c>
      <c r="Y361" s="62">
        <f t="shared" si="262"/>
        <v>0.11</v>
      </c>
      <c r="Z361" s="62">
        <f t="shared" si="263"/>
        <v>0.11</v>
      </c>
      <c r="AA361" s="62">
        <f t="shared" si="264"/>
        <v>0.11</v>
      </c>
      <c r="AB361" s="62">
        <f t="shared" si="265"/>
        <v>0.11</v>
      </c>
      <c r="AC361" s="62">
        <f t="shared" si="266"/>
        <v>0.11</v>
      </c>
    </row>
    <row r="362" spans="1:29" x14ac:dyDescent="0.25">
      <c r="A362" s="30" t="str">
        <f t="shared" si="238"/>
        <v>Fuel Economy</v>
      </c>
      <c r="B362" s="62">
        <f t="shared" si="239"/>
        <v>2.5017133827957863</v>
      </c>
      <c r="C362" s="62">
        <f t="shared" si="240"/>
        <v>2.4899274249507841</v>
      </c>
      <c r="D362" s="62">
        <f t="shared" si="241"/>
        <v>2.473540665111047</v>
      </c>
      <c r="E362" s="62">
        <f t="shared" si="242"/>
        <v>2.4510750304006725</v>
      </c>
      <c r="F362" s="62">
        <f t="shared" si="243"/>
        <v>2.4208836246700196</v>
      </c>
      <c r="G362" s="62">
        <f t="shared" si="244"/>
        <v>2.3814176248294165</v>
      </c>
      <c r="H362" s="62">
        <f t="shared" si="245"/>
        <v>2.3317168686499508</v>
      </c>
      <c r="I362" s="62">
        <f t="shared" si="246"/>
        <v>2.2720773878950213</v>
      </c>
      <c r="J362" s="62">
        <f t="shared" si="247"/>
        <v>2.2046386343182869</v>
      </c>
      <c r="K362" s="62">
        <f t="shared" si="248"/>
        <v>2.1334438188615716</v>
      </c>
      <c r="L362" s="62">
        <f t="shared" si="249"/>
        <v>2.0636499842068772</v>
      </c>
      <c r="M362" s="62">
        <f t="shared" si="250"/>
        <v>2.0001152199155108</v>
      </c>
      <c r="N362" s="62">
        <f t="shared" si="251"/>
        <v>1.9461197177922713</v>
      </c>
      <c r="O362" s="62">
        <f t="shared" si="252"/>
        <v>1.9028789906381067</v>
      </c>
      <c r="P362" s="62">
        <f t="shared" si="253"/>
        <v>1.8698843966590539</v>
      </c>
      <c r="Q362" s="62">
        <f t="shared" si="254"/>
        <v>1.845630723914188</v>
      </c>
      <c r="R362" s="62">
        <f t="shared" si="255"/>
        <v>1.8282896987713517</v>
      </c>
      <c r="S362" s="62">
        <f t="shared" si="256"/>
        <v>1.816136201062756</v>
      </c>
      <c r="T362" s="62">
        <f t="shared" si="257"/>
        <v>1.8077373871337672</v>
      </c>
      <c r="U362" s="62">
        <f t="shared" si="258"/>
        <v>1.8019896602332084</v>
      </c>
      <c r="V362" s="62">
        <f t="shared" si="259"/>
        <v>1.7980824580174404</v>
      </c>
      <c r="W362" s="62">
        <f t="shared" si="260"/>
        <v>1.7954384977550508</v>
      </c>
      <c r="X362" s="62">
        <f t="shared" si="261"/>
        <v>1.7936548794016942</v>
      </c>
      <c r="Y362" s="62">
        <f t="shared" si="262"/>
        <v>1.7924541563864786</v>
      </c>
      <c r="Z362" s="62">
        <f t="shared" si="263"/>
        <v>1.7916469707988543</v>
      </c>
      <c r="AA362" s="62">
        <f t="shared" si="264"/>
        <v>1.791104853204156</v>
      </c>
      <c r="AB362" s="62">
        <f t="shared" si="265"/>
        <v>1.7907409902313312</v>
      </c>
      <c r="AC362" s="62">
        <f t="shared" si="266"/>
        <v>1.7904968737418223</v>
      </c>
    </row>
    <row r="363" spans="1:29" x14ac:dyDescent="0.25">
      <c r="A363" s="30" t="str">
        <f t="shared" si="238"/>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8</v>
      </c>
      <c r="C365" s="62">
        <f t="shared" ref="C365:L367" si="269">$B345+($C345-$B345)*(1-R345)</f>
        <v>8</v>
      </c>
      <c r="D365" s="62">
        <f t="shared" si="269"/>
        <v>8</v>
      </c>
      <c r="E365" s="62">
        <f t="shared" si="269"/>
        <v>8</v>
      </c>
      <c r="F365" s="62">
        <f t="shared" si="269"/>
        <v>8</v>
      </c>
      <c r="G365" s="62">
        <f t="shared" si="269"/>
        <v>8</v>
      </c>
      <c r="H365" s="62">
        <f t="shared" si="269"/>
        <v>8</v>
      </c>
      <c r="I365" s="62">
        <f t="shared" si="269"/>
        <v>8</v>
      </c>
      <c r="J365" s="62">
        <f t="shared" si="269"/>
        <v>8</v>
      </c>
      <c r="K365" s="62">
        <f t="shared" si="269"/>
        <v>8</v>
      </c>
      <c r="L365" s="62">
        <f t="shared" si="269"/>
        <v>8</v>
      </c>
      <c r="M365" s="62">
        <f t="shared" ref="M365:V367" si="270">$B345+($C345-$B345)*(1-AB345)</f>
        <v>8</v>
      </c>
      <c r="N365" s="62">
        <f t="shared" si="270"/>
        <v>8</v>
      </c>
      <c r="O365" s="62">
        <f t="shared" si="270"/>
        <v>8</v>
      </c>
      <c r="P365" s="62">
        <f t="shared" si="270"/>
        <v>8</v>
      </c>
      <c r="Q365" s="62">
        <f t="shared" si="270"/>
        <v>8</v>
      </c>
      <c r="R365" s="62">
        <f t="shared" si="270"/>
        <v>8</v>
      </c>
      <c r="S365" s="62">
        <f t="shared" si="270"/>
        <v>8</v>
      </c>
      <c r="T365" s="62">
        <f t="shared" si="270"/>
        <v>8</v>
      </c>
      <c r="U365" s="62">
        <f t="shared" si="270"/>
        <v>8</v>
      </c>
      <c r="V365" s="62">
        <f t="shared" si="270"/>
        <v>8</v>
      </c>
      <c r="W365" s="62">
        <f t="shared" ref="W365:AC367" si="271">$B345+($C345-$B345)*(1-AL345)</f>
        <v>8</v>
      </c>
      <c r="X365" s="62">
        <f t="shared" si="271"/>
        <v>8</v>
      </c>
      <c r="Y365" s="62">
        <f t="shared" si="271"/>
        <v>8</v>
      </c>
      <c r="Z365" s="62">
        <f t="shared" si="271"/>
        <v>8</v>
      </c>
      <c r="AA365" s="62">
        <f t="shared" si="271"/>
        <v>8</v>
      </c>
      <c r="AB365" s="62">
        <f t="shared" si="271"/>
        <v>8</v>
      </c>
      <c r="AC365" s="62">
        <f t="shared" si="271"/>
        <v>8</v>
      </c>
    </row>
    <row r="366" spans="1:29" x14ac:dyDescent="0.25">
      <c r="A366" s="30" t="str">
        <f>A346</f>
        <v>Lifetime costumization</v>
      </c>
      <c r="B366" s="62">
        <f>$B346+($C346-$B346)*(1-Q346)</f>
        <v>10</v>
      </c>
      <c r="C366" s="62">
        <f t="shared" si="269"/>
        <v>10</v>
      </c>
      <c r="D366" s="62">
        <f t="shared" si="269"/>
        <v>10</v>
      </c>
      <c r="E366" s="62">
        <f t="shared" si="269"/>
        <v>10</v>
      </c>
      <c r="F366" s="62">
        <f t="shared" si="269"/>
        <v>10</v>
      </c>
      <c r="G366" s="62">
        <f t="shared" si="269"/>
        <v>10</v>
      </c>
      <c r="H366" s="62">
        <f t="shared" si="269"/>
        <v>10</v>
      </c>
      <c r="I366" s="62">
        <f t="shared" si="269"/>
        <v>10</v>
      </c>
      <c r="J366" s="62">
        <f t="shared" si="269"/>
        <v>10</v>
      </c>
      <c r="K366" s="62">
        <f t="shared" si="269"/>
        <v>10</v>
      </c>
      <c r="L366" s="62">
        <f t="shared" si="269"/>
        <v>10</v>
      </c>
      <c r="M366" s="62">
        <f t="shared" si="270"/>
        <v>10</v>
      </c>
      <c r="N366" s="62">
        <f t="shared" si="270"/>
        <v>10</v>
      </c>
      <c r="O366" s="62">
        <f t="shared" si="270"/>
        <v>10</v>
      </c>
      <c r="P366" s="62">
        <f t="shared" si="270"/>
        <v>10</v>
      </c>
      <c r="Q366" s="62">
        <f t="shared" si="270"/>
        <v>10</v>
      </c>
      <c r="R366" s="62">
        <f t="shared" si="270"/>
        <v>10</v>
      </c>
      <c r="S366" s="62">
        <f t="shared" si="270"/>
        <v>10</v>
      </c>
      <c r="T366" s="62">
        <f t="shared" si="270"/>
        <v>10</v>
      </c>
      <c r="U366" s="62">
        <f t="shared" si="270"/>
        <v>10</v>
      </c>
      <c r="V366" s="62">
        <f t="shared" si="270"/>
        <v>10</v>
      </c>
      <c r="W366" s="62">
        <f t="shared" si="271"/>
        <v>10</v>
      </c>
      <c r="X366" s="62">
        <f t="shared" si="271"/>
        <v>10</v>
      </c>
      <c r="Y366" s="62">
        <f t="shared" si="271"/>
        <v>10</v>
      </c>
      <c r="Z366" s="62">
        <f t="shared" si="271"/>
        <v>10</v>
      </c>
      <c r="AA366" s="62">
        <f t="shared" si="271"/>
        <v>10</v>
      </c>
      <c r="AB366" s="62">
        <f t="shared" si="271"/>
        <v>10</v>
      </c>
      <c r="AC366" s="62">
        <f t="shared" si="271"/>
        <v>10</v>
      </c>
    </row>
    <row r="367" spans="1:29" x14ac:dyDescent="0.25">
      <c r="A367" s="30" t="str">
        <f>A347</f>
        <v>Tonnage .</v>
      </c>
      <c r="B367" s="62">
        <f>$B347+($C347-$B347)*(1-Q347)</f>
        <v>25</v>
      </c>
      <c r="C367" s="62">
        <f t="shared" si="269"/>
        <v>25</v>
      </c>
      <c r="D367" s="62">
        <f t="shared" si="269"/>
        <v>25</v>
      </c>
      <c r="E367" s="62">
        <f t="shared" si="269"/>
        <v>25</v>
      </c>
      <c r="F367" s="62">
        <f t="shared" si="269"/>
        <v>25</v>
      </c>
      <c r="G367" s="62">
        <f t="shared" si="269"/>
        <v>25</v>
      </c>
      <c r="H367" s="62">
        <f t="shared" si="269"/>
        <v>25</v>
      </c>
      <c r="I367" s="62">
        <f t="shared" si="269"/>
        <v>25</v>
      </c>
      <c r="J367" s="62">
        <f t="shared" si="269"/>
        <v>25</v>
      </c>
      <c r="K367" s="62">
        <f t="shared" si="269"/>
        <v>25</v>
      </c>
      <c r="L367" s="62">
        <f t="shared" si="269"/>
        <v>25</v>
      </c>
      <c r="M367" s="62">
        <f t="shared" si="270"/>
        <v>25</v>
      </c>
      <c r="N367" s="62">
        <f t="shared" si="270"/>
        <v>25</v>
      </c>
      <c r="O367" s="62">
        <f t="shared" si="270"/>
        <v>25</v>
      </c>
      <c r="P367" s="62">
        <f t="shared" si="270"/>
        <v>25</v>
      </c>
      <c r="Q367" s="62">
        <f t="shared" si="270"/>
        <v>25</v>
      </c>
      <c r="R367" s="62">
        <f t="shared" si="270"/>
        <v>25</v>
      </c>
      <c r="S367" s="62">
        <f t="shared" si="270"/>
        <v>25</v>
      </c>
      <c r="T367" s="62">
        <f t="shared" si="270"/>
        <v>25</v>
      </c>
      <c r="U367" s="62">
        <f t="shared" si="270"/>
        <v>25</v>
      </c>
      <c r="V367" s="62">
        <f t="shared" si="270"/>
        <v>25</v>
      </c>
      <c r="W367" s="62">
        <f t="shared" si="271"/>
        <v>25</v>
      </c>
      <c r="X367" s="62">
        <f t="shared" si="271"/>
        <v>25</v>
      </c>
      <c r="Y367" s="62">
        <f t="shared" si="271"/>
        <v>25</v>
      </c>
      <c r="Z367" s="62">
        <f t="shared" si="271"/>
        <v>25</v>
      </c>
      <c r="AA367" s="62">
        <f t="shared" si="271"/>
        <v>25</v>
      </c>
      <c r="AB367" s="62">
        <f t="shared" si="271"/>
        <v>25</v>
      </c>
      <c r="AC367" s="62">
        <f t="shared" si="271"/>
        <v>25</v>
      </c>
    </row>
    <row r="368" spans="1:29" x14ac:dyDescent="0.25">
      <c r="A368" s="30" t="str">
        <f>A348</f>
        <v>Market failure (av. utilization)</v>
      </c>
      <c r="B368" s="62">
        <f t="shared" ref="B368:K369" si="272">($B348+($C348-$B348)*(1-Q348))*B$44</f>
        <v>15.333333333333336</v>
      </c>
      <c r="C368" s="62">
        <f t="shared" si="272"/>
        <v>15.333333333333336</v>
      </c>
      <c r="D368" s="62">
        <f t="shared" si="272"/>
        <v>15.333333333333336</v>
      </c>
      <c r="E368" s="62">
        <f t="shared" si="272"/>
        <v>15.333333333333336</v>
      </c>
      <c r="F368" s="62">
        <f t="shared" si="272"/>
        <v>15.333333333333336</v>
      </c>
      <c r="G368" s="62">
        <f t="shared" si="272"/>
        <v>15.333333333333336</v>
      </c>
      <c r="H368" s="62">
        <f t="shared" si="272"/>
        <v>15.333333333333336</v>
      </c>
      <c r="I368" s="62">
        <f t="shared" si="272"/>
        <v>15.333333333333336</v>
      </c>
      <c r="J368" s="62">
        <f t="shared" si="272"/>
        <v>15.333333333333336</v>
      </c>
      <c r="K368" s="62">
        <f t="shared" si="272"/>
        <v>15.333333333333336</v>
      </c>
      <c r="L368" s="62">
        <f t="shared" ref="L368:U369" si="273">($B348+($C348-$B348)*(1-AA348))*L$44</f>
        <v>15.333333333333336</v>
      </c>
      <c r="M368" s="62">
        <f t="shared" si="273"/>
        <v>15.333333333333336</v>
      </c>
      <c r="N368" s="62">
        <f t="shared" si="273"/>
        <v>15.333333333333336</v>
      </c>
      <c r="O368" s="62">
        <f t="shared" si="273"/>
        <v>15.333333333333336</v>
      </c>
      <c r="P368" s="62">
        <f t="shared" si="273"/>
        <v>15.333333333333336</v>
      </c>
      <c r="Q368" s="62">
        <f t="shared" si="273"/>
        <v>15.333333333333336</v>
      </c>
      <c r="R368" s="62">
        <f t="shared" si="273"/>
        <v>15.333333333333336</v>
      </c>
      <c r="S368" s="62">
        <f t="shared" si="273"/>
        <v>15.333333333333336</v>
      </c>
      <c r="T368" s="62">
        <f t="shared" si="273"/>
        <v>15.333333333333336</v>
      </c>
      <c r="U368" s="62">
        <f t="shared" si="273"/>
        <v>15.333333333333336</v>
      </c>
      <c r="V368" s="62">
        <f t="shared" ref="V368:AC369" si="274">($B348+($C348-$B348)*(1-AK348))*V$44</f>
        <v>15.333333333333336</v>
      </c>
      <c r="W368" s="62">
        <f t="shared" si="274"/>
        <v>15.333333333333336</v>
      </c>
      <c r="X368" s="62">
        <f t="shared" si="274"/>
        <v>15.333333333333336</v>
      </c>
      <c r="Y368" s="62">
        <f t="shared" si="274"/>
        <v>15.333333333333336</v>
      </c>
      <c r="Z368" s="62">
        <f t="shared" si="274"/>
        <v>15.333333333333336</v>
      </c>
      <c r="AA368" s="62">
        <f t="shared" si="274"/>
        <v>15.333333333333336</v>
      </c>
      <c r="AB368" s="62">
        <f t="shared" si="274"/>
        <v>15.333333333333336</v>
      </c>
      <c r="AC368" s="62">
        <f t="shared" si="274"/>
        <v>15.333333333333336</v>
      </c>
    </row>
    <row r="369" spans="1:29" x14ac:dyDescent="0.25">
      <c r="A369" s="30" t="s">
        <v>73</v>
      </c>
      <c r="B369" s="62">
        <f t="shared" si="272"/>
        <v>1.240098396181128</v>
      </c>
      <c r="C369" s="62">
        <f t="shared" si="272"/>
        <v>1.2358588232214369</v>
      </c>
      <c r="D369" s="62">
        <f t="shared" si="272"/>
        <v>1.2298392373690403</v>
      </c>
      <c r="E369" s="62">
        <f t="shared" si="272"/>
        <v>1.2213311312119457</v>
      </c>
      <c r="F369" s="62">
        <f t="shared" si="272"/>
        <v>1.2093859036663352</v>
      </c>
      <c r="G369" s="62">
        <f t="shared" si="272"/>
        <v>1.1927777011260612</v>
      </c>
      <c r="H369" s="62">
        <f t="shared" si="272"/>
        <v>1.1700084767574384</v>
      </c>
      <c r="I369" s="62">
        <f t="shared" si="272"/>
        <v>1.1394090790574525</v>
      </c>
      <c r="J369" s="62">
        <f t="shared" si="272"/>
        <v>1.0994097548946793</v>
      </c>
      <c r="K369" s="62">
        <f t="shared" si="272"/>
        <v>1.0490373668749504</v>
      </c>
      <c r="L369" s="62">
        <f t="shared" si="273"/>
        <v>0.98859194719090016</v>
      </c>
      <c r="M369" s="62">
        <f t="shared" si="273"/>
        <v>0.92024185910637191</v>
      </c>
      <c r="N369" s="62">
        <f t="shared" si="273"/>
        <v>0.84808495154888996</v>
      </c>
      <c r="O369" s="62">
        <f t="shared" si="273"/>
        <v>0.77734795696642955</v>
      </c>
      <c r="P369" s="62">
        <f t="shared" si="273"/>
        <v>0.71295461477923405</v>
      </c>
      <c r="Q369" s="62">
        <f t="shared" si="273"/>
        <v>0.65822944370838299</v>
      </c>
      <c r="R369" s="62">
        <f t="shared" si="273"/>
        <v>0.61440438240348649</v>
      </c>
      <c r="S369" s="62">
        <f t="shared" si="273"/>
        <v>0.580963915532825</v>
      </c>
      <c r="T369" s="62">
        <f t="shared" si="273"/>
        <v>0.55638249045356891</v>
      </c>
      <c r="U369" s="62">
        <f t="shared" si="273"/>
        <v>0.53880712713312673</v>
      </c>
      <c r="V369" s="62">
        <f t="shared" si="274"/>
        <v>0.52648939296900943</v>
      </c>
      <c r="W369" s="62">
        <f t="shared" si="274"/>
        <v>0.51797708155449362</v>
      </c>
      <c r="X369" s="62">
        <f t="shared" si="274"/>
        <v>0.5121516826687923</v>
      </c>
      <c r="Y369" s="62">
        <f t="shared" si="274"/>
        <v>0.50819168042308127</v>
      </c>
      <c r="Z369" s="62">
        <f t="shared" si="274"/>
        <v>0.50551199096795685</v>
      </c>
      <c r="AA369" s="62">
        <f t="shared" si="274"/>
        <v>0.50370426966387927</v>
      </c>
      <c r="AB369" s="62">
        <f t="shared" si="274"/>
        <v>0.50248732066197166</v>
      </c>
      <c r="AC369" s="62">
        <f t="shared" si="274"/>
        <v>0.50166922716100104</v>
      </c>
    </row>
    <row r="370" spans="1:29" x14ac:dyDescent="0.25">
      <c r="A370" s="30" t="str">
        <f>A350</f>
        <v>Annual Mileage</v>
      </c>
      <c r="B370" s="62">
        <f t="shared" ref="B370:AC370" si="275">$B350+($C350-$B350)*(1-Q350)</f>
        <v>78000</v>
      </c>
      <c r="C370" s="62">
        <f t="shared" si="275"/>
        <v>78000</v>
      </c>
      <c r="D370" s="62">
        <f t="shared" si="275"/>
        <v>78000</v>
      </c>
      <c r="E370" s="62">
        <f t="shared" si="275"/>
        <v>78000</v>
      </c>
      <c r="F370" s="62">
        <f t="shared" si="275"/>
        <v>78000</v>
      </c>
      <c r="G370" s="62">
        <f t="shared" si="275"/>
        <v>78000</v>
      </c>
      <c r="H370" s="62">
        <f t="shared" si="275"/>
        <v>78000</v>
      </c>
      <c r="I370" s="62">
        <f t="shared" si="275"/>
        <v>78000</v>
      </c>
      <c r="J370" s="62">
        <f t="shared" si="275"/>
        <v>78000</v>
      </c>
      <c r="K370" s="62">
        <f t="shared" si="275"/>
        <v>78000</v>
      </c>
      <c r="L370" s="62">
        <f t="shared" si="275"/>
        <v>78000</v>
      </c>
      <c r="M370" s="62">
        <f t="shared" si="275"/>
        <v>78000</v>
      </c>
      <c r="N370" s="62">
        <f t="shared" si="275"/>
        <v>78000</v>
      </c>
      <c r="O370" s="62">
        <f t="shared" si="275"/>
        <v>78000</v>
      </c>
      <c r="P370" s="62">
        <f t="shared" si="275"/>
        <v>78000</v>
      </c>
      <c r="Q370" s="62">
        <f t="shared" si="275"/>
        <v>78000</v>
      </c>
      <c r="R370" s="62">
        <f t="shared" si="275"/>
        <v>78000</v>
      </c>
      <c r="S370" s="62">
        <f t="shared" si="275"/>
        <v>78000</v>
      </c>
      <c r="T370" s="62">
        <f t="shared" si="275"/>
        <v>78000</v>
      </c>
      <c r="U370" s="62">
        <f t="shared" si="275"/>
        <v>78000</v>
      </c>
      <c r="V370" s="62">
        <f t="shared" si="275"/>
        <v>78000</v>
      </c>
      <c r="W370" s="62">
        <f t="shared" si="275"/>
        <v>78000</v>
      </c>
      <c r="X370" s="62">
        <f t="shared" si="275"/>
        <v>78000</v>
      </c>
      <c r="Y370" s="62">
        <f t="shared" si="275"/>
        <v>78000</v>
      </c>
      <c r="Z370" s="62">
        <f t="shared" si="275"/>
        <v>78000</v>
      </c>
      <c r="AA370" s="62">
        <f t="shared" si="275"/>
        <v>78000</v>
      </c>
      <c r="AB370" s="62">
        <f t="shared" si="275"/>
        <v>78000</v>
      </c>
      <c r="AC370" s="62">
        <f t="shared" si="275"/>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6">((1+C358)^C365)*C358/(((1+C358)^C365)-1)*(C354)</f>
        <v>60754.714455896952</v>
      </c>
      <c r="D373" s="63">
        <f t="shared" si="276"/>
        <v>59916.698956344211</v>
      </c>
      <c r="E373" s="63">
        <f t="shared" si="276"/>
        <v>58767.811056679595</v>
      </c>
      <c r="F373" s="63">
        <f t="shared" si="276"/>
        <v>57223.828829380502</v>
      </c>
      <c r="G373" s="63">
        <f t="shared" si="276"/>
        <v>55205.54578287054</v>
      </c>
      <c r="H373" s="63">
        <f t="shared" si="276"/>
        <v>52663.859419902983</v>
      </c>
      <c r="I373" s="63">
        <f t="shared" si="276"/>
        <v>49613.908743460379</v>
      </c>
      <c r="J373" s="63">
        <f t="shared" si="276"/>
        <v>46165.10487249765</v>
      </c>
      <c r="K373" s="63">
        <f t="shared" si="276"/>
        <v>42524.216776008514</v>
      </c>
      <c r="L373" s="63">
        <f t="shared" si="276"/>
        <v>38954.974547168116</v>
      </c>
      <c r="M373" s="63">
        <f t="shared" si="276"/>
        <v>35705.819878562834</v>
      </c>
      <c r="N373" s="63">
        <f t="shared" si="276"/>
        <v>32944.501098770794</v>
      </c>
      <c r="O373" s="63">
        <f t="shared" si="276"/>
        <v>30733.179280332359</v>
      </c>
      <c r="P373" s="63">
        <f t="shared" si="276"/>
        <v>29045.842587397736</v>
      </c>
      <c r="Q373" s="63">
        <f t="shared" si="276"/>
        <v>27805.514793492392</v>
      </c>
      <c r="R373" s="63">
        <f t="shared" si="276"/>
        <v>26918.698364255953</v>
      </c>
      <c r="S373" s="63">
        <f t="shared" si="276"/>
        <v>26297.171012101549</v>
      </c>
      <c r="T373" s="63">
        <f t="shared" si="276"/>
        <v>25867.657409706244</v>
      </c>
      <c r="U373" s="63">
        <f t="shared" si="276"/>
        <v>25573.719848103356</v>
      </c>
      <c r="V373" s="63">
        <f t="shared" si="276"/>
        <v>25373.906337151635</v>
      </c>
      <c r="W373" s="63">
        <f t="shared" si="276"/>
        <v>25238.694757696427</v>
      </c>
      <c r="X373" s="63">
        <f t="shared" si="276"/>
        <v>25147.480885032299</v>
      </c>
      <c r="Y373" s="63">
        <f t="shared" si="276"/>
        <v>25086.076159066874</v>
      </c>
      <c r="Z373" s="63">
        <f t="shared" si="276"/>
        <v>25044.796855527889</v>
      </c>
      <c r="AA373" s="63">
        <f t="shared" si="276"/>
        <v>25017.073074171451</v>
      </c>
      <c r="AB373" s="63">
        <f t="shared" si="276"/>
        <v>24998.465197207195</v>
      </c>
      <c r="AC373" s="63">
        <f t="shared" si="276"/>
        <v>24985.981130564032</v>
      </c>
    </row>
    <row r="374" spans="1:29" x14ac:dyDescent="0.25">
      <c r="A374" s="30" t="str">
        <f>A355</f>
        <v>Residual value (vehicle)</v>
      </c>
      <c r="B374" s="62">
        <f>((1+B358)^B365)*B358/(((1+B358)^B365)-1)*(B355)</f>
        <v>-9299.0290627537943</v>
      </c>
      <c r="C374" s="62">
        <f t="shared" ref="C374:AC374" si="277">((1+C358)^C365)*C358/(((1+C358)^C365)-1)*(C355)</f>
        <v>-9248.373973667678</v>
      </c>
      <c r="D374" s="62">
        <f t="shared" si="277"/>
        <v>-9177.9450114712236</v>
      </c>
      <c r="E374" s="62">
        <f t="shared" si="277"/>
        <v>-9081.3895390526031</v>
      </c>
      <c r="F374" s="62">
        <f t="shared" si="277"/>
        <v>-8951.6293305881045</v>
      </c>
      <c r="G374" s="62">
        <f t="shared" si="277"/>
        <v>-8782.0076702963088</v>
      </c>
      <c r="H374" s="62">
        <f t="shared" si="277"/>
        <v>-8568.3978589405251</v>
      </c>
      <c r="I374" s="62">
        <f t="shared" si="277"/>
        <v>-8312.0722169841792</v>
      </c>
      <c r="J374" s="62">
        <f t="shared" si="277"/>
        <v>-8022.2259342117786</v>
      </c>
      <c r="K374" s="62">
        <f t="shared" si="277"/>
        <v>-7716.2364026983305</v>
      </c>
      <c r="L374" s="62">
        <f t="shared" si="277"/>
        <v>-7416.2681728277021</v>
      </c>
      <c r="M374" s="62">
        <f t="shared" si="277"/>
        <v>-7143.2009187640651</v>
      </c>
      <c r="N374" s="62">
        <f t="shared" si="277"/>
        <v>-6911.1326383347341</v>
      </c>
      <c r="O374" s="62">
        <f t="shared" si="277"/>
        <v>-6725.2875067851219</v>
      </c>
      <c r="P374" s="62">
        <f t="shared" si="277"/>
        <v>-6583.4794230172129</v>
      </c>
      <c r="Q374" s="62">
        <f t="shared" si="277"/>
        <v>-6479.2391084230394</v>
      </c>
      <c r="R374" s="62">
        <f t="shared" si="277"/>
        <v>-6404.7087914978501</v>
      </c>
      <c r="S374" s="62">
        <f t="shared" si="277"/>
        <v>-6352.4740459444474</v>
      </c>
      <c r="T374" s="62">
        <f t="shared" si="277"/>
        <v>-6316.3766261686715</v>
      </c>
      <c r="U374" s="62">
        <f t="shared" si="277"/>
        <v>-6291.6733630126846</v>
      </c>
      <c r="V374" s="62">
        <f t="shared" si="277"/>
        <v>-6274.8805253901455</v>
      </c>
      <c r="W374" s="62">
        <f t="shared" si="277"/>
        <v>-6263.5169990316763</v>
      </c>
      <c r="X374" s="62">
        <f t="shared" si="277"/>
        <v>-6255.8511522865001</v>
      </c>
      <c r="Y374" s="62">
        <f t="shared" si="277"/>
        <v>-6250.6905423383423</v>
      </c>
      <c r="Z374" s="62">
        <f t="shared" si="277"/>
        <v>-6247.2213242749585</v>
      </c>
      <c r="AA374" s="62">
        <f t="shared" si="277"/>
        <v>-6244.8913469056415</v>
      </c>
      <c r="AB374" s="62">
        <f t="shared" si="277"/>
        <v>-6243.3274934160918</v>
      </c>
      <c r="AC374" s="62">
        <f t="shared" si="277"/>
        <v>-6242.278300581188</v>
      </c>
    </row>
    <row r="375" spans="1:29" x14ac:dyDescent="0.25">
      <c r="A375" s="30" t="str">
        <f>A356</f>
        <v>Capex costumization</v>
      </c>
      <c r="B375" s="62">
        <f>((1+B358)^B366)*B358/(((1+B358)^B366)-1)*(B356)</f>
        <v>5434.7183288153492</v>
      </c>
      <c r="C375" s="62">
        <f t="shared" ref="C375:AC375" si="278">((1+C358)^C366)*C358/(((1+C358)^C366)-1)*(C356)</f>
        <v>5434.7183288153492</v>
      </c>
      <c r="D375" s="62">
        <f t="shared" si="278"/>
        <v>5434.7183288153492</v>
      </c>
      <c r="E375" s="62">
        <f t="shared" si="278"/>
        <v>5434.7183288153492</v>
      </c>
      <c r="F375" s="62">
        <f t="shared" si="278"/>
        <v>5434.7183288153492</v>
      </c>
      <c r="G375" s="62">
        <f t="shared" si="278"/>
        <v>5434.7183288153492</v>
      </c>
      <c r="H375" s="62">
        <f t="shared" si="278"/>
        <v>5434.7183288153492</v>
      </c>
      <c r="I375" s="62">
        <f t="shared" si="278"/>
        <v>5434.7183288153492</v>
      </c>
      <c r="J375" s="62">
        <f t="shared" si="278"/>
        <v>5434.7183288153492</v>
      </c>
      <c r="K375" s="62">
        <f t="shared" si="278"/>
        <v>5434.7183288153492</v>
      </c>
      <c r="L375" s="62">
        <f t="shared" si="278"/>
        <v>5434.7183288153492</v>
      </c>
      <c r="M375" s="62">
        <f t="shared" si="278"/>
        <v>5434.7183288153492</v>
      </c>
      <c r="N375" s="62">
        <f t="shared" si="278"/>
        <v>5434.7183288153492</v>
      </c>
      <c r="O375" s="62">
        <f t="shared" si="278"/>
        <v>5434.7183288153492</v>
      </c>
      <c r="P375" s="62">
        <f t="shared" si="278"/>
        <v>5434.7183288153492</v>
      </c>
      <c r="Q375" s="62">
        <f t="shared" si="278"/>
        <v>5434.7183288153492</v>
      </c>
      <c r="R375" s="62">
        <f t="shared" si="278"/>
        <v>5434.7183288153492</v>
      </c>
      <c r="S375" s="62">
        <f t="shared" si="278"/>
        <v>5434.7183288153492</v>
      </c>
      <c r="T375" s="62">
        <f t="shared" si="278"/>
        <v>5434.7183288153492</v>
      </c>
      <c r="U375" s="62">
        <f t="shared" si="278"/>
        <v>5434.7183288153492</v>
      </c>
      <c r="V375" s="62">
        <f t="shared" si="278"/>
        <v>5434.7183288153492</v>
      </c>
      <c r="W375" s="62">
        <f t="shared" si="278"/>
        <v>5434.7183288153492</v>
      </c>
      <c r="X375" s="62">
        <f t="shared" si="278"/>
        <v>5434.7183288153492</v>
      </c>
      <c r="Y375" s="62">
        <f t="shared" si="278"/>
        <v>5434.7183288153492</v>
      </c>
      <c r="Z375" s="62">
        <f t="shared" si="278"/>
        <v>5434.7183288153492</v>
      </c>
      <c r="AA375" s="62">
        <f t="shared" si="278"/>
        <v>5434.7183288153492</v>
      </c>
      <c r="AB375" s="62">
        <f t="shared" si="278"/>
        <v>5434.7183288153492</v>
      </c>
      <c r="AC375" s="62">
        <f t="shared" si="278"/>
        <v>5434.7183288153492</v>
      </c>
    </row>
    <row r="376" spans="1:29" x14ac:dyDescent="0.25">
      <c r="A376" s="30" t="str">
        <f>A357</f>
        <v>Residual value (costumization)</v>
      </c>
      <c r="B376" s="62">
        <f>((1+B358)^B366)*B358/(((1+B358)^B366)-1)*(B357)</f>
        <v>-1358.6795822038373</v>
      </c>
      <c r="C376" s="62">
        <f t="shared" ref="C376:AC376" si="279">((1+C358)^C366)*C358/(((1+C358)^C366)-1)*(C357)</f>
        <v>-1358.6795822038373</v>
      </c>
      <c r="D376" s="62">
        <f t="shared" si="279"/>
        <v>-1358.6795822038373</v>
      </c>
      <c r="E376" s="62">
        <f t="shared" si="279"/>
        <v>-1358.6795822038373</v>
      </c>
      <c r="F376" s="62">
        <f t="shared" si="279"/>
        <v>-1358.6795822038373</v>
      </c>
      <c r="G376" s="62">
        <f t="shared" si="279"/>
        <v>-1358.6795822038373</v>
      </c>
      <c r="H376" s="62">
        <f t="shared" si="279"/>
        <v>-1358.6795822038373</v>
      </c>
      <c r="I376" s="62">
        <f t="shared" si="279"/>
        <v>-1358.6795822038373</v>
      </c>
      <c r="J376" s="62">
        <f t="shared" si="279"/>
        <v>-1358.6795822038373</v>
      </c>
      <c r="K376" s="62">
        <f t="shared" si="279"/>
        <v>-1358.6795822038373</v>
      </c>
      <c r="L376" s="62">
        <f t="shared" si="279"/>
        <v>-1358.6795822038373</v>
      </c>
      <c r="M376" s="62">
        <f t="shared" si="279"/>
        <v>-1358.6795822038373</v>
      </c>
      <c r="N376" s="62">
        <f t="shared" si="279"/>
        <v>-1358.6795822038373</v>
      </c>
      <c r="O376" s="62">
        <f t="shared" si="279"/>
        <v>-1358.6795822038373</v>
      </c>
      <c r="P376" s="62">
        <f t="shared" si="279"/>
        <v>-1358.6795822038373</v>
      </c>
      <c r="Q376" s="62">
        <f t="shared" si="279"/>
        <v>-1358.6795822038373</v>
      </c>
      <c r="R376" s="62">
        <f t="shared" si="279"/>
        <v>-1358.6795822038373</v>
      </c>
      <c r="S376" s="62">
        <f t="shared" si="279"/>
        <v>-1358.6795822038373</v>
      </c>
      <c r="T376" s="62">
        <f t="shared" si="279"/>
        <v>-1358.6795822038373</v>
      </c>
      <c r="U376" s="62">
        <f t="shared" si="279"/>
        <v>-1358.6795822038373</v>
      </c>
      <c r="V376" s="62">
        <f t="shared" si="279"/>
        <v>-1358.6795822038373</v>
      </c>
      <c r="W376" s="62">
        <f t="shared" si="279"/>
        <v>-1358.6795822038373</v>
      </c>
      <c r="X376" s="62">
        <f t="shared" si="279"/>
        <v>-1358.6795822038373</v>
      </c>
      <c r="Y376" s="62">
        <f t="shared" si="279"/>
        <v>-1358.6795822038373</v>
      </c>
      <c r="Z376" s="62">
        <f t="shared" si="279"/>
        <v>-1358.6795822038373</v>
      </c>
      <c r="AA376" s="62">
        <f t="shared" si="279"/>
        <v>-1358.6795822038373</v>
      </c>
      <c r="AB376" s="62">
        <f t="shared" si="279"/>
        <v>-1358.6795822038373</v>
      </c>
      <c r="AC376" s="62">
        <f t="shared" si="279"/>
        <v>-1358.6795822038373</v>
      </c>
    </row>
    <row r="377" spans="1:29" x14ac:dyDescent="0.25">
      <c r="A377" s="30" t="str">
        <f t="shared" ref="A377:AC377" si="280">A359</f>
        <v>Opex fix (admin, crew, insurance)</v>
      </c>
      <c r="B377" s="62">
        <f t="shared" si="280"/>
        <v>70000</v>
      </c>
      <c r="C377" s="62">
        <f t="shared" si="280"/>
        <v>70000</v>
      </c>
      <c r="D377" s="62">
        <f t="shared" si="280"/>
        <v>70000</v>
      </c>
      <c r="E377" s="62">
        <f t="shared" si="280"/>
        <v>70000</v>
      </c>
      <c r="F377" s="62">
        <f t="shared" si="280"/>
        <v>70000</v>
      </c>
      <c r="G377" s="62">
        <f t="shared" si="280"/>
        <v>70000</v>
      </c>
      <c r="H377" s="62">
        <f t="shared" si="280"/>
        <v>70000</v>
      </c>
      <c r="I377" s="62">
        <f t="shared" si="280"/>
        <v>70000</v>
      </c>
      <c r="J377" s="62">
        <f t="shared" si="280"/>
        <v>70000</v>
      </c>
      <c r="K377" s="62">
        <f t="shared" si="280"/>
        <v>70000</v>
      </c>
      <c r="L377" s="62">
        <f t="shared" si="280"/>
        <v>70000</v>
      </c>
      <c r="M377" s="62">
        <f t="shared" si="280"/>
        <v>70000</v>
      </c>
      <c r="N377" s="62">
        <f t="shared" si="280"/>
        <v>70000</v>
      </c>
      <c r="O377" s="62">
        <f t="shared" si="280"/>
        <v>70000</v>
      </c>
      <c r="P377" s="62">
        <f t="shared" si="280"/>
        <v>70000</v>
      </c>
      <c r="Q377" s="62">
        <f t="shared" si="280"/>
        <v>70000</v>
      </c>
      <c r="R377" s="62">
        <f t="shared" si="280"/>
        <v>70000</v>
      </c>
      <c r="S377" s="62">
        <f t="shared" si="280"/>
        <v>70000</v>
      </c>
      <c r="T377" s="62">
        <f t="shared" si="280"/>
        <v>70000</v>
      </c>
      <c r="U377" s="62">
        <f t="shared" si="280"/>
        <v>70000</v>
      </c>
      <c r="V377" s="62">
        <f t="shared" si="280"/>
        <v>70000</v>
      </c>
      <c r="W377" s="62">
        <f t="shared" si="280"/>
        <v>70000</v>
      </c>
      <c r="X377" s="62">
        <f t="shared" si="280"/>
        <v>70000</v>
      </c>
      <c r="Y377" s="62">
        <f t="shared" si="280"/>
        <v>70000</v>
      </c>
      <c r="Z377" s="62">
        <f t="shared" si="280"/>
        <v>70000</v>
      </c>
      <c r="AA377" s="62">
        <f t="shared" si="280"/>
        <v>70000</v>
      </c>
      <c r="AB377" s="62">
        <f t="shared" si="280"/>
        <v>70000</v>
      </c>
      <c r="AC377" s="62">
        <f t="shared" si="280"/>
        <v>70000</v>
      </c>
    </row>
    <row r="378" spans="1:29" x14ac:dyDescent="0.25">
      <c r="A378" s="30" t="str">
        <f t="shared" ref="A378:AC378" si="281">A360</f>
        <v>Opex maintenance &amp; repair</v>
      </c>
      <c r="B378" s="62">
        <f t="shared" si="281"/>
        <v>25694.198732927423</v>
      </c>
      <c r="C378" s="62">
        <f t="shared" si="281"/>
        <v>25566.782972440909</v>
      </c>
      <c r="D378" s="62">
        <f t="shared" si="281"/>
        <v>25389.62881201132</v>
      </c>
      <c r="E378" s="62">
        <f t="shared" si="281"/>
        <v>25146.757085412675</v>
      </c>
      <c r="F378" s="62">
        <f t="shared" si="281"/>
        <v>24820.363509946161</v>
      </c>
      <c r="G378" s="62">
        <f t="shared" si="281"/>
        <v>24393.704052209912</v>
      </c>
      <c r="H378" s="62">
        <f t="shared" si="281"/>
        <v>23856.39857999947</v>
      </c>
      <c r="I378" s="62">
        <f t="shared" si="281"/>
        <v>23211.647436702937</v>
      </c>
      <c r="J378" s="62">
        <f t="shared" si="281"/>
        <v>22482.579830467967</v>
      </c>
      <c r="K378" s="62">
        <f t="shared" si="281"/>
        <v>21712.906149854825</v>
      </c>
      <c r="L378" s="62">
        <f t="shared" si="281"/>
        <v>20958.378207641916</v>
      </c>
      <c r="M378" s="62">
        <f t="shared" si="281"/>
        <v>20271.515890978495</v>
      </c>
      <c r="N378" s="62">
        <f t="shared" si="281"/>
        <v>19687.78073288942</v>
      </c>
      <c r="O378" s="62">
        <f t="shared" si="281"/>
        <v>19220.313412303854</v>
      </c>
      <c r="P378" s="62">
        <f t="shared" si="281"/>
        <v>18863.615099016799</v>
      </c>
      <c r="Q378" s="62">
        <f t="shared" si="281"/>
        <v>18601.413231504735</v>
      </c>
      <c r="R378" s="62">
        <f t="shared" si="281"/>
        <v>18413.942689420019</v>
      </c>
      <c r="S378" s="62">
        <f t="shared" si="281"/>
        <v>18282.553525002768</v>
      </c>
      <c r="T378" s="62">
        <f t="shared" si="281"/>
        <v>18191.755536581266</v>
      </c>
      <c r="U378" s="62">
        <f t="shared" si="281"/>
        <v>18129.617948467116</v>
      </c>
      <c r="V378" s="62">
        <f t="shared" si="281"/>
        <v>18087.377924512868</v>
      </c>
      <c r="W378" s="62">
        <f t="shared" si="281"/>
        <v>18058.794570324873</v>
      </c>
      <c r="X378" s="62">
        <f t="shared" si="281"/>
        <v>18039.512209748045</v>
      </c>
      <c r="Y378" s="62">
        <f t="shared" si="281"/>
        <v>18026.531420394364</v>
      </c>
      <c r="Z378" s="62">
        <f t="shared" si="281"/>
        <v>18017.805089717345</v>
      </c>
      <c r="AA378" s="62">
        <f t="shared" si="281"/>
        <v>18011.94435896385</v>
      </c>
      <c r="AB378" s="62">
        <f t="shared" si="281"/>
        <v>18008.010705203578</v>
      </c>
      <c r="AC378" s="62">
        <f t="shared" si="281"/>
        <v>18005.371608019701</v>
      </c>
    </row>
    <row r="379" spans="1:29" x14ac:dyDescent="0.25">
      <c r="A379" s="30" t="str">
        <f>A361</f>
        <v>Opex var (mode-fees)</v>
      </c>
      <c r="B379" s="62">
        <f>B361*B370</f>
        <v>8580</v>
      </c>
      <c r="C379" s="62">
        <f t="shared" ref="C379:AC379" si="282">C361*C370</f>
        <v>8580</v>
      </c>
      <c r="D379" s="62">
        <f t="shared" si="282"/>
        <v>8580</v>
      </c>
      <c r="E379" s="62">
        <f t="shared" si="282"/>
        <v>8580</v>
      </c>
      <c r="F379" s="62">
        <f t="shared" si="282"/>
        <v>8580</v>
      </c>
      <c r="G379" s="62">
        <f t="shared" si="282"/>
        <v>8580</v>
      </c>
      <c r="H379" s="62">
        <f t="shared" si="282"/>
        <v>8580</v>
      </c>
      <c r="I379" s="62">
        <f t="shared" si="282"/>
        <v>8580</v>
      </c>
      <c r="J379" s="62">
        <f t="shared" si="282"/>
        <v>8580</v>
      </c>
      <c r="K379" s="62">
        <f t="shared" si="282"/>
        <v>8580</v>
      </c>
      <c r="L379" s="62">
        <f t="shared" si="282"/>
        <v>8580</v>
      </c>
      <c r="M379" s="62">
        <f t="shared" si="282"/>
        <v>8580</v>
      </c>
      <c r="N379" s="62">
        <f t="shared" si="282"/>
        <v>8580</v>
      </c>
      <c r="O379" s="62">
        <f t="shared" si="282"/>
        <v>8580</v>
      </c>
      <c r="P379" s="62">
        <f t="shared" si="282"/>
        <v>8580</v>
      </c>
      <c r="Q379" s="62">
        <f t="shared" si="282"/>
        <v>8580</v>
      </c>
      <c r="R379" s="62">
        <f t="shared" si="282"/>
        <v>8580</v>
      </c>
      <c r="S379" s="62">
        <f t="shared" si="282"/>
        <v>8580</v>
      </c>
      <c r="T379" s="62">
        <f t="shared" si="282"/>
        <v>8580</v>
      </c>
      <c r="U379" s="62">
        <f t="shared" si="282"/>
        <v>8580</v>
      </c>
      <c r="V379" s="62">
        <f t="shared" si="282"/>
        <v>8580</v>
      </c>
      <c r="W379" s="62">
        <f t="shared" si="282"/>
        <v>8580</v>
      </c>
      <c r="X379" s="62">
        <f t="shared" si="282"/>
        <v>8580</v>
      </c>
      <c r="Y379" s="62">
        <f t="shared" si="282"/>
        <v>8580</v>
      </c>
      <c r="Z379" s="62">
        <f t="shared" si="282"/>
        <v>8580</v>
      </c>
      <c r="AA379" s="62">
        <f t="shared" si="282"/>
        <v>8580</v>
      </c>
      <c r="AB379" s="62">
        <f t="shared" si="282"/>
        <v>8580</v>
      </c>
      <c r="AC379" s="62">
        <f t="shared" si="282"/>
        <v>8580</v>
      </c>
    </row>
    <row r="380" spans="1:29" x14ac:dyDescent="0.25">
      <c r="A380" s="30" t="str">
        <f>A363</f>
        <v>Fuel Cost</v>
      </c>
      <c r="B380" s="62">
        <f>B362*B363*B370</f>
        <v>38433.361886657658</v>
      </c>
      <c r="C380" s="62">
        <f t="shared" ref="C380:AC380" si="283">C362*C363*C370</f>
        <v>37258.962320111837</v>
      </c>
      <c r="D380" s="62">
        <f t="shared" si="283"/>
        <v>36026.956179781271</v>
      </c>
      <c r="E380" s="62">
        <f t="shared" si="283"/>
        <v>35018.27276174759</v>
      </c>
      <c r="F380" s="62">
        <f t="shared" si="283"/>
        <v>33913.852246275004</v>
      </c>
      <c r="G380" s="62">
        <f t="shared" si="283"/>
        <v>32698.871979879656</v>
      </c>
      <c r="H380" s="62">
        <f t="shared" si="283"/>
        <v>31368.150932048789</v>
      </c>
      <c r="I380" s="62">
        <f t="shared" si="283"/>
        <v>29934.125971677444</v>
      </c>
      <c r="J380" s="62">
        <f t="shared" si="283"/>
        <v>29020.524740390563</v>
      </c>
      <c r="K380" s="62">
        <f t="shared" si="283"/>
        <v>28059.059993518622</v>
      </c>
      <c r="L380" s="62">
        <f t="shared" si="283"/>
        <v>27117.626777514281</v>
      </c>
      <c r="M380" s="62">
        <f t="shared" si="283"/>
        <v>26259.96016652371</v>
      </c>
      <c r="N380" s="62">
        <f t="shared" si="283"/>
        <v>25528.875304044108</v>
      </c>
      <c r="O380" s="62">
        <f t="shared" si="283"/>
        <v>24413.342055432349</v>
      </c>
      <c r="P380" s="62">
        <f t="shared" si="283"/>
        <v>23451.230456486996</v>
      </c>
      <c r="Q380" s="62">
        <f t="shared" si="283"/>
        <v>22615.239380385054</v>
      </c>
      <c r="R380" s="62">
        <f t="shared" si="283"/>
        <v>21875.937075768765</v>
      </c>
      <c r="S380" s="62">
        <f t="shared" si="283"/>
        <v>21207.203569659112</v>
      </c>
      <c r="T380" s="62">
        <f t="shared" si="283"/>
        <v>20625.59724752769</v>
      </c>
      <c r="U380" s="62">
        <f t="shared" si="283"/>
        <v>20078.022730287357</v>
      </c>
      <c r="V380" s="62">
        <f t="shared" si="283"/>
        <v>19553.538093218398</v>
      </c>
      <c r="W380" s="62">
        <f t="shared" si="283"/>
        <v>19044.543085884721</v>
      </c>
      <c r="X380" s="62">
        <f t="shared" si="283"/>
        <v>18545.85816797068</v>
      </c>
      <c r="Y380" s="62">
        <f t="shared" si="283"/>
        <v>18136.922317487904</v>
      </c>
      <c r="Z380" s="62">
        <f t="shared" si="283"/>
        <v>17732.412652809082</v>
      </c>
      <c r="AA380" s="62">
        <f t="shared" si="283"/>
        <v>17330.824925803427</v>
      </c>
      <c r="AB380" s="62">
        <f t="shared" si="283"/>
        <v>16931.162417910684</v>
      </c>
      <c r="AC380" s="62">
        <f t="shared" si="283"/>
        <v>16532.766588571063</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198842.01619909861</v>
      </c>
      <c r="C382" s="64">
        <f t="shared" ref="C382:AC382" si="285">C373+C374+C375+C376+C377+C378+C379+C380+C381</f>
        <v>196988.12452139353</v>
      </c>
      <c r="D382" s="64">
        <f t="shared" si="285"/>
        <v>194811.3776832771</v>
      </c>
      <c r="E382" s="64">
        <f t="shared" si="285"/>
        <v>192507.49011139877</v>
      </c>
      <c r="F382" s="64">
        <f t="shared" si="285"/>
        <v>189662.45400162507</v>
      </c>
      <c r="G382" s="64">
        <f t="shared" si="285"/>
        <v>186172.1528912753</v>
      </c>
      <c r="H382" s="64">
        <f t="shared" si="285"/>
        <v>181976.04981962225</v>
      </c>
      <c r="I382" s="64">
        <f t="shared" si="285"/>
        <v>177103.6486814681</v>
      </c>
      <c r="J382" s="64">
        <f t="shared" si="285"/>
        <v>172302.0222557559</v>
      </c>
      <c r="K382" s="64">
        <f t="shared" si="285"/>
        <v>167235.98526329515</v>
      </c>
      <c r="L382" s="64">
        <f t="shared" si="285"/>
        <v>162270.75010610814</v>
      </c>
      <c r="M382" s="64">
        <f t="shared" si="285"/>
        <v>157750.13376391248</v>
      </c>
      <c r="N382" s="64">
        <f t="shared" si="285"/>
        <v>153906.0632439811</v>
      </c>
      <c r="O382" s="64">
        <f t="shared" si="285"/>
        <v>150297.58598789497</v>
      </c>
      <c r="P382" s="64">
        <f t="shared" si="285"/>
        <v>147433.24746649581</v>
      </c>
      <c r="Q382" s="64">
        <f t="shared" si="285"/>
        <v>145198.96704357065</v>
      </c>
      <c r="R382" s="64">
        <f t="shared" si="285"/>
        <v>143459.90808455841</v>
      </c>
      <c r="S382" s="64">
        <f t="shared" si="285"/>
        <v>142090.49280743051</v>
      </c>
      <c r="T382" s="64">
        <f t="shared" si="285"/>
        <v>141024.67231425803</v>
      </c>
      <c r="U382" s="64">
        <f t="shared" si="285"/>
        <v>140145.72591045668</v>
      </c>
      <c r="V382" s="64">
        <f t="shared" si="285"/>
        <v>139395.98057610428</v>
      </c>
      <c r="W382" s="64">
        <f t="shared" si="285"/>
        <v>138734.55416148587</v>
      </c>
      <c r="X382" s="64">
        <f t="shared" si="285"/>
        <v>138133.03885707603</v>
      </c>
      <c r="Y382" s="64">
        <f t="shared" si="285"/>
        <v>137654.87810122233</v>
      </c>
      <c r="Z382" s="64">
        <f t="shared" si="285"/>
        <v>137203.83202039087</v>
      </c>
      <c r="AA382" s="64">
        <f t="shared" si="285"/>
        <v>136770.9897586446</v>
      </c>
      <c r="AB382" s="64">
        <f t="shared" si="285"/>
        <v>136350.34957351687</v>
      </c>
      <c r="AC382" s="64">
        <f t="shared" si="285"/>
        <v>135937.87977318512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0.78663392173917701</v>
      </c>
      <c r="C385" s="65">
        <f t="shared" ref="C385:AC385" si="287">((1+C358)^C365)*C358/(((1+C358)^C365)-1)*(C354)/C370</f>
        <v>0.77890659558842246</v>
      </c>
      <c r="D385" s="65">
        <f t="shared" si="287"/>
        <v>0.76816280713261809</v>
      </c>
      <c r="E385" s="65">
        <f t="shared" si="287"/>
        <v>0.75343347508563585</v>
      </c>
      <c r="F385" s="65">
        <f t="shared" si="287"/>
        <v>0.73363883114590389</v>
      </c>
      <c r="G385" s="65">
        <f t="shared" si="287"/>
        <v>0.70776340747269928</v>
      </c>
      <c r="H385" s="65">
        <f t="shared" si="287"/>
        <v>0.67517768487055108</v>
      </c>
      <c r="I385" s="65">
        <f t="shared" si="287"/>
        <v>0.63607575312128695</v>
      </c>
      <c r="J385" s="65">
        <f t="shared" si="287"/>
        <v>0.59186031887817503</v>
      </c>
      <c r="K385" s="65">
        <f t="shared" si="287"/>
        <v>0.54518226635908351</v>
      </c>
      <c r="L385" s="65">
        <f t="shared" si="287"/>
        <v>0.49942275060471941</v>
      </c>
      <c r="M385" s="65">
        <f t="shared" si="287"/>
        <v>0.45776692152003634</v>
      </c>
      <c r="N385" s="65">
        <f t="shared" si="287"/>
        <v>0.42236539870218964</v>
      </c>
      <c r="O385" s="65">
        <f t="shared" si="287"/>
        <v>0.39401511897861996</v>
      </c>
      <c r="P385" s="65">
        <f t="shared" si="287"/>
        <v>0.37238259727432993</v>
      </c>
      <c r="Q385" s="65">
        <f t="shared" si="287"/>
        <v>0.35648095889092812</v>
      </c>
      <c r="R385" s="65">
        <f t="shared" si="287"/>
        <v>0.34511151749046093</v>
      </c>
      <c r="S385" s="65">
        <f t="shared" si="287"/>
        <v>0.33714321810386599</v>
      </c>
      <c r="T385" s="65">
        <f t="shared" si="287"/>
        <v>0.33163663345777233</v>
      </c>
      <c r="U385" s="65">
        <f t="shared" si="287"/>
        <v>0.32786820318081228</v>
      </c>
      <c r="V385" s="65">
        <f t="shared" si="287"/>
        <v>0.32530649150194402</v>
      </c>
      <c r="W385" s="65">
        <f t="shared" si="287"/>
        <v>0.32357300971405673</v>
      </c>
      <c r="X385" s="65">
        <f t="shared" si="287"/>
        <v>0.3224036010901577</v>
      </c>
      <c r="Y385" s="65">
        <f t="shared" si="287"/>
        <v>0.32161636101367785</v>
      </c>
      <c r="Z385" s="65">
        <f t="shared" si="287"/>
        <v>0.32108713917343445</v>
      </c>
      <c r="AA385" s="65">
        <f t="shared" si="287"/>
        <v>0.32073170607912116</v>
      </c>
      <c r="AB385" s="65">
        <f t="shared" si="287"/>
        <v>0.32049314355393838</v>
      </c>
      <c r="AC385" s="65">
        <f t="shared" si="287"/>
        <v>0.32033309141748761</v>
      </c>
    </row>
    <row r="386" spans="1:29" x14ac:dyDescent="0.25">
      <c r="A386" s="30" t="str">
        <f t="shared" si="286"/>
        <v>Residual value (vehicle)</v>
      </c>
      <c r="B386" s="66">
        <f>((1+B358)^B365)*B358/(((1+B358)^B365)-1)*(B355)/B370</f>
        <v>-0.11921832131735634</v>
      </c>
      <c r="C386" s="66">
        <f t="shared" ref="C386:AC386" si="288">((1+C358)^C365)*C358/(((1+C358)^C365)-1)*(C355)/C370</f>
        <v>-0.11856889709830357</v>
      </c>
      <c r="D386" s="66">
        <f t="shared" si="288"/>
        <v>-0.11766596168552851</v>
      </c>
      <c r="E386" s="66">
        <f t="shared" si="288"/>
        <v>-0.11642807101349491</v>
      </c>
      <c r="F386" s="66">
        <f t="shared" si="288"/>
        <v>-0.11476447859728339</v>
      </c>
      <c r="G386" s="66">
        <f t="shared" si="288"/>
        <v>-0.11258984192687575</v>
      </c>
      <c r="H386" s="66">
        <f t="shared" si="288"/>
        <v>-0.1098512546018016</v>
      </c>
      <c r="I386" s="66">
        <f t="shared" si="288"/>
        <v>-0.10656502842287409</v>
      </c>
      <c r="J386" s="66">
        <f t="shared" si="288"/>
        <v>-0.10284905043861255</v>
      </c>
      <c r="K386" s="66">
        <f t="shared" si="288"/>
        <v>-9.8926107726901677E-2</v>
      </c>
      <c r="L386" s="66">
        <f t="shared" si="288"/>
        <v>-9.5080361190098744E-2</v>
      </c>
      <c r="M386" s="66">
        <f t="shared" si="288"/>
        <v>-9.1579498958513653E-2</v>
      </c>
      <c r="N386" s="66">
        <f t="shared" si="288"/>
        <v>-8.8604264594035059E-2</v>
      </c>
      <c r="O386" s="66">
        <f t="shared" si="288"/>
        <v>-8.6221634702373359E-2</v>
      </c>
      <c r="P386" s="66">
        <f t="shared" si="288"/>
        <v>-8.4403582346374517E-2</v>
      </c>
      <c r="Q386" s="66">
        <f t="shared" si="288"/>
        <v>-8.3067168056705637E-2</v>
      </c>
      <c r="R386" s="66">
        <f t="shared" si="288"/>
        <v>-8.211165117304936E-2</v>
      </c>
      <c r="S386" s="66">
        <f t="shared" si="288"/>
        <v>-8.144197494800573E-2</v>
      </c>
      <c r="T386" s="66">
        <f t="shared" si="288"/>
        <v>-8.0979187514982967E-2</v>
      </c>
      <c r="U386" s="66">
        <f t="shared" si="288"/>
        <v>-8.0662479012983138E-2</v>
      </c>
      <c r="V386" s="66">
        <f t="shared" si="288"/>
        <v>-8.0447186222950579E-2</v>
      </c>
      <c r="W386" s="66">
        <f t="shared" si="288"/>
        <v>-8.0301499987585595E-2</v>
      </c>
      <c r="X386" s="66">
        <f t="shared" si="288"/>
        <v>-8.0203219901108971E-2</v>
      </c>
      <c r="Y386" s="66">
        <f t="shared" si="288"/>
        <v>-8.0137058235106959E-2</v>
      </c>
      <c r="Z386" s="66">
        <f t="shared" si="288"/>
        <v>-8.0092581080448186E-2</v>
      </c>
      <c r="AA386" s="66">
        <f t="shared" si="288"/>
        <v>-8.0062709575713348E-2</v>
      </c>
      <c r="AB386" s="66">
        <f t="shared" si="288"/>
        <v>-8.0042660172001179E-2</v>
      </c>
      <c r="AC386" s="66">
        <f t="shared" si="288"/>
        <v>-8.0029208981810096E-2</v>
      </c>
    </row>
    <row r="387" spans="1:29" x14ac:dyDescent="0.25">
      <c r="A387" s="30" t="str">
        <f t="shared" si="286"/>
        <v>Capex costumization</v>
      </c>
      <c r="B387" s="66">
        <f>((1+B358)^B366)*B358/(((1+B358)^B366)-1)*(B356)/B370</f>
        <v>6.9675876010453192E-2</v>
      </c>
      <c r="C387" s="66">
        <f t="shared" ref="C387:AC387" si="289">((1+C358)^C366)*C358/(((1+C358)^C366)-1)*(C356)/C370</f>
        <v>6.9675876010453192E-2</v>
      </c>
      <c r="D387" s="66">
        <f t="shared" si="289"/>
        <v>6.9675876010453192E-2</v>
      </c>
      <c r="E387" s="66">
        <f t="shared" si="289"/>
        <v>6.9675876010453192E-2</v>
      </c>
      <c r="F387" s="66">
        <f t="shared" si="289"/>
        <v>6.9675876010453192E-2</v>
      </c>
      <c r="G387" s="66">
        <f t="shared" si="289"/>
        <v>6.9675876010453192E-2</v>
      </c>
      <c r="H387" s="66">
        <f t="shared" si="289"/>
        <v>6.9675876010453192E-2</v>
      </c>
      <c r="I387" s="66">
        <f t="shared" si="289"/>
        <v>6.9675876010453192E-2</v>
      </c>
      <c r="J387" s="66">
        <f t="shared" si="289"/>
        <v>6.9675876010453192E-2</v>
      </c>
      <c r="K387" s="66">
        <f t="shared" si="289"/>
        <v>6.9675876010453192E-2</v>
      </c>
      <c r="L387" s="66">
        <f t="shared" si="289"/>
        <v>6.9675876010453192E-2</v>
      </c>
      <c r="M387" s="66">
        <f t="shared" si="289"/>
        <v>6.9675876010453192E-2</v>
      </c>
      <c r="N387" s="66">
        <f t="shared" si="289"/>
        <v>6.9675876010453192E-2</v>
      </c>
      <c r="O387" s="66">
        <f t="shared" si="289"/>
        <v>6.9675876010453192E-2</v>
      </c>
      <c r="P387" s="66">
        <f t="shared" si="289"/>
        <v>6.9675876010453192E-2</v>
      </c>
      <c r="Q387" s="66">
        <f t="shared" si="289"/>
        <v>6.9675876010453192E-2</v>
      </c>
      <c r="R387" s="66">
        <f t="shared" si="289"/>
        <v>6.9675876010453192E-2</v>
      </c>
      <c r="S387" s="66">
        <f t="shared" si="289"/>
        <v>6.9675876010453192E-2</v>
      </c>
      <c r="T387" s="66">
        <f t="shared" si="289"/>
        <v>6.9675876010453192E-2</v>
      </c>
      <c r="U387" s="66">
        <f t="shared" si="289"/>
        <v>6.9675876010453192E-2</v>
      </c>
      <c r="V387" s="66">
        <f t="shared" si="289"/>
        <v>6.9675876010453192E-2</v>
      </c>
      <c r="W387" s="66">
        <f t="shared" si="289"/>
        <v>6.9675876010453192E-2</v>
      </c>
      <c r="X387" s="66">
        <f t="shared" si="289"/>
        <v>6.9675876010453192E-2</v>
      </c>
      <c r="Y387" s="66">
        <f t="shared" si="289"/>
        <v>6.9675876010453192E-2</v>
      </c>
      <c r="Z387" s="66">
        <f t="shared" si="289"/>
        <v>6.9675876010453192E-2</v>
      </c>
      <c r="AA387" s="66">
        <f t="shared" si="289"/>
        <v>6.9675876010453192E-2</v>
      </c>
      <c r="AB387" s="66">
        <f t="shared" si="289"/>
        <v>6.9675876010453192E-2</v>
      </c>
      <c r="AC387" s="66">
        <f t="shared" si="289"/>
        <v>6.9675876010453192E-2</v>
      </c>
    </row>
    <row r="388" spans="1:29" x14ac:dyDescent="0.25">
      <c r="A388" s="30" t="str">
        <f t="shared" si="286"/>
        <v>Residual value (costumization)</v>
      </c>
      <c r="B388" s="66">
        <f>((1+B358)^B366)*B358/(((1+B358)^B366)-1)*(B357)/B370</f>
        <v>-1.7418969002613298E-2</v>
      </c>
      <c r="C388" s="66">
        <f t="shared" ref="C388:AC388" si="290">((1+C358)^C366)*C358/(((1+C358)^C366)-1)*(C357)/C370</f>
        <v>-1.7418969002613298E-2</v>
      </c>
      <c r="D388" s="66">
        <f t="shared" si="290"/>
        <v>-1.7418969002613298E-2</v>
      </c>
      <c r="E388" s="66">
        <f t="shared" si="290"/>
        <v>-1.7418969002613298E-2</v>
      </c>
      <c r="F388" s="66">
        <f t="shared" si="290"/>
        <v>-1.7418969002613298E-2</v>
      </c>
      <c r="G388" s="66">
        <f t="shared" si="290"/>
        <v>-1.7418969002613298E-2</v>
      </c>
      <c r="H388" s="66">
        <f t="shared" si="290"/>
        <v>-1.7418969002613298E-2</v>
      </c>
      <c r="I388" s="66">
        <f t="shared" si="290"/>
        <v>-1.7418969002613298E-2</v>
      </c>
      <c r="J388" s="66">
        <f t="shared" si="290"/>
        <v>-1.7418969002613298E-2</v>
      </c>
      <c r="K388" s="66">
        <f t="shared" si="290"/>
        <v>-1.7418969002613298E-2</v>
      </c>
      <c r="L388" s="66">
        <f t="shared" si="290"/>
        <v>-1.7418969002613298E-2</v>
      </c>
      <c r="M388" s="66">
        <f t="shared" si="290"/>
        <v>-1.7418969002613298E-2</v>
      </c>
      <c r="N388" s="66">
        <f t="shared" si="290"/>
        <v>-1.7418969002613298E-2</v>
      </c>
      <c r="O388" s="66">
        <f t="shared" si="290"/>
        <v>-1.7418969002613298E-2</v>
      </c>
      <c r="P388" s="66">
        <f t="shared" si="290"/>
        <v>-1.7418969002613298E-2</v>
      </c>
      <c r="Q388" s="66">
        <f t="shared" si="290"/>
        <v>-1.7418969002613298E-2</v>
      </c>
      <c r="R388" s="66">
        <f t="shared" si="290"/>
        <v>-1.7418969002613298E-2</v>
      </c>
      <c r="S388" s="66">
        <f t="shared" si="290"/>
        <v>-1.7418969002613298E-2</v>
      </c>
      <c r="T388" s="66">
        <f t="shared" si="290"/>
        <v>-1.7418969002613298E-2</v>
      </c>
      <c r="U388" s="66">
        <f t="shared" si="290"/>
        <v>-1.7418969002613298E-2</v>
      </c>
      <c r="V388" s="66">
        <f t="shared" si="290"/>
        <v>-1.7418969002613298E-2</v>
      </c>
      <c r="W388" s="66">
        <f t="shared" si="290"/>
        <v>-1.7418969002613298E-2</v>
      </c>
      <c r="X388" s="66">
        <f t="shared" si="290"/>
        <v>-1.7418969002613298E-2</v>
      </c>
      <c r="Y388" s="66">
        <f t="shared" si="290"/>
        <v>-1.7418969002613298E-2</v>
      </c>
      <c r="Z388" s="66">
        <f t="shared" si="290"/>
        <v>-1.7418969002613298E-2</v>
      </c>
      <c r="AA388" s="66">
        <f t="shared" si="290"/>
        <v>-1.7418969002613298E-2</v>
      </c>
      <c r="AB388" s="66">
        <f t="shared" si="290"/>
        <v>-1.7418969002613298E-2</v>
      </c>
      <c r="AC388" s="66">
        <f t="shared" si="290"/>
        <v>-1.7418969002613298E-2</v>
      </c>
    </row>
    <row r="389" spans="1:29" x14ac:dyDescent="0.25">
      <c r="A389" s="30" t="str">
        <f t="shared" si="286"/>
        <v>Opex fix (admin, crew, insurance)</v>
      </c>
      <c r="B389" s="66">
        <f>B359/B370</f>
        <v>0.89743589743589747</v>
      </c>
      <c r="C389" s="66">
        <f t="shared" ref="C389:AC389" si="291">C359/C370</f>
        <v>0.89743589743589747</v>
      </c>
      <c r="D389" s="66">
        <f t="shared" si="291"/>
        <v>0.89743589743589747</v>
      </c>
      <c r="E389" s="66">
        <f t="shared" si="291"/>
        <v>0.89743589743589747</v>
      </c>
      <c r="F389" s="66">
        <f t="shared" si="291"/>
        <v>0.89743589743589747</v>
      </c>
      <c r="G389" s="66">
        <f t="shared" si="291"/>
        <v>0.89743589743589747</v>
      </c>
      <c r="H389" s="66">
        <f t="shared" si="291"/>
        <v>0.89743589743589747</v>
      </c>
      <c r="I389" s="66">
        <f t="shared" si="291"/>
        <v>0.89743589743589747</v>
      </c>
      <c r="J389" s="66">
        <f t="shared" si="291"/>
        <v>0.89743589743589747</v>
      </c>
      <c r="K389" s="66">
        <f t="shared" si="291"/>
        <v>0.89743589743589747</v>
      </c>
      <c r="L389" s="66">
        <f t="shared" si="291"/>
        <v>0.89743589743589747</v>
      </c>
      <c r="M389" s="66">
        <f t="shared" si="291"/>
        <v>0.89743589743589747</v>
      </c>
      <c r="N389" s="66">
        <f t="shared" si="291"/>
        <v>0.89743589743589747</v>
      </c>
      <c r="O389" s="66">
        <f t="shared" si="291"/>
        <v>0.89743589743589747</v>
      </c>
      <c r="P389" s="66">
        <f t="shared" si="291"/>
        <v>0.89743589743589747</v>
      </c>
      <c r="Q389" s="66">
        <f t="shared" si="291"/>
        <v>0.89743589743589747</v>
      </c>
      <c r="R389" s="66">
        <f t="shared" si="291"/>
        <v>0.89743589743589747</v>
      </c>
      <c r="S389" s="66">
        <f t="shared" si="291"/>
        <v>0.89743589743589747</v>
      </c>
      <c r="T389" s="66">
        <f t="shared" si="291"/>
        <v>0.89743589743589747</v>
      </c>
      <c r="U389" s="66">
        <f t="shared" si="291"/>
        <v>0.89743589743589747</v>
      </c>
      <c r="V389" s="66">
        <f t="shared" si="291"/>
        <v>0.89743589743589747</v>
      </c>
      <c r="W389" s="66">
        <f t="shared" si="291"/>
        <v>0.89743589743589747</v>
      </c>
      <c r="X389" s="66">
        <f t="shared" si="291"/>
        <v>0.89743589743589747</v>
      </c>
      <c r="Y389" s="66">
        <f t="shared" si="291"/>
        <v>0.89743589743589747</v>
      </c>
      <c r="Z389" s="66">
        <f t="shared" si="291"/>
        <v>0.89743589743589747</v>
      </c>
      <c r="AA389" s="66">
        <f t="shared" si="291"/>
        <v>0.89743589743589747</v>
      </c>
      <c r="AB389" s="66">
        <f t="shared" si="291"/>
        <v>0.89743589743589747</v>
      </c>
      <c r="AC389" s="66">
        <f t="shared" si="291"/>
        <v>0.89743589743589747</v>
      </c>
    </row>
    <row r="390" spans="1:29" x14ac:dyDescent="0.25">
      <c r="A390" s="30" t="str">
        <f t="shared" si="286"/>
        <v>Opex maintenance &amp; repair</v>
      </c>
      <c r="B390" s="66">
        <f>B360/B370</f>
        <v>0.32941280426830027</v>
      </c>
      <c r="C390" s="66">
        <f t="shared" ref="C390:AC390" si="292">C360/C370</f>
        <v>0.32777926887744757</v>
      </c>
      <c r="D390" s="66">
        <f t="shared" si="292"/>
        <v>0.32550806169245283</v>
      </c>
      <c r="E390" s="66">
        <f t="shared" si="292"/>
        <v>0.32239432160785481</v>
      </c>
      <c r="F390" s="66">
        <f t="shared" si="292"/>
        <v>0.31820978858905336</v>
      </c>
      <c r="G390" s="66">
        <f t="shared" si="292"/>
        <v>0.31273979554115272</v>
      </c>
      <c r="H390" s="66">
        <f t="shared" si="292"/>
        <v>0.30585126384614703</v>
      </c>
      <c r="I390" s="66">
        <f t="shared" si="292"/>
        <v>0.29758522354747358</v>
      </c>
      <c r="J390" s="66">
        <f t="shared" si="292"/>
        <v>0.28823820295471753</v>
      </c>
      <c r="K390" s="66">
        <f t="shared" si="292"/>
        <v>0.27837059166480543</v>
      </c>
      <c r="L390" s="66">
        <f t="shared" si="292"/>
        <v>0.26869715650822967</v>
      </c>
      <c r="M390" s="66">
        <f t="shared" si="292"/>
        <v>0.25989122937151915</v>
      </c>
      <c r="N390" s="66">
        <f t="shared" si="292"/>
        <v>0.2524074452934541</v>
      </c>
      <c r="O390" s="66">
        <f t="shared" si="292"/>
        <v>0.24641427451671608</v>
      </c>
      <c r="P390" s="66">
        <f t="shared" si="292"/>
        <v>0.24184121921816409</v>
      </c>
      <c r="Q390" s="66">
        <f t="shared" si="292"/>
        <v>0.23847965681416328</v>
      </c>
      <c r="R390" s="66">
        <f t="shared" si="292"/>
        <v>0.23607618832589766</v>
      </c>
      <c r="S390" s="66">
        <f t="shared" si="292"/>
        <v>0.23439171185900984</v>
      </c>
      <c r="T390" s="66">
        <f t="shared" si="292"/>
        <v>0.23322763508437522</v>
      </c>
      <c r="U390" s="66">
        <f t="shared" si="292"/>
        <v>0.23243099933932199</v>
      </c>
      <c r="V390" s="66">
        <f t="shared" si="292"/>
        <v>0.2318894605706778</v>
      </c>
      <c r="W390" s="66">
        <f t="shared" si="292"/>
        <v>0.23152300731185735</v>
      </c>
      <c r="X390" s="66">
        <f t="shared" si="292"/>
        <v>0.23127579756087238</v>
      </c>
      <c r="Y390" s="66">
        <f t="shared" si="292"/>
        <v>0.23110937718454314</v>
      </c>
      <c r="Z390" s="66">
        <f t="shared" si="292"/>
        <v>0.23099750115022238</v>
      </c>
      <c r="AA390" s="66">
        <f t="shared" si="292"/>
        <v>0.23092236357645962</v>
      </c>
      <c r="AB390" s="66">
        <f t="shared" si="292"/>
        <v>0.23087193211799459</v>
      </c>
      <c r="AC390" s="66">
        <f t="shared" si="292"/>
        <v>0.23083809753871412</v>
      </c>
    </row>
    <row r="391" spans="1:29" x14ac:dyDescent="0.25">
      <c r="A391" s="30" t="str">
        <f t="shared" si="286"/>
        <v>Opex var (mode-fees)</v>
      </c>
      <c r="B391" s="66">
        <f>B361*B370/B370</f>
        <v>0.11</v>
      </c>
      <c r="C391" s="66">
        <f t="shared" ref="C391:AC391" si="293">C361*C370/C370</f>
        <v>0.11</v>
      </c>
      <c r="D391" s="66">
        <f t="shared" si="293"/>
        <v>0.11</v>
      </c>
      <c r="E391" s="66">
        <f t="shared" si="293"/>
        <v>0.11</v>
      </c>
      <c r="F391" s="66">
        <f t="shared" si="293"/>
        <v>0.11</v>
      </c>
      <c r="G391" s="66">
        <f t="shared" si="293"/>
        <v>0.11</v>
      </c>
      <c r="H391" s="66">
        <f t="shared" si="293"/>
        <v>0.11</v>
      </c>
      <c r="I391" s="66">
        <f t="shared" si="293"/>
        <v>0.11</v>
      </c>
      <c r="J391" s="66">
        <f t="shared" si="293"/>
        <v>0.11</v>
      </c>
      <c r="K391" s="66">
        <f t="shared" si="293"/>
        <v>0.11</v>
      </c>
      <c r="L391" s="66">
        <f t="shared" si="293"/>
        <v>0.11</v>
      </c>
      <c r="M391" s="66">
        <f t="shared" si="293"/>
        <v>0.11</v>
      </c>
      <c r="N391" s="66">
        <f t="shared" si="293"/>
        <v>0.11</v>
      </c>
      <c r="O391" s="66">
        <f t="shared" si="293"/>
        <v>0.11</v>
      </c>
      <c r="P391" s="66">
        <f t="shared" si="293"/>
        <v>0.11</v>
      </c>
      <c r="Q391" s="66">
        <f t="shared" si="293"/>
        <v>0.11</v>
      </c>
      <c r="R391" s="66">
        <f t="shared" si="293"/>
        <v>0.11</v>
      </c>
      <c r="S391" s="66">
        <f t="shared" si="293"/>
        <v>0.11</v>
      </c>
      <c r="T391" s="66">
        <f t="shared" si="293"/>
        <v>0.11</v>
      </c>
      <c r="U391" s="66">
        <f t="shared" si="293"/>
        <v>0.11</v>
      </c>
      <c r="V391" s="66">
        <f t="shared" si="293"/>
        <v>0.11</v>
      </c>
      <c r="W391" s="66">
        <f t="shared" si="293"/>
        <v>0.11</v>
      </c>
      <c r="X391" s="66">
        <f t="shared" si="293"/>
        <v>0.11</v>
      </c>
      <c r="Y391" s="66">
        <f t="shared" si="293"/>
        <v>0.11</v>
      </c>
      <c r="Z391" s="66">
        <f t="shared" si="293"/>
        <v>0.11</v>
      </c>
      <c r="AA391" s="66">
        <f t="shared" si="293"/>
        <v>0.11</v>
      </c>
      <c r="AB391" s="66">
        <f t="shared" si="293"/>
        <v>0.11</v>
      </c>
      <c r="AC391" s="66">
        <f t="shared" si="293"/>
        <v>0.11</v>
      </c>
    </row>
    <row r="392" spans="1:29" x14ac:dyDescent="0.25">
      <c r="A392" s="30" t="str">
        <f t="shared" si="286"/>
        <v>Fuel Cost</v>
      </c>
      <c r="B392" s="66">
        <f>B362*B363*B370/B370</f>
        <v>0.4927354088033033</v>
      </c>
      <c r="C392" s="66">
        <f t="shared" ref="C392:AC392" si="294">C362*C363*C370/C370</f>
        <v>0.47767900410399794</v>
      </c>
      <c r="D392" s="66">
        <f t="shared" si="294"/>
        <v>0.46188405358693935</v>
      </c>
      <c r="E392" s="66">
        <f t="shared" si="294"/>
        <v>0.4489522148941999</v>
      </c>
      <c r="F392" s="66">
        <f t="shared" si="294"/>
        <v>0.43479297751634621</v>
      </c>
      <c r="G392" s="66">
        <f t="shared" si="294"/>
        <v>0.41921630743435456</v>
      </c>
      <c r="H392" s="66">
        <f t="shared" si="294"/>
        <v>0.40215578118011269</v>
      </c>
      <c r="I392" s="66">
        <f t="shared" si="294"/>
        <v>0.38377084579073645</v>
      </c>
      <c r="J392" s="66">
        <f t="shared" si="294"/>
        <v>0.3720580094921867</v>
      </c>
      <c r="K392" s="66">
        <f t="shared" si="294"/>
        <v>0.35973153837844385</v>
      </c>
      <c r="L392" s="66">
        <f t="shared" si="294"/>
        <v>0.34766188176300361</v>
      </c>
      <c r="M392" s="66">
        <f t="shared" si="294"/>
        <v>0.33666615598107319</v>
      </c>
      <c r="N392" s="66">
        <f t="shared" si="294"/>
        <v>0.3272932731287706</v>
      </c>
      <c r="O392" s="66">
        <f t="shared" si="294"/>
        <v>0.31299156481323526</v>
      </c>
      <c r="P392" s="66">
        <f t="shared" si="294"/>
        <v>0.30065680072419226</v>
      </c>
      <c r="Q392" s="66">
        <f t="shared" si="294"/>
        <v>0.28993896641519301</v>
      </c>
      <c r="R392" s="66">
        <f t="shared" si="294"/>
        <v>0.28046073174062519</v>
      </c>
      <c r="S392" s="66">
        <f t="shared" si="294"/>
        <v>0.2718872252520399</v>
      </c>
      <c r="T392" s="66">
        <f t="shared" si="294"/>
        <v>0.2644307339426627</v>
      </c>
      <c r="U392" s="66">
        <f t="shared" si="294"/>
        <v>0.25741054782419687</v>
      </c>
      <c r="V392" s="66">
        <f t="shared" si="294"/>
        <v>0.2506863858104923</v>
      </c>
      <c r="W392" s="66">
        <f t="shared" si="294"/>
        <v>0.24416080879339386</v>
      </c>
      <c r="X392" s="66">
        <f t="shared" si="294"/>
        <v>0.23776741240988053</v>
      </c>
      <c r="Y392" s="66">
        <f t="shared" si="294"/>
        <v>0.23252464509599877</v>
      </c>
      <c r="Z392" s="66">
        <f t="shared" si="294"/>
        <v>0.22733862375396258</v>
      </c>
      <c r="AA392" s="66">
        <f t="shared" si="294"/>
        <v>0.22219006315132597</v>
      </c>
      <c r="AB392" s="66">
        <f t="shared" si="294"/>
        <v>0.21706618484500878</v>
      </c>
      <c r="AC392" s="66">
        <f t="shared" si="294"/>
        <v>0.21195854600732131</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2.5840945559423885</v>
      </c>
      <c r="C394" s="76">
        <f t="shared" ref="C394:AC394" si="297">C385+C386+C387-C388+C389+C390+C391+C392+C393</f>
        <v>2.5603267139205279</v>
      </c>
      <c r="D394" s="76">
        <f t="shared" si="297"/>
        <v>2.5324197031754458</v>
      </c>
      <c r="E394" s="76">
        <f t="shared" si="297"/>
        <v>2.5028826830231599</v>
      </c>
      <c r="F394" s="76">
        <f t="shared" si="297"/>
        <v>2.4664078611029843</v>
      </c>
      <c r="G394" s="76">
        <f t="shared" si="297"/>
        <v>2.4216604109702944</v>
      </c>
      <c r="H394" s="76">
        <f t="shared" si="297"/>
        <v>2.3678642177439735</v>
      </c>
      <c r="I394" s="76">
        <f t="shared" si="297"/>
        <v>2.3053975364855872</v>
      </c>
      <c r="J394" s="76">
        <f t="shared" si="297"/>
        <v>2.2438382233354308</v>
      </c>
      <c r="K394" s="76">
        <f t="shared" si="297"/>
        <v>2.1788890311243954</v>
      </c>
      <c r="L394" s="76">
        <f t="shared" si="297"/>
        <v>2.115232170134818</v>
      </c>
      <c r="M394" s="76">
        <f t="shared" si="297"/>
        <v>2.0572755503630793</v>
      </c>
      <c r="N394" s="76">
        <f t="shared" si="297"/>
        <v>2.0079925949793433</v>
      </c>
      <c r="O394" s="76">
        <f t="shared" si="297"/>
        <v>1.961730066055162</v>
      </c>
      <c r="P394" s="76">
        <f t="shared" si="297"/>
        <v>1.9250077773192757</v>
      </c>
      <c r="Q394" s="76">
        <f t="shared" si="297"/>
        <v>1.8963631565125427</v>
      </c>
      <c r="R394" s="76">
        <f t="shared" si="297"/>
        <v>1.8740675288328985</v>
      </c>
      <c r="S394" s="76">
        <f t="shared" si="297"/>
        <v>1.856510922715874</v>
      </c>
      <c r="T394" s="76">
        <f t="shared" si="297"/>
        <v>1.8428465574187913</v>
      </c>
      <c r="U394" s="76">
        <f t="shared" si="297"/>
        <v>1.8315780137803122</v>
      </c>
      <c r="V394" s="76">
        <f t="shared" si="297"/>
        <v>1.8219658941091277</v>
      </c>
      <c r="W394" s="76">
        <f t="shared" si="297"/>
        <v>1.8134860682806861</v>
      </c>
      <c r="X394" s="76">
        <f t="shared" si="297"/>
        <v>1.8057743336087657</v>
      </c>
      <c r="Y394" s="76">
        <f t="shared" si="297"/>
        <v>1.7996440675080769</v>
      </c>
      <c r="Z394" s="76">
        <f t="shared" si="297"/>
        <v>1.7938614254461351</v>
      </c>
      <c r="AA394" s="76">
        <f t="shared" si="297"/>
        <v>1.7883121656801575</v>
      </c>
      <c r="AB394" s="76">
        <f t="shared" si="297"/>
        <v>1.7829193427939047</v>
      </c>
      <c r="AC394" s="76">
        <f t="shared" si="297"/>
        <v>1.7776312684306768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3.1465356869567078E-2</v>
      </c>
      <c r="C397" s="65">
        <f t="shared" ref="C397:AC397" si="299">((1+C358)^C365)*C358/(((1+C358)^C365)-1)*(C354)/C370/(C367)</f>
        <v>3.1156263823536898E-2</v>
      </c>
      <c r="D397" s="65">
        <f t="shared" si="299"/>
        <v>3.0726512285304722E-2</v>
      </c>
      <c r="E397" s="65">
        <f t="shared" si="299"/>
        <v>3.0137339003425433E-2</v>
      </c>
      <c r="F397" s="65">
        <f t="shared" si="299"/>
        <v>2.9345553245836157E-2</v>
      </c>
      <c r="G397" s="65">
        <f t="shared" si="299"/>
        <v>2.8310536298907972E-2</v>
      </c>
      <c r="H397" s="65">
        <f t="shared" si="299"/>
        <v>2.7007107394822042E-2</v>
      </c>
      <c r="I397" s="65">
        <f t="shared" si="299"/>
        <v>2.5443030124851478E-2</v>
      </c>
      <c r="J397" s="65">
        <f t="shared" si="299"/>
        <v>2.3674412755127001E-2</v>
      </c>
      <c r="K397" s="65">
        <f t="shared" si="299"/>
        <v>2.1807290654363341E-2</v>
      </c>
      <c r="L397" s="65">
        <f t="shared" si="299"/>
        <v>1.9976910024188776E-2</v>
      </c>
      <c r="M397" s="65">
        <f t="shared" si="299"/>
        <v>1.8310676860801452E-2</v>
      </c>
      <c r="N397" s="65">
        <f t="shared" si="299"/>
        <v>1.6894615948087586E-2</v>
      </c>
      <c r="O397" s="65">
        <f t="shared" si="299"/>
        <v>1.57606047591448E-2</v>
      </c>
      <c r="P397" s="65">
        <f t="shared" si="299"/>
        <v>1.4895303890973197E-2</v>
      </c>
      <c r="Q397" s="65">
        <f t="shared" si="299"/>
        <v>1.4259238355637124E-2</v>
      </c>
      <c r="R397" s="65">
        <f t="shared" si="299"/>
        <v>1.3804460699618437E-2</v>
      </c>
      <c r="S397" s="65">
        <f t="shared" si="299"/>
        <v>1.348572872415464E-2</v>
      </c>
      <c r="T397" s="65">
        <f t="shared" si="299"/>
        <v>1.3265465338310894E-2</v>
      </c>
      <c r="U397" s="65">
        <f t="shared" si="299"/>
        <v>1.3114728127232491E-2</v>
      </c>
      <c r="V397" s="65">
        <f t="shared" si="299"/>
        <v>1.3012259660077762E-2</v>
      </c>
      <c r="W397" s="65">
        <f t="shared" si="299"/>
        <v>1.2942920388562269E-2</v>
      </c>
      <c r="X397" s="65">
        <f t="shared" si="299"/>
        <v>1.2896144043606308E-2</v>
      </c>
      <c r="Y397" s="65">
        <f t="shared" si="299"/>
        <v>1.2864654440547114E-2</v>
      </c>
      <c r="Z397" s="65">
        <f t="shared" si="299"/>
        <v>1.2843485566937379E-2</v>
      </c>
      <c r="AA397" s="65">
        <f t="shared" si="299"/>
        <v>1.2829268243164847E-2</v>
      </c>
      <c r="AB397" s="65">
        <f t="shared" si="299"/>
        <v>1.2819725742157536E-2</v>
      </c>
      <c r="AC397" s="65">
        <f t="shared" si="299"/>
        <v>1.2813323656699505E-2</v>
      </c>
    </row>
    <row r="398" spans="1:29" x14ac:dyDescent="0.25">
      <c r="A398" s="30" t="str">
        <f t="shared" si="298"/>
        <v>Residual value (vehicle)</v>
      </c>
      <c r="B398" s="68">
        <f>((1+B358)^B365)*B358/(((1+B358)^B365)-1)*(B355)/B370/(B367)</f>
        <v>-4.7687328526942532E-3</v>
      </c>
      <c r="C398" s="68">
        <f t="shared" ref="C398:AC398" si="300">((1+C358)^C365)*C358/(((1+C358)^C365)-1)*(C355)/C370/(C367)</f>
        <v>-4.7427558839321423E-3</v>
      </c>
      <c r="D398" s="68">
        <f t="shared" si="300"/>
        <v>-4.70663846742114E-3</v>
      </c>
      <c r="E398" s="68">
        <f t="shared" si="300"/>
        <v>-4.6571228405397963E-3</v>
      </c>
      <c r="F398" s="68">
        <f t="shared" si="300"/>
        <v>-4.5905791438913355E-3</v>
      </c>
      <c r="G398" s="68">
        <f t="shared" si="300"/>
        <v>-4.5035936770750299E-3</v>
      </c>
      <c r="H398" s="68">
        <f t="shared" si="300"/>
        <v>-4.3940501840720641E-3</v>
      </c>
      <c r="I398" s="68">
        <f t="shared" si="300"/>
        <v>-4.2626011369149633E-3</v>
      </c>
      <c r="J398" s="68">
        <f t="shared" si="300"/>
        <v>-4.113962017544502E-3</v>
      </c>
      <c r="K398" s="68">
        <f t="shared" si="300"/>
        <v>-3.9570443090760667E-3</v>
      </c>
      <c r="L398" s="68">
        <f t="shared" si="300"/>
        <v>-3.8032144476039496E-3</v>
      </c>
      <c r="M398" s="68">
        <f t="shared" si="300"/>
        <v>-3.6631799583405462E-3</v>
      </c>
      <c r="N398" s="68">
        <f t="shared" si="300"/>
        <v>-3.5441705837614022E-3</v>
      </c>
      <c r="O398" s="68">
        <f t="shared" si="300"/>
        <v>-3.4488653880949344E-3</v>
      </c>
      <c r="P398" s="68">
        <f t="shared" si="300"/>
        <v>-3.3761432938549806E-3</v>
      </c>
      <c r="Q398" s="68">
        <f t="shared" si="300"/>
        <v>-3.3226867222682253E-3</v>
      </c>
      <c r="R398" s="68">
        <f t="shared" si="300"/>
        <v>-3.2844660469219743E-3</v>
      </c>
      <c r="S398" s="68">
        <f t="shared" si="300"/>
        <v>-3.2576789979202291E-3</v>
      </c>
      <c r="T398" s="68">
        <f t="shared" si="300"/>
        <v>-3.2391675005993188E-3</v>
      </c>
      <c r="U398" s="68">
        <f t="shared" si="300"/>
        <v>-3.2264991605193256E-3</v>
      </c>
      <c r="V398" s="68">
        <f t="shared" si="300"/>
        <v>-3.217887448918023E-3</v>
      </c>
      <c r="W398" s="68">
        <f t="shared" si="300"/>
        <v>-3.2120599995034238E-3</v>
      </c>
      <c r="X398" s="68">
        <f t="shared" si="300"/>
        <v>-3.2081287960443587E-3</v>
      </c>
      <c r="Y398" s="68">
        <f t="shared" si="300"/>
        <v>-3.2054823294042785E-3</v>
      </c>
      <c r="Z398" s="68">
        <f t="shared" si="300"/>
        <v>-3.2037032432179276E-3</v>
      </c>
      <c r="AA398" s="68">
        <f t="shared" si="300"/>
        <v>-3.202508383028534E-3</v>
      </c>
      <c r="AB398" s="68">
        <f t="shared" si="300"/>
        <v>-3.2017064068800474E-3</v>
      </c>
      <c r="AC398" s="68">
        <f t="shared" si="300"/>
        <v>-3.2011683592724038E-3</v>
      </c>
    </row>
    <row r="399" spans="1:29" x14ac:dyDescent="0.25">
      <c r="A399" s="30" t="str">
        <f t="shared" si="298"/>
        <v>Capex costumization</v>
      </c>
      <c r="B399" s="66">
        <f>((1+B358)^B366)*B358/(((1+B358)^B366)-1)*(B356)/B370/(B367)</f>
        <v>2.7870350404181278E-3</v>
      </c>
      <c r="C399" s="66">
        <f t="shared" ref="C399:AC399" si="301">((1+C358)^C366)*C358/(((1+C358)^C366)-1)*(C356)/C370/(C367)</f>
        <v>2.7870350404181278E-3</v>
      </c>
      <c r="D399" s="66">
        <f t="shared" si="301"/>
        <v>2.7870350404181278E-3</v>
      </c>
      <c r="E399" s="66">
        <f t="shared" si="301"/>
        <v>2.7870350404181278E-3</v>
      </c>
      <c r="F399" s="66">
        <f t="shared" si="301"/>
        <v>2.7870350404181278E-3</v>
      </c>
      <c r="G399" s="66">
        <f t="shared" si="301"/>
        <v>2.7870350404181278E-3</v>
      </c>
      <c r="H399" s="66">
        <f t="shared" si="301"/>
        <v>2.7870350404181278E-3</v>
      </c>
      <c r="I399" s="66">
        <f t="shared" si="301"/>
        <v>2.7870350404181278E-3</v>
      </c>
      <c r="J399" s="66">
        <f t="shared" si="301"/>
        <v>2.7870350404181278E-3</v>
      </c>
      <c r="K399" s="66">
        <f t="shared" si="301"/>
        <v>2.7870350404181278E-3</v>
      </c>
      <c r="L399" s="66">
        <f t="shared" si="301"/>
        <v>2.7870350404181278E-3</v>
      </c>
      <c r="M399" s="66">
        <f t="shared" si="301"/>
        <v>2.7870350404181278E-3</v>
      </c>
      <c r="N399" s="66">
        <f t="shared" si="301"/>
        <v>2.7870350404181278E-3</v>
      </c>
      <c r="O399" s="66">
        <f t="shared" si="301"/>
        <v>2.7870350404181278E-3</v>
      </c>
      <c r="P399" s="66">
        <f t="shared" si="301"/>
        <v>2.7870350404181278E-3</v>
      </c>
      <c r="Q399" s="66">
        <f t="shared" si="301"/>
        <v>2.7870350404181278E-3</v>
      </c>
      <c r="R399" s="66">
        <f t="shared" si="301"/>
        <v>2.7870350404181278E-3</v>
      </c>
      <c r="S399" s="66">
        <f t="shared" si="301"/>
        <v>2.7870350404181278E-3</v>
      </c>
      <c r="T399" s="66">
        <f t="shared" si="301"/>
        <v>2.7870350404181278E-3</v>
      </c>
      <c r="U399" s="66">
        <f t="shared" si="301"/>
        <v>2.7870350404181278E-3</v>
      </c>
      <c r="V399" s="66">
        <f t="shared" si="301"/>
        <v>2.7870350404181278E-3</v>
      </c>
      <c r="W399" s="66">
        <f t="shared" si="301"/>
        <v>2.7870350404181278E-3</v>
      </c>
      <c r="X399" s="66">
        <f t="shared" si="301"/>
        <v>2.7870350404181278E-3</v>
      </c>
      <c r="Y399" s="66">
        <f t="shared" si="301"/>
        <v>2.7870350404181278E-3</v>
      </c>
      <c r="Z399" s="66">
        <f t="shared" si="301"/>
        <v>2.7870350404181278E-3</v>
      </c>
      <c r="AA399" s="66">
        <f t="shared" si="301"/>
        <v>2.7870350404181278E-3</v>
      </c>
      <c r="AB399" s="66">
        <f t="shared" si="301"/>
        <v>2.7870350404181278E-3</v>
      </c>
      <c r="AC399" s="66">
        <f t="shared" si="301"/>
        <v>2.7870350404181278E-3</v>
      </c>
    </row>
    <row r="400" spans="1:29" x14ac:dyDescent="0.25">
      <c r="A400" s="30" t="str">
        <f t="shared" si="298"/>
        <v>Residual value (costumization)</v>
      </c>
      <c r="B400" s="69">
        <f>((1+B358)^B366)*B358/(((1+B358)^B366)-1)*(B357)/B370/(B367)</f>
        <v>-6.9675876010453195E-4</v>
      </c>
      <c r="C400" s="69">
        <f t="shared" ref="C400:AC400" si="302">((1+C358)^C366)*C358/(((1+C358)^C366)-1)*(C357)/C370/(C367)</f>
        <v>-6.9675876010453195E-4</v>
      </c>
      <c r="D400" s="69">
        <f t="shared" si="302"/>
        <v>-6.9675876010453195E-4</v>
      </c>
      <c r="E400" s="69">
        <f t="shared" si="302"/>
        <v>-6.9675876010453195E-4</v>
      </c>
      <c r="F400" s="69">
        <f t="shared" si="302"/>
        <v>-6.9675876010453195E-4</v>
      </c>
      <c r="G400" s="69">
        <f t="shared" si="302"/>
        <v>-6.9675876010453195E-4</v>
      </c>
      <c r="H400" s="69">
        <f t="shared" si="302"/>
        <v>-6.9675876010453195E-4</v>
      </c>
      <c r="I400" s="69">
        <f t="shared" si="302"/>
        <v>-6.9675876010453195E-4</v>
      </c>
      <c r="J400" s="69">
        <f t="shared" si="302"/>
        <v>-6.9675876010453195E-4</v>
      </c>
      <c r="K400" s="69">
        <f t="shared" si="302"/>
        <v>-6.9675876010453195E-4</v>
      </c>
      <c r="L400" s="69">
        <f t="shared" si="302"/>
        <v>-6.9675876010453195E-4</v>
      </c>
      <c r="M400" s="69">
        <f t="shared" si="302"/>
        <v>-6.9675876010453195E-4</v>
      </c>
      <c r="N400" s="69">
        <f t="shared" si="302"/>
        <v>-6.9675876010453195E-4</v>
      </c>
      <c r="O400" s="69">
        <f t="shared" si="302"/>
        <v>-6.9675876010453195E-4</v>
      </c>
      <c r="P400" s="69">
        <f t="shared" si="302"/>
        <v>-6.9675876010453195E-4</v>
      </c>
      <c r="Q400" s="69">
        <f t="shared" si="302"/>
        <v>-6.9675876010453195E-4</v>
      </c>
      <c r="R400" s="69">
        <f t="shared" si="302"/>
        <v>-6.9675876010453195E-4</v>
      </c>
      <c r="S400" s="69">
        <f t="shared" si="302"/>
        <v>-6.9675876010453195E-4</v>
      </c>
      <c r="T400" s="69">
        <f t="shared" si="302"/>
        <v>-6.9675876010453195E-4</v>
      </c>
      <c r="U400" s="69">
        <f t="shared" si="302"/>
        <v>-6.9675876010453195E-4</v>
      </c>
      <c r="V400" s="69">
        <f t="shared" si="302"/>
        <v>-6.9675876010453195E-4</v>
      </c>
      <c r="W400" s="69">
        <f t="shared" si="302"/>
        <v>-6.9675876010453195E-4</v>
      </c>
      <c r="X400" s="69">
        <f t="shared" si="302"/>
        <v>-6.9675876010453195E-4</v>
      </c>
      <c r="Y400" s="69">
        <f t="shared" si="302"/>
        <v>-6.9675876010453195E-4</v>
      </c>
      <c r="Z400" s="69">
        <f t="shared" si="302"/>
        <v>-6.9675876010453195E-4</v>
      </c>
      <c r="AA400" s="69">
        <f t="shared" si="302"/>
        <v>-6.9675876010453195E-4</v>
      </c>
      <c r="AB400" s="69">
        <f t="shared" si="302"/>
        <v>-6.9675876010453195E-4</v>
      </c>
      <c r="AC400" s="69">
        <f t="shared" si="302"/>
        <v>-6.9675876010453195E-4</v>
      </c>
    </row>
    <row r="401" spans="1:29" x14ac:dyDescent="0.25">
      <c r="A401" s="30" t="str">
        <f t="shared" si="298"/>
        <v>Opex fix (admin, crew, insurance)</v>
      </c>
      <c r="B401" s="66">
        <f>B359/B370/(B367)</f>
        <v>3.5897435897435902E-2</v>
      </c>
      <c r="C401" s="66">
        <f t="shared" ref="C401:AC401" si="303">C359/C370/(C367)</f>
        <v>3.5897435897435902E-2</v>
      </c>
      <c r="D401" s="66">
        <f t="shared" si="303"/>
        <v>3.5897435897435902E-2</v>
      </c>
      <c r="E401" s="66">
        <f t="shared" si="303"/>
        <v>3.5897435897435902E-2</v>
      </c>
      <c r="F401" s="66">
        <f t="shared" si="303"/>
        <v>3.5897435897435902E-2</v>
      </c>
      <c r="G401" s="66">
        <f t="shared" si="303"/>
        <v>3.5897435897435902E-2</v>
      </c>
      <c r="H401" s="66">
        <f t="shared" si="303"/>
        <v>3.5897435897435902E-2</v>
      </c>
      <c r="I401" s="66">
        <f t="shared" si="303"/>
        <v>3.5897435897435902E-2</v>
      </c>
      <c r="J401" s="66">
        <f t="shared" si="303"/>
        <v>3.5897435897435902E-2</v>
      </c>
      <c r="K401" s="66">
        <f t="shared" si="303"/>
        <v>3.5897435897435902E-2</v>
      </c>
      <c r="L401" s="66">
        <f t="shared" si="303"/>
        <v>3.5897435897435902E-2</v>
      </c>
      <c r="M401" s="66">
        <f t="shared" si="303"/>
        <v>3.5897435897435902E-2</v>
      </c>
      <c r="N401" s="66">
        <f t="shared" si="303"/>
        <v>3.5897435897435902E-2</v>
      </c>
      <c r="O401" s="66">
        <f t="shared" si="303"/>
        <v>3.5897435897435902E-2</v>
      </c>
      <c r="P401" s="66">
        <f t="shared" si="303"/>
        <v>3.5897435897435902E-2</v>
      </c>
      <c r="Q401" s="66">
        <f t="shared" si="303"/>
        <v>3.5897435897435902E-2</v>
      </c>
      <c r="R401" s="66">
        <f t="shared" si="303"/>
        <v>3.5897435897435902E-2</v>
      </c>
      <c r="S401" s="66">
        <f t="shared" si="303"/>
        <v>3.5897435897435902E-2</v>
      </c>
      <c r="T401" s="66">
        <f t="shared" si="303"/>
        <v>3.5897435897435902E-2</v>
      </c>
      <c r="U401" s="66">
        <f t="shared" si="303"/>
        <v>3.5897435897435902E-2</v>
      </c>
      <c r="V401" s="66">
        <f t="shared" si="303"/>
        <v>3.5897435897435902E-2</v>
      </c>
      <c r="W401" s="66">
        <f t="shared" si="303"/>
        <v>3.5897435897435902E-2</v>
      </c>
      <c r="X401" s="66">
        <f t="shared" si="303"/>
        <v>3.5897435897435902E-2</v>
      </c>
      <c r="Y401" s="66">
        <f t="shared" si="303"/>
        <v>3.5897435897435902E-2</v>
      </c>
      <c r="Z401" s="66">
        <f t="shared" si="303"/>
        <v>3.5897435897435902E-2</v>
      </c>
      <c r="AA401" s="66">
        <f t="shared" si="303"/>
        <v>3.5897435897435902E-2</v>
      </c>
      <c r="AB401" s="66">
        <f t="shared" si="303"/>
        <v>3.5897435897435902E-2</v>
      </c>
      <c r="AC401" s="66">
        <f t="shared" si="303"/>
        <v>3.5897435897435902E-2</v>
      </c>
    </row>
    <row r="402" spans="1:29" x14ac:dyDescent="0.25">
      <c r="A402" s="30" t="str">
        <f t="shared" si="298"/>
        <v>Opex maintenance &amp; repair</v>
      </c>
      <c r="B402" s="66">
        <f>B360/B370/(B367)</f>
        <v>1.3176512170732011E-2</v>
      </c>
      <c r="C402" s="66">
        <f t="shared" ref="C402:AC402" si="304">C360/C370/(C367)</f>
        <v>1.3111170755097903E-2</v>
      </c>
      <c r="D402" s="66">
        <f t="shared" si="304"/>
        <v>1.3020322467698114E-2</v>
      </c>
      <c r="E402" s="66">
        <f t="shared" si="304"/>
        <v>1.2895772864314193E-2</v>
      </c>
      <c r="F402" s="66">
        <f t="shared" si="304"/>
        <v>1.2728391543562135E-2</v>
      </c>
      <c r="G402" s="66">
        <f t="shared" si="304"/>
        <v>1.2509591821646109E-2</v>
      </c>
      <c r="H402" s="66">
        <f t="shared" si="304"/>
        <v>1.223405055384588E-2</v>
      </c>
      <c r="I402" s="66">
        <f t="shared" si="304"/>
        <v>1.1903408941898943E-2</v>
      </c>
      <c r="J402" s="66">
        <f t="shared" si="304"/>
        <v>1.1529528118188701E-2</v>
      </c>
      <c r="K402" s="66">
        <f t="shared" si="304"/>
        <v>1.1134823666592217E-2</v>
      </c>
      <c r="L402" s="66">
        <f t="shared" si="304"/>
        <v>1.0747886260329187E-2</v>
      </c>
      <c r="M402" s="66">
        <f t="shared" si="304"/>
        <v>1.0395649174860766E-2</v>
      </c>
      <c r="N402" s="66">
        <f t="shared" si="304"/>
        <v>1.0096297811738163E-2</v>
      </c>
      <c r="O402" s="66">
        <f t="shared" si="304"/>
        <v>9.8565709806686438E-3</v>
      </c>
      <c r="P402" s="66">
        <f t="shared" si="304"/>
        <v>9.6736487687265633E-3</v>
      </c>
      <c r="Q402" s="66">
        <f t="shared" si="304"/>
        <v>9.5391862725665317E-3</v>
      </c>
      <c r="R402" s="66">
        <f t="shared" si="304"/>
        <v>9.4430475330359066E-3</v>
      </c>
      <c r="S402" s="66">
        <f t="shared" si="304"/>
        <v>9.3756684743603932E-3</v>
      </c>
      <c r="T402" s="66">
        <f t="shared" si="304"/>
        <v>9.3291054033750095E-3</v>
      </c>
      <c r="U402" s="66">
        <f t="shared" si="304"/>
        <v>9.2972399735728791E-3</v>
      </c>
      <c r="V402" s="66">
        <f t="shared" si="304"/>
        <v>9.2755784228271115E-3</v>
      </c>
      <c r="W402" s="66">
        <f t="shared" si="304"/>
        <v>9.2609202924742937E-3</v>
      </c>
      <c r="X402" s="66">
        <f t="shared" si="304"/>
        <v>9.2510319024348957E-3</v>
      </c>
      <c r="Y402" s="66">
        <f t="shared" si="304"/>
        <v>9.244375087381726E-3</v>
      </c>
      <c r="Z402" s="66">
        <f t="shared" si="304"/>
        <v>9.2399000460088952E-3</v>
      </c>
      <c r="AA402" s="66">
        <f t="shared" si="304"/>
        <v>9.2368945430583854E-3</v>
      </c>
      <c r="AB402" s="66">
        <f t="shared" si="304"/>
        <v>9.2348772847197832E-3</v>
      </c>
      <c r="AC402" s="66">
        <f t="shared" si="304"/>
        <v>9.2335239015485654E-3</v>
      </c>
    </row>
    <row r="403" spans="1:29" x14ac:dyDescent="0.25">
      <c r="A403" s="30" t="str">
        <f t="shared" si="298"/>
        <v>Opex var (mode-fees)</v>
      </c>
      <c r="B403" s="66">
        <f>B361*B370/B370/(B367)</f>
        <v>4.4000000000000003E-3</v>
      </c>
      <c r="C403" s="66">
        <f t="shared" ref="C403:AC403" si="305">C361*C370/C370/(C367)</f>
        <v>4.4000000000000003E-3</v>
      </c>
      <c r="D403" s="66">
        <f t="shared" si="305"/>
        <v>4.4000000000000003E-3</v>
      </c>
      <c r="E403" s="66">
        <f t="shared" si="305"/>
        <v>4.4000000000000003E-3</v>
      </c>
      <c r="F403" s="66">
        <f t="shared" si="305"/>
        <v>4.4000000000000003E-3</v>
      </c>
      <c r="G403" s="66">
        <f t="shared" si="305"/>
        <v>4.4000000000000003E-3</v>
      </c>
      <c r="H403" s="66">
        <f t="shared" si="305"/>
        <v>4.4000000000000003E-3</v>
      </c>
      <c r="I403" s="66">
        <f t="shared" si="305"/>
        <v>4.4000000000000003E-3</v>
      </c>
      <c r="J403" s="66">
        <f t="shared" si="305"/>
        <v>4.4000000000000003E-3</v>
      </c>
      <c r="K403" s="66">
        <f t="shared" si="305"/>
        <v>4.4000000000000003E-3</v>
      </c>
      <c r="L403" s="66">
        <f t="shared" si="305"/>
        <v>4.4000000000000003E-3</v>
      </c>
      <c r="M403" s="66">
        <f t="shared" si="305"/>
        <v>4.4000000000000003E-3</v>
      </c>
      <c r="N403" s="66">
        <f t="shared" si="305"/>
        <v>4.4000000000000003E-3</v>
      </c>
      <c r="O403" s="66">
        <f t="shared" si="305"/>
        <v>4.4000000000000003E-3</v>
      </c>
      <c r="P403" s="66">
        <f t="shared" si="305"/>
        <v>4.4000000000000003E-3</v>
      </c>
      <c r="Q403" s="66">
        <f t="shared" si="305"/>
        <v>4.4000000000000003E-3</v>
      </c>
      <c r="R403" s="66">
        <f t="shared" si="305"/>
        <v>4.4000000000000003E-3</v>
      </c>
      <c r="S403" s="66">
        <f t="shared" si="305"/>
        <v>4.4000000000000003E-3</v>
      </c>
      <c r="T403" s="66">
        <f t="shared" si="305"/>
        <v>4.4000000000000003E-3</v>
      </c>
      <c r="U403" s="66">
        <f t="shared" si="305"/>
        <v>4.4000000000000003E-3</v>
      </c>
      <c r="V403" s="66">
        <f t="shared" si="305"/>
        <v>4.4000000000000003E-3</v>
      </c>
      <c r="W403" s="66">
        <f t="shared" si="305"/>
        <v>4.4000000000000003E-3</v>
      </c>
      <c r="X403" s="66">
        <f t="shared" si="305"/>
        <v>4.4000000000000003E-3</v>
      </c>
      <c r="Y403" s="66">
        <f t="shared" si="305"/>
        <v>4.4000000000000003E-3</v>
      </c>
      <c r="Z403" s="66">
        <f t="shared" si="305"/>
        <v>4.4000000000000003E-3</v>
      </c>
      <c r="AA403" s="66">
        <f t="shared" si="305"/>
        <v>4.4000000000000003E-3</v>
      </c>
      <c r="AB403" s="66">
        <f t="shared" si="305"/>
        <v>4.4000000000000003E-3</v>
      </c>
      <c r="AC403" s="66">
        <f t="shared" si="305"/>
        <v>4.4000000000000003E-3</v>
      </c>
    </row>
    <row r="404" spans="1:29" x14ac:dyDescent="0.25">
      <c r="A404" s="30" t="str">
        <f t="shared" si="298"/>
        <v>Fuel Cost</v>
      </c>
      <c r="B404" s="66">
        <f>B362*B363*B370/B370/(B367)</f>
        <v>1.9709416352132133E-2</v>
      </c>
      <c r="C404" s="66">
        <f t="shared" ref="C404:AC404" si="306">C362*C363*C370/C370/(C367)</f>
        <v>1.9107160164159916E-2</v>
      </c>
      <c r="D404" s="66">
        <f t="shared" si="306"/>
        <v>1.8475362143477572E-2</v>
      </c>
      <c r="E404" s="66">
        <f t="shared" si="306"/>
        <v>1.7958088595767994E-2</v>
      </c>
      <c r="F404" s="66">
        <f t="shared" si="306"/>
        <v>1.739171910065385E-2</v>
      </c>
      <c r="G404" s="66">
        <f t="shared" si="306"/>
        <v>1.6768652297374183E-2</v>
      </c>
      <c r="H404" s="66">
        <f t="shared" si="306"/>
        <v>1.6086231247204506E-2</v>
      </c>
      <c r="I404" s="66">
        <f t="shared" si="306"/>
        <v>1.5350833831629457E-2</v>
      </c>
      <c r="J404" s="66">
        <f t="shared" si="306"/>
        <v>1.4882320379687468E-2</v>
      </c>
      <c r="K404" s="66">
        <f t="shared" si="306"/>
        <v>1.4389261535137754E-2</v>
      </c>
      <c r="L404" s="66">
        <f t="shared" si="306"/>
        <v>1.3906475270520144E-2</v>
      </c>
      <c r="M404" s="66">
        <f t="shared" si="306"/>
        <v>1.3466646239242928E-2</v>
      </c>
      <c r="N404" s="66">
        <f t="shared" si="306"/>
        <v>1.3091730925150823E-2</v>
      </c>
      <c r="O404" s="66">
        <f t="shared" si="306"/>
        <v>1.251966259252941E-2</v>
      </c>
      <c r="P404" s="66">
        <f t="shared" si="306"/>
        <v>1.202627202896769E-2</v>
      </c>
      <c r="Q404" s="66">
        <f t="shared" si="306"/>
        <v>1.159755865660772E-2</v>
      </c>
      <c r="R404" s="66">
        <f t="shared" si="306"/>
        <v>1.1218429269625008E-2</v>
      </c>
      <c r="S404" s="66">
        <f t="shared" si="306"/>
        <v>1.0875489010081596E-2</v>
      </c>
      <c r="T404" s="66">
        <f t="shared" si="306"/>
        <v>1.0577229357706507E-2</v>
      </c>
      <c r="U404" s="66">
        <f t="shared" si="306"/>
        <v>1.0296421912967875E-2</v>
      </c>
      <c r="V404" s="66">
        <f t="shared" si="306"/>
        <v>1.0027455432419691E-2</v>
      </c>
      <c r="W404" s="66">
        <f t="shared" si="306"/>
        <v>9.7664323517357536E-3</v>
      </c>
      <c r="X404" s="66">
        <f t="shared" si="306"/>
        <v>9.5106964963952208E-3</v>
      </c>
      <c r="Y404" s="66">
        <f t="shared" si="306"/>
        <v>9.3009858038399507E-3</v>
      </c>
      <c r="Z404" s="66">
        <f t="shared" si="306"/>
        <v>9.0935449501585025E-3</v>
      </c>
      <c r="AA404" s="66">
        <f t="shared" si="306"/>
        <v>8.8876025260530393E-3</v>
      </c>
      <c r="AB404" s="66">
        <f t="shared" si="306"/>
        <v>8.6826473938003516E-3</v>
      </c>
      <c r="AC404" s="66">
        <f t="shared" si="306"/>
        <v>8.478341840292853E-3</v>
      </c>
    </row>
    <row r="405" spans="1:29" x14ac:dyDescent="0.25">
      <c r="A405" s="59" t="str">
        <f>A368</f>
        <v>Market failure (av. utilization)</v>
      </c>
      <c r="B405" s="66">
        <f t="shared" ref="B405:AC405" si="307">B394/B368-B394/B367</f>
        <v>6.5164123584634109E-2</v>
      </c>
      <c r="C405" s="66">
        <f t="shared" si="307"/>
        <v>6.4564760611908939E-2</v>
      </c>
      <c r="D405" s="66">
        <f t="shared" si="307"/>
        <v>6.3861018601815561E-2</v>
      </c>
      <c r="E405" s="66">
        <f t="shared" si="307"/>
        <v>6.3116172006670954E-2</v>
      </c>
      <c r="F405" s="66">
        <f t="shared" si="307"/>
        <v>6.219637214955348E-2</v>
      </c>
      <c r="G405" s="66">
        <f t="shared" si="307"/>
        <v>6.1067958189685662E-2</v>
      </c>
      <c r="H405" s="66">
        <f t="shared" si="307"/>
        <v>5.9711358534413228E-2</v>
      </c>
      <c r="I405" s="66">
        <f t="shared" si="307"/>
        <v>5.8136111789636513E-2</v>
      </c>
      <c r="J405" s="66">
        <f t="shared" si="307"/>
        <v>5.6583746501502136E-2</v>
      </c>
      <c r="K405" s="66">
        <f t="shared" si="307"/>
        <v>5.4945897306615171E-2</v>
      </c>
      <c r="L405" s="66">
        <f t="shared" si="307"/>
        <v>5.3340637333834526E-2</v>
      </c>
      <c r="M405" s="66">
        <f t="shared" si="307"/>
        <v>5.1879122574373285E-2</v>
      </c>
      <c r="N405" s="66">
        <f t="shared" si="307"/>
        <v>5.0636335003826902E-2</v>
      </c>
      <c r="O405" s="66">
        <f t="shared" si="307"/>
        <v>4.9469714709217114E-2</v>
      </c>
      <c r="P405" s="66">
        <f t="shared" si="307"/>
        <v>4.8543674384573021E-2</v>
      </c>
      <c r="Q405" s="66">
        <f t="shared" si="307"/>
        <v>4.7821331772924969E-2</v>
      </c>
      <c r="R405" s="66">
        <f t="shared" si="307"/>
        <v>4.7259094205351335E-2</v>
      </c>
      <c r="S405" s="66">
        <f t="shared" si="307"/>
        <v>4.6816362398922021E-2</v>
      </c>
      <c r="T405" s="66">
        <f t="shared" si="307"/>
        <v>4.6471782752299934E-2</v>
      </c>
      <c r="U405" s="66">
        <f t="shared" si="307"/>
        <v>4.6187619477938299E-2</v>
      </c>
      <c r="V405" s="66">
        <f t="shared" si="307"/>
        <v>4.5945226894925806E-2</v>
      </c>
      <c r="W405" s="66">
        <f t="shared" si="307"/>
        <v>4.5731387808817275E-2</v>
      </c>
      <c r="X405" s="66">
        <f t="shared" si="307"/>
        <v>4.5536917977960154E-2</v>
      </c>
      <c r="Y405" s="66">
        <f t="shared" si="307"/>
        <v>4.5382328658899324E-2</v>
      </c>
      <c r="Z405" s="66">
        <f t="shared" si="307"/>
        <v>4.5236505511250358E-2</v>
      </c>
      <c r="AA405" s="66">
        <f t="shared" si="307"/>
        <v>4.5096567656282227E-2</v>
      </c>
      <c r="AB405" s="66">
        <f t="shared" si="307"/>
        <v>4.4960574731324532E-2</v>
      </c>
      <c r="AC405" s="66">
        <f t="shared" si="307"/>
        <v>4.4827223290860529E-2</v>
      </c>
    </row>
    <row r="406" spans="1:29" x14ac:dyDescent="0.25">
      <c r="A406" s="59" t="str">
        <f>A369</f>
        <v>Payload loss (fuel)</v>
      </c>
      <c r="B406" s="66">
        <f>B394/(B367-B369)-B394/B367</f>
        <v>5.3948565408023091E-3</v>
      </c>
      <c r="C406" s="66">
        <f t="shared" ref="C406:AC406" si="308">C394/(C367-C369)-C394/C367</f>
        <v>5.3260117185638944E-3</v>
      </c>
      <c r="D406" s="66">
        <f t="shared" si="308"/>
        <v>5.2409727431845937E-3</v>
      </c>
      <c r="E406" s="66">
        <f t="shared" si="308"/>
        <v>5.142169320604642E-3</v>
      </c>
      <c r="F406" s="66">
        <f t="shared" si="308"/>
        <v>5.0151524257954494E-3</v>
      </c>
      <c r="G406" s="66">
        <f t="shared" si="308"/>
        <v>4.8531533862171961E-3</v>
      </c>
      <c r="H406" s="66">
        <f t="shared" si="308"/>
        <v>4.6503100160466965E-3</v>
      </c>
      <c r="I406" s="66">
        <f t="shared" si="308"/>
        <v>4.4035638389874343E-3</v>
      </c>
      <c r="J406" s="66">
        <f t="shared" si="308"/>
        <v>4.1285970025710522E-3</v>
      </c>
      <c r="K406" s="66">
        <f t="shared" si="308"/>
        <v>3.8173597394573211E-3</v>
      </c>
      <c r="L406" s="66">
        <f t="shared" si="308"/>
        <v>3.4835133120646455E-3</v>
      </c>
      <c r="M406" s="66">
        <f t="shared" si="308"/>
        <v>3.1448672633386382E-3</v>
      </c>
      <c r="N406" s="66">
        <f t="shared" si="308"/>
        <v>2.8203946547630809E-3</v>
      </c>
      <c r="O406" s="66">
        <f t="shared" si="308"/>
        <v>2.5182161825359206E-3</v>
      </c>
      <c r="P406" s="66">
        <f t="shared" si="308"/>
        <v>2.2603707557788955E-3</v>
      </c>
      <c r="Q406" s="66">
        <f t="shared" si="308"/>
        <v>2.0511935443540547E-3</v>
      </c>
      <c r="R406" s="66">
        <f t="shared" si="308"/>
        <v>1.8887138467991865E-3</v>
      </c>
      <c r="S406" s="66">
        <f t="shared" si="308"/>
        <v>1.7667623753200301E-3</v>
      </c>
      <c r="T406" s="66">
        <f t="shared" si="308"/>
        <v>1.6778654906378088E-3</v>
      </c>
      <c r="U406" s="66">
        <f t="shared" si="308"/>
        <v>1.6137680494230228E-3</v>
      </c>
      <c r="V406" s="66">
        <f t="shared" si="308"/>
        <v>1.5678105736480069E-3</v>
      </c>
      <c r="W406" s="66">
        <f t="shared" si="308"/>
        <v>1.5347493533796747E-3</v>
      </c>
      <c r="X406" s="66">
        <f t="shared" si="308"/>
        <v>1.5106763999731265E-3</v>
      </c>
      <c r="Y406" s="66">
        <f t="shared" si="308"/>
        <v>1.4936653609187861E-3</v>
      </c>
      <c r="Z406" s="66">
        <f t="shared" si="308"/>
        <v>1.4808530970127076E-3</v>
      </c>
      <c r="AA406" s="66">
        <f t="shared" si="308"/>
        <v>1.4708843871923533E-3</v>
      </c>
      <c r="AB406" s="66">
        <f t="shared" si="308"/>
        <v>1.4628331867708871E-3</v>
      </c>
      <c r="AC406" s="66">
        <f t="shared" si="308"/>
        <v>1.4560712938035125E-3</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0.17252924484292287</v>
      </c>
      <c r="C408" s="67">
        <f t="shared" ref="C408:AC408" si="310">C397+C398+C399+C400+C401+C402+C403+C404+C405+C406+C407</f>
        <v>0.17091032336708489</v>
      </c>
      <c r="D408" s="67">
        <f t="shared" si="310"/>
        <v>0.16900526195180893</v>
      </c>
      <c r="E408" s="67">
        <f t="shared" si="310"/>
        <v>0.16698013112799293</v>
      </c>
      <c r="F408" s="67">
        <f t="shared" si="310"/>
        <v>0.16447432149925922</v>
      </c>
      <c r="G408" s="67">
        <f t="shared" si="310"/>
        <v>0.16139401049450558</v>
      </c>
      <c r="H408" s="67">
        <f t="shared" si="310"/>
        <v>0.1576827197400098</v>
      </c>
      <c r="I408" s="67">
        <f t="shared" si="310"/>
        <v>0.15336205956783835</v>
      </c>
      <c r="J408" s="67">
        <f t="shared" si="310"/>
        <v>0.14907235491728138</v>
      </c>
      <c r="K408" s="67">
        <f t="shared" si="310"/>
        <v>0.14452530077083922</v>
      </c>
      <c r="L408" s="67">
        <f t="shared" si="310"/>
        <v>0.14003991993108283</v>
      </c>
      <c r="M408" s="67">
        <f t="shared" si="310"/>
        <v>0.13592149433202599</v>
      </c>
      <c r="N408" s="67">
        <f t="shared" si="310"/>
        <v>0.13238291593755463</v>
      </c>
      <c r="O408" s="67">
        <f t="shared" si="310"/>
        <v>0.12906361601375047</v>
      </c>
      <c r="P408" s="67">
        <f t="shared" si="310"/>
        <v>0.12641083871291386</v>
      </c>
      <c r="Q408" s="67">
        <f t="shared" si="310"/>
        <v>0.12433353405757167</v>
      </c>
      <c r="R408" s="67">
        <f t="shared" si="310"/>
        <v>0.12271699168525739</v>
      </c>
      <c r="S408" s="67">
        <f t="shared" si="310"/>
        <v>0.12145004416266796</v>
      </c>
      <c r="T408" s="67">
        <f t="shared" si="310"/>
        <v>0.12046999301948033</v>
      </c>
      <c r="U408" s="67">
        <f t="shared" si="310"/>
        <v>0.11967099055836475</v>
      </c>
      <c r="V408" s="67">
        <f t="shared" si="310"/>
        <v>0.11899815571272986</v>
      </c>
      <c r="W408" s="67">
        <f t="shared" si="310"/>
        <v>0.11841206237321535</v>
      </c>
      <c r="X408" s="67">
        <f t="shared" si="310"/>
        <v>0.11788505020207485</v>
      </c>
      <c r="Y408" s="67">
        <f t="shared" si="310"/>
        <v>0.11746823919993211</v>
      </c>
      <c r="Z408" s="67">
        <f t="shared" si="310"/>
        <v>0.11707829810589941</v>
      </c>
      <c r="AA408" s="67">
        <f t="shared" si="310"/>
        <v>0.11670642115047182</v>
      </c>
      <c r="AB408" s="67">
        <f t="shared" si="310"/>
        <v>0.11634666410964255</v>
      </c>
      <c r="AC408" s="67">
        <f t="shared" si="310"/>
        <v>0.11599502780168205</v>
      </c>
    </row>
    <row r="410" spans="1:29" x14ac:dyDescent="0.25">
      <c r="B410" s="40"/>
    </row>
    <row r="429" spans="1:1" s="3" customFormat="1" ht="21" x14ac:dyDescent="0.35">
      <c r="A429" s="2" t="str">
        <f>'Parameter Input'!A128</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Input'!$L$101</f>
        <v>390000</v>
      </c>
      <c r="C439" s="42">
        <f>'Parameter Input'!$M$101</f>
        <v>155000</v>
      </c>
      <c r="D439" s="1" t="s">
        <v>15</v>
      </c>
      <c r="L439" s="51">
        <f>'Parameter Input'!$O$101</f>
        <v>9</v>
      </c>
      <c r="M439" s="52">
        <v>0</v>
      </c>
      <c r="N439" s="52">
        <v>1</v>
      </c>
      <c r="O439" s="52">
        <f>'Parameter Input'!$P$101</f>
        <v>0.9</v>
      </c>
      <c r="P439" s="53">
        <f>'Parameter Input'!$Q$101</f>
        <v>0.4</v>
      </c>
      <c r="Q439" s="4">
        <f t="shared" ref="Q439:AR448" si="311">$N439+($M439-$N439)*((1/(1+EXP(-$P439*(Q$9-$L439)))^$O439))</f>
        <v>0.96177484161592774</v>
      </c>
      <c r="R439" s="4">
        <f t="shared" si="311"/>
        <v>0.94584787155511363</v>
      </c>
      <c r="S439" s="4">
        <f t="shared" si="311"/>
        <v>0.92370360150141495</v>
      </c>
      <c r="T439" s="4">
        <f t="shared" si="311"/>
        <v>0.89334463567658451</v>
      </c>
      <c r="U439" s="4">
        <f t="shared" si="311"/>
        <v>0.85254543874327005</v>
      </c>
      <c r="V439" s="4">
        <f t="shared" si="311"/>
        <v>0.79921300652623883</v>
      </c>
      <c r="W439" s="4">
        <f t="shared" si="311"/>
        <v>0.73204982249993378</v>
      </c>
      <c r="X439" s="4">
        <f t="shared" si="311"/>
        <v>0.65145592958786691</v>
      </c>
      <c r="Y439" s="4">
        <f t="shared" si="311"/>
        <v>0.56032247880849573</v>
      </c>
      <c r="Z439" s="4">
        <f t="shared" si="311"/>
        <v>0.46411326873185343</v>
      </c>
      <c r="AA439" s="4">
        <f t="shared" si="311"/>
        <v>0.36979727595523937</v>
      </c>
      <c r="AB439" s="4">
        <f t="shared" si="311"/>
        <v>0.28393948637231203</v>
      </c>
      <c r="AC439" s="4">
        <f t="shared" si="311"/>
        <v>0.21097259161117732</v>
      </c>
      <c r="AD439" s="4">
        <f t="shared" si="311"/>
        <v>0.15253917653798199</v>
      </c>
      <c r="AE439" s="4">
        <f t="shared" si="311"/>
        <v>0.10795188737709993</v>
      </c>
      <c r="AF439" s="4">
        <f t="shared" si="311"/>
        <v>7.5176653938091809E-2</v>
      </c>
      <c r="AG439" s="4">
        <f t="shared" si="311"/>
        <v>5.1742836177502194E-2</v>
      </c>
      <c r="AH439" s="4">
        <f t="shared" si="311"/>
        <v>3.5319190625345942E-2</v>
      </c>
      <c r="AI439" s="4">
        <f t="shared" si="311"/>
        <v>2.3969442072658165E-2</v>
      </c>
      <c r="AJ439" s="4">
        <f t="shared" si="311"/>
        <v>1.6202243558389728E-2</v>
      </c>
      <c r="AK439" s="4">
        <f t="shared" si="311"/>
        <v>1.0922240564108399E-2</v>
      </c>
      <c r="AL439" s="4">
        <f t="shared" si="311"/>
        <v>7.3493212906090566E-3</v>
      </c>
      <c r="AM439" s="4">
        <f t="shared" si="311"/>
        <v>4.9390262185057265E-3</v>
      </c>
      <c r="AN439" s="4">
        <f t="shared" si="311"/>
        <v>3.3164275492956197E-3</v>
      </c>
      <c r="AO439" s="4">
        <f t="shared" si="311"/>
        <v>2.2256362146679809E-3</v>
      </c>
      <c r="AP439" s="4">
        <f t="shared" si="311"/>
        <v>1.4930448704811861E-3</v>
      </c>
      <c r="AQ439" s="4">
        <f t="shared" si="311"/>
        <v>1.0013381504474506E-3</v>
      </c>
      <c r="AR439" s="4">
        <f t="shared" si="311"/>
        <v>6.7145100246257527E-4</v>
      </c>
    </row>
    <row r="440" spans="1:44" x14ac:dyDescent="0.25">
      <c r="A440" s="24" t="s">
        <v>28</v>
      </c>
      <c r="B440" s="60">
        <f>'Parameter Input'!$L$102</f>
        <v>-58500</v>
      </c>
      <c r="C440" s="61">
        <f>'Parameter Input'!$M$102</f>
        <v>-38750</v>
      </c>
      <c r="D440" s="1" t="s">
        <v>15</v>
      </c>
      <c r="L440" s="54">
        <f>'Parameter Input'!$O$102</f>
        <v>9</v>
      </c>
      <c r="M440" s="37">
        <v>0</v>
      </c>
      <c r="N440" s="37">
        <v>1</v>
      </c>
      <c r="O440" s="37">
        <f>'Parameter Input'!$P$102</f>
        <v>0.9</v>
      </c>
      <c r="P440" s="55">
        <f>'Parameter Input'!$Q$102</f>
        <v>0.4</v>
      </c>
      <c r="Q440" s="4">
        <f t="shared" si="311"/>
        <v>0.96177484161592774</v>
      </c>
      <c r="R440" s="4">
        <f t="shared" si="311"/>
        <v>0.94584787155511363</v>
      </c>
      <c r="S440" s="4">
        <f t="shared" si="311"/>
        <v>0.92370360150141495</v>
      </c>
      <c r="T440" s="4">
        <f t="shared" si="311"/>
        <v>0.89334463567658451</v>
      </c>
      <c r="U440" s="4">
        <f t="shared" si="311"/>
        <v>0.85254543874327005</v>
      </c>
      <c r="V440" s="4">
        <f t="shared" si="311"/>
        <v>0.79921300652623883</v>
      </c>
      <c r="W440" s="4">
        <f t="shared" si="311"/>
        <v>0.73204982249993378</v>
      </c>
      <c r="X440" s="4">
        <f t="shared" si="311"/>
        <v>0.65145592958786691</v>
      </c>
      <c r="Y440" s="4">
        <f t="shared" si="311"/>
        <v>0.56032247880849573</v>
      </c>
      <c r="Z440" s="4">
        <f t="shared" si="311"/>
        <v>0.46411326873185343</v>
      </c>
      <c r="AA440" s="4">
        <f t="shared" si="311"/>
        <v>0.36979727595523937</v>
      </c>
      <c r="AB440" s="4">
        <f t="shared" si="311"/>
        <v>0.28393948637231203</v>
      </c>
      <c r="AC440" s="4">
        <f t="shared" si="311"/>
        <v>0.21097259161117732</v>
      </c>
      <c r="AD440" s="4">
        <f t="shared" si="311"/>
        <v>0.15253917653798199</v>
      </c>
      <c r="AE440" s="4">
        <f t="shared" si="311"/>
        <v>0.10795188737709993</v>
      </c>
      <c r="AF440" s="4">
        <f t="shared" si="311"/>
        <v>7.5176653938091809E-2</v>
      </c>
      <c r="AG440" s="4">
        <f t="shared" si="311"/>
        <v>5.1742836177502194E-2</v>
      </c>
      <c r="AH440" s="4">
        <f t="shared" si="311"/>
        <v>3.5319190625345942E-2</v>
      </c>
      <c r="AI440" s="4">
        <f t="shared" si="311"/>
        <v>2.3969442072658165E-2</v>
      </c>
      <c r="AJ440" s="4">
        <f t="shared" si="311"/>
        <v>1.6202243558389728E-2</v>
      </c>
      <c r="AK440" s="4">
        <f t="shared" si="311"/>
        <v>1.0922240564108399E-2</v>
      </c>
      <c r="AL440" s="4">
        <f t="shared" si="311"/>
        <v>7.3493212906090566E-3</v>
      </c>
      <c r="AM440" s="4">
        <f t="shared" si="311"/>
        <v>4.9390262185057265E-3</v>
      </c>
      <c r="AN440" s="4">
        <f t="shared" si="311"/>
        <v>3.3164275492956197E-3</v>
      </c>
      <c r="AO440" s="4">
        <f t="shared" si="311"/>
        <v>2.2256362146679809E-3</v>
      </c>
      <c r="AP440" s="4">
        <f t="shared" si="311"/>
        <v>1.4930448704811861E-3</v>
      </c>
      <c r="AQ440" s="4">
        <f t="shared" si="311"/>
        <v>1.0013381504474506E-3</v>
      </c>
      <c r="AR440" s="4">
        <f t="shared" si="311"/>
        <v>6.7145100246257527E-4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11"/>
        <v>0.9867978615748374</v>
      </c>
      <c r="R441" s="4">
        <f t="shared" si="311"/>
        <v>0.98114509762858249</v>
      </c>
      <c r="S441" s="4">
        <f t="shared" si="311"/>
        <v>0.97311898315872036</v>
      </c>
      <c r="T441" s="4">
        <f t="shared" si="311"/>
        <v>0.96177484161592774</v>
      </c>
      <c r="U441" s="4">
        <f t="shared" si="311"/>
        <v>0.94584787155511363</v>
      </c>
      <c r="V441" s="4">
        <f t="shared" si="311"/>
        <v>0.92370360150141495</v>
      </c>
      <c r="W441" s="4">
        <f t="shared" si="311"/>
        <v>0.89334463567658451</v>
      </c>
      <c r="X441" s="4">
        <f t="shared" si="311"/>
        <v>0.85254543874327005</v>
      </c>
      <c r="Y441" s="4">
        <f t="shared" si="311"/>
        <v>0.79921300652623883</v>
      </c>
      <c r="Z441" s="4">
        <f t="shared" si="311"/>
        <v>0.73204982249993378</v>
      </c>
      <c r="AA441" s="4">
        <f t="shared" si="311"/>
        <v>0.65145592958786691</v>
      </c>
      <c r="AB441" s="4">
        <f t="shared" si="311"/>
        <v>0.56032247880849573</v>
      </c>
      <c r="AC441" s="4">
        <f t="shared" si="311"/>
        <v>0.46411326873185343</v>
      </c>
      <c r="AD441" s="4">
        <f t="shared" si="311"/>
        <v>0.36979727595523937</v>
      </c>
      <c r="AE441" s="4">
        <f t="shared" si="311"/>
        <v>0.28393948637231203</v>
      </c>
      <c r="AF441" s="4">
        <f t="shared" si="311"/>
        <v>0.21097259161117732</v>
      </c>
      <c r="AG441" s="4">
        <f t="shared" si="311"/>
        <v>0.15253917653798199</v>
      </c>
      <c r="AH441" s="4">
        <f t="shared" si="311"/>
        <v>0.10795188737709993</v>
      </c>
      <c r="AI441" s="4">
        <f t="shared" si="311"/>
        <v>7.5176653938091809E-2</v>
      </c>
      <c r="AJ441" s="4">
        <f t="shared" si="311"/>
        <v>5.1742836177502194E-2</v>
      </c>
      <c r="AK441" s="4">
        <f t="shared" si="311"/>
        <v>3.5319190625345942E-2</v>
      </c>
      <c r="AL441" s="4">
        <f t="shared" si="311"/>
        <v>2.3969442072658165E-2</v>
      </c>
      <c r="AM441" s="4">
        <f t="shared" si="311"/>
        <v>1.6202243558389728E-2</v>
      </c>
      <c r="AN441" s="4">
        <f t="shared" si="311"/>
        <v>1.0922240564108399E-2</v>
      </c>
      <c r="AO441" s="4">
        <f t="shared" si="311"/>
        <v>7.3493212906090566E-3</v>
      </c>
      <c r="AP441" s="4">
        <f t="shared" si="311"/>
        <v>4.9390262185057265E-3</v>
      </c>
      <c r="AQ441" s="4">
        <f t="shared" si="311"/>
        <v>3.3164275492956197E-3</v>
      </c>
      <c r="AR441" s="4">
        <f t="shared" si="311"/>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11"/>
        <v>0.9867978615748374</v>
      </c>
      <c r="R442" s="4">
        <f t="shared" si="311"/>
        <v>0.98114509762858249</v>
      </c>
      <c r="S442" s="4">
        <f t="shared" si="311"/>
        <v>0.97311898315872036</v>
      </c>
      <c r="T442" s="4">
        <f t="shared" si="311"/>
        <v>0.96177484161592774</v>
      </c>
      <c r="U442" s="4">
        <f t="shared" si="311"/>
        <v>0.94584787155511363</v>
      </c>
      <c r="V442" s="4">
        <f t="shared" si="311"/>
        <v>0.92370360150141495</v>
      </c>
      <c r="W442" s="4">
        <f t="shared" si="311"/>
        <v>0.89334463567658451</v>
      </c>
      <c r="X442" s="4">
        <f t="shared" si="311"/>
        <v>0.85254543874327005</v>
      </c>
      <c r="Y442" s="4">
        <f t="shared" si="311"/>
        <v>0.79921300652623883</v>
      </c>
      <c r="Z442" s="4">
        <f t="shared" si="311"/>
        <v>0.73204982249993378</v>
      </c>
      <c r="AA442" s="4">
        <f t="shared" si="311"/>
        <v>0.65145592958786691</v>
      </c>
      <c r="AB442" s="4">
        <f t="shared" si="311"/>
        <v>0.56032247880849573</v>
      </c>
      <c r="AC442" s="4">
        <f t="shared" si="311"/>
        <v>0.46411326873185343</v>
      </c>
      <c r="AD442" s="4">
        <f t="shared" si="311"/>
        <v>0.36979727595523937</v>
      </c>
      <c r="AE442" s="4">
        <f t="shared" si="311"/>
        <v>0.28393948637231203</v>
      </c>
      <c r="AF442" s="4">
        <f t="shared" si="311"/>
        <v>0.21097259161117732</v>
      </c>
      <c r="AG442" s="4">
        <f t="shared" si="311"/>
        <v>0.15253917653798199</v>
      </c>
      <c r="AH442" s="4">
        <f t="shared" si="311"/>
        <v>0.10795188737709993</v>
      </c>
      <c r="AI442" s="4">
        <f t="shared" si="311"/>
        <v>7.5176653938091809E-2</v>
      </c>
      <c r="AJ442" s="4">
        <f t="shared" si="311"/>
        <v>5.1742836177502194E-2</v>
      </c>
      <c r="AK442" s="4">
        <f t="shared" si="311"/>
        <v>3.5319190625345942E-2</v>
      </c>
      <c r="AL442" s="4">
        <f t="shared" si="311"/>
        <v>2.3969442072658165E-2</v>
      </c>
      <c r="AM442" s="4">
        <f t="shared" si="311"/>
        <v>1.6202243558389728E-2</v>
      </c>
      <c r="AN442" s="4">
        <f t="shared" si="311"/>
        <v>1.0922240564108399E-2</v>
      </c>
      <c r="AO442" s="4">
        <f t="shared" si="311"/>
        <v>7.3493212906090566E-3</v>
      </c>
      <c r="AP442" s="4">
        <f t="shared" si="311"/>
        <v>4.9390262185057265E-3</v>
      </c>
      <c r="AQ442" s="4">
        <f t="shared" si="311"/>
        <v>3.3164275492956197E-3</v>
      </c>
      <c r="AR442" s="4">
        <f t="shared" si="311"/>
        <v>2.2256362146679809E-3</v>
      </c>
    </row>
    <row r="443" spans="1:44" x14ac:dyDescent="0.25">
      <c r="A443" s="24" t="s">
        <v>79</v>
      </c>
      <c r="B443" s="45">
        <f>'Parameter Input'!$L$108</f>
        <v>0.06</v>
      </c>
      <c r="C443" s="46">
        <f>'Parameter Input'!$M$108</f>
        <v>0.06</v>
      </c>
      <c r="D443" s="1" t="s">
        <v>57</v>
      </c>
      <c r="L443" s="54">
        <f>'Parameter Input'!$O$108</f>
        <v>12</v>
      </c>
      <c r="M443" s="37">
        <v>0</v>
      </c>
      <c r="N443" s="37">
        <v>1</v>
      </c>
      <c r="O443" s="37">
        <f>'Parameter Input'!$P$108</f>
        <v>0.9</v>
      </c>
      <c r="P443" s="55">
        <f>'Parameter Input'!$Q$108</f>
        <v>0.4</v>
      </c>
      <c r="Q443" s="4">
        <f t="shared" si="311"/>
        <v>0.9867978615748374</v>
      </c>
      <c r="R443" s="4">
        <f t="shared" si="311"/>
        <v>0.98114509762858249</v>
      </c>
      <c r="S443" s="4">
        <f t="shared" si="311"/>
        <v>0.97311898315872036</v>
      </c>
      <c r="T443" s="4">
        <f t="shared" si="311"/>
        <v>0.96177484161592774</v>
      </c>
      <c r="U443" s="4">
        <f t="shared" si="311"/>
        <v>0.94584787155511363</v>
      </c>
      <c r="V443" s="4">
        <f t="shared" si="311"/>
        <v>0.92370360150141495</v>
      </c>
      <c r="W443" s="4">
        <f t="shared" si="311"/>
        <v>0.89334463567658451</v>
      </c>
      <c r="X443" s="4">
        <f t="shared" si="311"/>
        <v>0.85254543874327005</v>
      </c>
      <c r="Y443" s="4">
        <f t="shared" si="311"/>
        <v>0.79921300652623883</v>
      </c>
      <c r="Z443" s="4">
        <f t="shared" si="311"/>
        <v>0.73204982249993378</v>
      </c>
      <c r="AA443" s="4">
        <f t="shared" si="311"/>
        <v>0.65145592958786691</v>
      </c>
      <c r="AB443" s="4">
        <f t="shared" si="311"/>
        <v>0.56032247880849573</v>
      </c>
      <c r="AC443" s="4">
        <f t="shared" si="311"/>
        <v>0.46411326873185343</v>
      </c>
      <c r="AD443" s="4">
        <f t="shared" si="311"/>
        <v>0.36979727595523937</v>
      </c>
      <c r="AE443" s="4">
        <f t="shared" si="311"/>
        <v>0.28393948637231203</v>
      </c>
      <c r="AF443" s="4">
        <f t="shared" si="311"/>
        <v>0.21097259161117732</v>
      </c>
      <c r="AG443" s="4">
        <f t="shared" si="311"/>
        <v>0.15253917653798199</v>
      </c>
      <c r="AH443" s="4">
        <f t="shared" si="311"/>
        <v>0.10795188737709993</v>
      </c>
      <c r="AI443" s="4">
        <f t="shared" si="311"/>
        <v>7.5176653938091809E-2</v>
      </c>
      <c r="AJ443" s="4">
        <f t="shared" si="311"/>
        <v>5.1742836177502194E-2</v>
      </c>
      <c r="AK443" s="4">
        <f t="shared" si="311"/>
        <v>3.5319190625345942E-2</v>
      </c>
      <c r="AL443" s="4">
        <f t="shared" si="311"/>
        <v>2.3969442072658165E-2</v>
      </c>
      <c r="AM443" s="4">
        <f t="shared" si="311"/>
        <v>1.6202243558389728E-2</v>
      </c>
      <c r="AN443" s="4">
        <f t="shared" si="311"/>
        <v>1.0922240564108399E-2</v>
      </c>
      <c r="AO443" s="4">
        <f t="shared" si="311"/>
        <v>7.3493212906090566E-3</v>
      </c>
      <c r="AP443" s="4">
        <f t="shared" si="311"/>
        <v>4.9390262185057265E-3</v>
      </c>
      <c r="AQ443" s="4">
        <f t="shared" si="311"/>
        <v>3.3164275492956197E-3</v>
      </c>
      <c r="AR443" s="4">
        <f t="shared" si="311"/>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11"/>
        <v>0.9867978615748374</v>
      </c>
      <c r="R444" s="4">
        <f t="shared" si="311"/>
        <v>0.98114509762858249</v>
      </c>
      <c r="S444" s="4">
        <f t="shared" si="311"/>
        <v>0.97311898315872036</v>
      </c>
      <c r="T444" s="4">
        <f t="shared" si="311"/>
        <v>0.96177484161592774</v>
      </c>
      <c r="U444" s="4">
        <f t="shared" si="311"/>
        <v>0.94584787155511363</v>
      </c>
      <c r="V444" s="4">
        <f t="shared" si="311"/>
        <v>0.92370360150141495</v>
      </c>
      <c r="W444" s="4">
        <f t="shared" si="311"/>
        <v>0.89334463567658451</v>
      </c>
      <c r="X444" s="4">
        <f t="shared" si="311"/>
        <v>0.85254543874327005</v>
      </c>
      <c r="Y444" s="4">
        <f t="shared" si="311"/>
        <v>0.79921300652623883</v>
      </c>
      <c r="Z444" s="4">
        <f t="shared" si="311"/>
        <v>0.73204982249993378</v>
      </c>
      <c r="AA444" s="4">
        <f t="shared" si="311"/>
        <v>0.65145592958786691</v>
      </c>
      <c r="AB444" s="4">
        <f t="shared" si="311"/>
        <v>0.56032247880849573</v>
      </c>
      <c r="AC444" s="4">
        <f t="shared" si="311"/>
        <v>0.46411326873185343</v>
      </c>
      <c r="AD444" s="4">
        <f t="shared" si="311"/>
        <v>0.36979727595523937</v>
      </c>
      <c r="AE444" s="4">
        <f t="shared" si="311"/>
        <v>0.28393948637231203</v>
      </c>
      <c r="AF444" s="4">
        <f t="shared" si="311"/>
        <v>0.21097259161117732</v>
      </c>
      <c r="AG444" s="4">
        <f t="shared" si="311"/>
        <v>0.15253917653798199</v>
      </c>
      <c r="AH444" s="4">
        <f t="shared" si="311"/>
        <v>0.10795188737709993</v>
      </c>
      <c r="AI444" s="4">
        <f t="shared" si="311"/>
        <v>7.5176653938091809E-2</v>
      </c>
      <c r="AJ444" s="4">
        <f t="shared" si="311"/>
        <v>5.1742836177502194E-2</v>
      </c>
      <c r="AK444" s="4">
        <f t="shared" si="311"/>
        <v>3.5319190625345942E-2</v>
      </c>
      <c r="AL444" s="4">
        <f t="shared" si="311"/>
        <v>2.3969442072658165E-2</v>
      </c>
      <c r="AM444" s="4">
        <f t="shared" si="311"/>
        <v>1.6202243558389728E-2</v>
      </c>
      <c r="AN444" s="4">
        <f t="shared" si="311"/>
        <v>1.0922240564108399E-2</v>
      </c>
      <c r="AO444" s="4">
        <f t="shared" si="311"/>
        <v>7.3493212906090566E-3</v>
      </c>
      <c r="AP444" s="4">
        <f t="shared" si="311"/>
        <v>4.9390262185057265E-3</v>
      </c>
      <c r="AQ444" s="4">
        <f t="shared" si="311"/>
        <v>3.3164275492956197E-3</v>
      </c>
      <c r="AR444" s="4">
        <f t="shared" si="311"/>
        <v>2.2256362146679809E-3</v>
      </c>
    </row>
    <row r="445" spans="1:44" x14ac:dyDescent="0.25">
      <c r="A445" s="24" t="s">
        <v>52</v>
      </c>
      <c r="B445" s="43">
        <f>'Parameter Input'!$L$104</f>
        <v>26000</v>
      </c>
      <c r="C445" s="44">
        <f>'Parameter Input'!$M$104</f>
        <v>18000</v>
      </c>
      <c r="D445" s="1" t="s">
        <v>38</v>
      </c>
      <c r="L445" s="54">
        <f>'Parameter Input'!$O$104</f>
        <v>9</v>
      </c>
      <c r="M445" s="37">
        <v>0</v>
      </c>
      <c r="N445" s="37">
        <v>1</v>
      </c>
      <c r="O445" s="37">
        <f>'Parameter Input'!$P$104</f>
        <v>0.9</v>
      </c>
      <c r="P445" s="55">
        <f>'Parameter Input'!$Q$104</f>
        <v>0.4</v>
      </c>
      <c r="Q445" s="4">
        <f t="shared" si="311"/>
        <v>0.96177484161592774</v>
      </c>
      <c r="R445" s="4">
        <f t="shared" si="311"/>
        <v>0.94584787155511363</v>
      </c>
      <c r="S445" s="4">
        <f t="shared" si="311"/>
        <v>0.92370360150141495</v>
      </c>
      <c r="T445" s="4">
        <f t="shared" si="311"/>
        <v>0.89334463567658451</v>
      </c>
      <c r="U445" s="4">
        <f t="shared" si="311"/>
        <v>0.85254543874327005</v>
      </c>
      <c r="V445" s="4">
        <f t="shared" si="311"/>
        <v>0.79921300652623883</v>
      </c>
      <c r="W445" s="4">
        <f t="shared" si="311"/>
        <v>0.73204982249993378</v>
      </c>
      <c r="X445" s="4">
        <f t="shared" si="311"/>
        <v>0.65145592958786691</v>
      </c>
      <c r="Y445" s="4">
        <f t="shared" si="311"/>
        <v>0.56032247880849573</v>
      </c>
      <c r="Z445" s="4">
        <f t="shared" si="311"/>
        <v>0.46411326873185343</v>
      </c>
      <c r="AA445" s="4">
        <f t="shared" si="311"/>
        <v>0.36979727595523937</v>
      </c>
      <c r="AB445" s="4">
        <f t="shared" si="311"/>
        <v>0.28393948637231203</v>
      </c>
      <c r="AC445" s="4">
        <f t="shared" si="311"/>
        <v>0.21097259161117732</v>
      </c>
      <c r="AD445" s="4">
        <f t="shared" si="311"/>
        <v>0.15253917653798199</v>
      </c>
      <c r="AE445" s="4">
        <f t="shared" si="311"/>
        <v>0.10795188737709993</v>
      </c>
      <c r="AF445" s="4">
        <f t="shared" si="311"/>
        <v>7.5176653938091809E-2</v>
      </c>
      <c r="AG445" s="4">
        <f t="shared" si="311"/>
        <v>5.1742836177502194E-2</v>
      </c>
      <c r="AH445" s="4">
        <f t="shared" si="311"/>
        <v>3.5319190625345942E-2</v>
      </c>
      <c r="AI445" s="4">
        <f t="shared" si="311"/>
        <v>2.3969442072658165E-2</v>
      </c>
      <c r="AJ445" s="4">
        <f t="shared" si="311"/>
        <v>1.6202243558389728E-2</v>
      </c>
      <c r="AK445" s="4">
        <f t="shared" si="311"/>
        <v>1.0922240564108399E-2</v>
      </c>
      <c r="AL445" s="4">
        <f t="shared" si="311"/>
        <v>7.3493212906090566E-3</v>
      </c>
      <c r="AM445" s="4">
        <f t="shared" si="311"/>
        <v>4.9390262185057265E-3</v>
      </c>
      <c r="AN445" s="4">
        <f t="shared" si="311"/>
        <v>3.3164275492956197E-3</v>
      </c>
      <c r="AO445" s="4">
        <f t="shared" si="311"/>
        <v>2.2256362146679809E-3</v>
      </c>
      <c r="AP445" s="4">
        <f t="shared" si="311"/>
        <v>1.4930448704811861E-3</v>
      </c>
      <c r="AQ445" s="4">
        <f t="shared" si="311"/>
        <v>1.0013381504474506E-3</v>
      </c>
      <c r="AR445" s="4">
        <f t="shared" si="311"/>
        <v>6.7145100246257527E-4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11"/>
        <v>0.9867978615748374</v>
      </c>
      <c r="R446" s="4">
        <f t="shared" si="311"/>
        <v>0.98114509762858249</v>
      </c>
      <c r="S446" s="4">
        <f t="shared" si="311"/>
        <v>0.97311898315872036</v>
      </c>
      <c r="T446" s="4">
        <f t="shared" si="311"/>
        <v>0.96177484161592774</v>
      </c>
      <c r="U446" s="4">
        <f t="shared" si="311"/>
        <v>0.94584787155511363</v>
      </c>
      <c r="V446" s="4">
        <f t="shared" si="311"/>
        <v>0.92370360150141495</v>
      </c>
      <c r="W446" s="4">
        <f t="shared" si="311"/>
        <v>0.89334463567658451</v>
      </c>
      <c r="X446" s="4">
        <f t="shared" si="311"/>
        <v>0.85254543874327005</v>
      </c>
      <c r="Y446" s="4">
        <f t="shared" si="311"/>
        <v>0.79921300652623883</v>
      </c>
      <c r="Z446" s="4">
        <f t="shared" si="311"/>
        <v>0.73204982249993378</v>
      </c>
      <c r="AA446" s="4">
        <f t="shared" si="311"/>
        <v>0.65145592958786691</v>
      </c>
      <c r="AB446" s="4">
        <f t="shared" si="311"/>
        <v>0.56032247880849573</v>
      </c>
      <c r="AC446" s="4">
        <f t="shared" si="311"/>
        <v>0.46411326873185343</v>
      </c>
      <c r="AD446" s="4">
        <f t="shared" si="311"/>
        <v>0.36979727595523937</v>
      </c>
      <c r="AE446" s="4">
        <f t="shared" si="311"/>
        <v>0.28393948637231203</v>
      </c>
      <c r="AF446" s="4">
        <f t="shared" si="311"/>
        <v>0.21097259161117732</v>
      </c>
      <c r="AG446" s="4">
        <f t="shared" si="311"/>
        <v>0.15253917653798199</v>
      </c>
      <c r="AH446" s="4">
        <f t="shared" si="311"/>
        <v>0.10795188737709993</v>
      </c>
      <c r="AI446" s="4">
        <f t="shared" si="311"/>
        <v>7.5176653938091809E-2</v>
      </c>
      <c r="AJ446" s="4">
        <f t="shared" si="311"/>
        <v>5.1742836177502194E-2</v>
      </c>
      <c r="AK446" s="4">
        <f t="shared" si="311"/>
        <v>3.5319190625345942E-2</v>
      </c>
      <c r="AL446" s="4">
        <f t="shared" si="311"/>
        <v>2.3969442072658165E-2</v>
      </c>
      <c r="AM446" s="4">
        <f t="shared" si="311"/>
        <v>1.6202243558389728E-2</v>
      </c>
      <c r="AN446" s="4">
        <f t="shared" si="311"/>
        <v>1.0922240564108399E-2</v>
      </c>
      <c r="AO446" s="4">
        <f t="shared" si="311"/>
        <v>7.3493212906090566E-3</v>
      </c>
      <c r="AP446" s="4">
        <f t="shared" si="311"/>
        <v>4.9390262185057265E-3</v>
      </c>
      <c r="AQ446" s="4">
        <f t="shared" si="311"/>
        <v>3.3164275492956197E-3</v>
      </c>
      <c r="AR446" s="4">
        <f t="shared" si="311"/>
        <v>2.2256362146679809E-3</v>
      </c>
    </row>
    <row r="447" spans="1:44" x14ac:dyDescent="0.25">
      <c r="A447" s="24" t="s">
        <v>59</v>
      </c>
      <c r="B447" s="47">
        <f>'Parameter Input'!$L$105</f>
        <v>2.5299999999999998</v>
      </c>
      <c r="C447" s="48">
        <f>'Parameter Input'!$M$105</f>
        <v>1.79</v>
      </c>
      <c r="D447" s="1" t="s">
        <v>60</v>
      </c>
      <c r="L447" s="54">
        <f>'Parameter Input'!$O$105</f>
        <v>9</v>
      </c>
      <c r="M447" s="37">
        <v>0</v>
      </c>
      <c r="N447" s="37">
        <v>1</v>
      </c>
      <c r="O447" s="37">
        <f>'Parameter Input'!$P$105</f>
        <v>0.9</v>
      </c>
      <c r="P447" s="55">
        <f>'Parameter Input'!$Q$105</f>
        <v>0.4</v>
      </c>
      <c r="Q447" s="4">
        <f t="shared" si="311"/>
        <v>0.96177484161592774</v>
      </c>
      <c r="R447" s="4">
        <f t="shared" si="311"/>
        <v>0.94584787155511363</v>
      </c>
      <c r="S447" s="4">
        <f t="shared" si="311"/>
        <v>0.92370360150141495</v>
      </c>
      <c r="T447" s="4">
        <f t="shared" si="311"/>
        <v>0.89334463567658451</v>
      </c>
      <c r="U447" s="4">
        <f t="shared" si="311"/>
        <v>0.85254543874327005</v>
      </c>
      <c r="V447" s="4">
        <f t="shared" si="311"/>
        <v>0.79921300652623883</v>
      </c>
      <c r="W447" s="4">
        <f t="shared" si="311"/>
        <v>0.73204982249993378</v>
      </c>
      <c r="X447" s="4">
        <f t="shared" si="311"/>
        <v>0.65145592958786691</v>
      </c>
      <c r="Y447" s="4">
        <f t="shared" si="311"/>
        <v>0.56032247880849573</v>
      </c>
      <c r="Z447" s="4">
        <f t="shared" si="311"/>
        <v>0.46411326873185343</v>
      </c>
      <c r="AA447" s="4">
        <f t="shared" si="311"/>
        <v>0.36979727595523937</v>
      </c>
      <c r="AB447" s="4">
        <f t="shared" si="311"/>
        <v>0.28393948637231203</v>
      </c>
      <c r="AC447" s="4">
        <f t="shared" si="311"/>
        <v>0.21097259161117732</v>
      </c>
      <c r="AD447" s="4">
        <f t="shared" si="311"/>
        <v>0.15253917653798199</v>
      </c>
      <c r="AE447" s="4">
        <f t="shared" si="311"/>
        <v>0.10795188737709993</v>
      </c>
      <c r="AF447" s="4">
        <f t="shared" si="311"/>
        <v>7.5176653938091809E-2</v>
      </c>
      <c r="AG447" s="4">
        <f t="shared" si="311"/>
        <v>5.1742836177502194E-2</v>
      </c>
      <c r="AH447" s="4">
        <f t="shared" si="311"/>
        <v>3.5319190625345942E-2</v>
      </c>
      <c r="AI447" s="4">
        <f t="shared" si="311"/>
        <v>2.3969442072658165E-2</v>
      </c>
      <c r="AJ447" s="4">
        <f t="shared" si="311"/>
        <v>1.6202243558389728E-2</v>
      </c>
      <c r="AK447" s="4">
        <f t="shared" si="311"/>
        <v>1.0922240564108399E-2</v>
      </c>
      <c r="AL447" s="4">
        <f t="shared" si="311"/>
        <v>7.3493212906090566E-3</v>
      </c>
      <c r="AM447" s="4">
        <f t="shared" si="311"/>
        <v>4.9390262185057265E-3</v>
      </c>
      <c r="AN447" s="4">
        <f t="shared" si="311"/>
        <v>3.3164275492956197E-3</v>
      </c>
      <c r="AO447" s="4">
        <f t="shared" si="311"/>
        <v>2.2256362146679809E-3</v>
      </c>
      <c r="AP447" s="4">
        <f t="shared" si="311"/>
        <v>1.4930448704811861E-3</v>
      </c>
      <c r="AQ447" s="4">
        <f t="shared" si="311"/>
        <v>1.0013381504474506E-3</v>
      </c>
      <c r="AR447" s="4">
        <f t="shared" si="311"/>
        <v>6.7145100246257527E-4</v>
      </c>
    </row>
    <row r="448" spans="1:44" x14ac:dyDescent="0.25">
      <c r="A448" s="24" t="s">
        <v>67</v>
      </c>
      <c r="B448" s="45">
        <f>'Parameter Input'!$L$106</f>
        <v>0.2544561408768215</v>
      </c>
      <c r="C448" s="46">
        <f>'Parameter Input'!$M$106</f>
        <v>0.10949010032952979</v>
      </c>
      <c r="D448" s="1" t="s">
        <v>68</v>
      </c>
      <c r="L448" s="54">
        <f>'Parameter Input'!$O$106</f>
        <v>12</v>
      </c>
      <c r="M448" s="37">
        <v>0</v>
      </c>
      <c r="N448" s="37">
        <v>1</v>
      </c>
      <c r="O448" s="37">
        <f>'Parameter Input'!$P$106</f>
        <v>0.9</v>
      </c>
      <c r="P448" s="55">
        <f>'Parameter Input'!$Q$106</f>
        <v>0.4</v>
      </c>
      <c r="Q448" s="4">
        <f t="shared" si="311"/>
        <v>0.9867978615748374</v>
      </c>
      <c r="R448" s="4">
        <f t="shared" si="311"/>
        <v>0.98114509762858249</v>
      </c>
      <c r="S448" s="4">
        <f t="shared" si="311"/>
        <v>0.97311898315872036</v>
      </c>
      <c r="T448" s="4">
        <f t="shared" ref="T448:AI455" si="312">$N448+($M448-$N448)*((1/(1+EXP(-$P448*(T$9-$L448)))^$O448))</f>
        <v>0.96177484161592774</v>
      </c>
      <c r="U448" s="4">
        <f t="shared" si="312"/>
        <v>0.94584787155511363</v>
      </c>
      <c r="V448" s="4">
        <f t="shared" si="312"/>
        <v>0.92370360150141495</v>
      </c>
      <c r="W448" s="4">
        <f t="shared" si="312"/>
        <v>0.89334463567658451</v>
      </c>
      <c r="X448" s="4">
        <f t="shared" si="312"/>
        <v>0.85254543874327005</v>
      </c>
      <c r="Y448" s="4">
        <f t="shared" si="312"/>
        <v>0.79921300652623883</v>
      </c>
      <c r="Z448" s="4">
        <f t="shared" si="312"/>
        <v>0.73204982249993378</v>
      </c>
      <c r="AA448" s="4">
        <f t="shared" si="312"/>
        <v>0.65145592958786691</v>
      </c>
      <c r="AB448" s="4">
        <f t="shared" si="312"/>
        <v>0.56032247880849573</v>
      </c>
      <c r="AC448" s="4">
        <f t="shared" si="312"/>
        <v>0.46411326873185343</v>
      </c>
      <c r="AD448" s="4">
        <f t="shared" si="312"/>
        <v>0.36979727595523937</v>
      </c>
      <c r="AE448" s="4">
        <f t="shared" si="312"/>
        <v>0.28393948637231203</v>
      </c>
      <c r="AF448" s="4">
        <f t="shared" si="312"/>
        <v>0.21097259161117732</v>
      </c>
      <c r="AG448" s="4">
        <f t="shared" si="312"/>
        <v>0.15253917653798199</v>
      </c>
      <c r="AH448" s="4">
        <f t="shared" si="312"/>
        <v>0.10795188737709993</v>
      </c>
      <c r="AI448" s="4">
        <f t="shared" si="312"/>
        <v>7.5176653938091809E-2</v>
      </c>
      <c r="AJ448" s="4">
        <f t="shared" ref="AJ448:AR455" si="313">$N448+($M448-$N448)*((1/(1+EXP(-$P448*(AJ$9-$L448)))^$O448))</f>
        <v>5.1742836177502194E-2</v>
      </c>
      <c r="AK448" s="4">
        <f t="shared" si="313"/>
        <v>3.5319190625345942E-2</v>
      </c>
      <c r="AL448" s="4">
        <f t="shared" si="313"/>
        <v>2.3969442072658165E-2</v>
      </c>
      <c r="AM448" s="4">
        <f t="shared" si="313"/>
        <v>1.6202243558389728E-2</v>
      </c>
      <c r="AN448" s="4">
        <f t="shared" si="313"/>
        <v>1.0922240564108399E-2</v>
      </c>
      <c r="AO448" s="4">
        <f t="shared" si="313"/>
        <v>7.3493212906090566E-3</v>
      </c>
      <c r="AP448" s="4">
        <f t="shared" si="313"/>
        <v>4.9390262185057265E-3</v>
      </c>
      <c r="AQ448" s="4">
        <f t="shared" si="313"/>
        <v>3.3164275492956197E-3</v>
      </c>
      <c r="AR448" s="4">
        <f t="shared" si="313"/>
        <v>2.2256362146679809E-3</v>
      </c>
    </row>
    <row r="449" spans="1:44" x14ac:dyDescent="0.25">
      <c r="A449" s="24" t="s">
        <v>206</v>
      </c>
      <c r="B449" s="115">
        <f>'Parameter Input'!$L$109</f>
        <v>0</v>
      </c>
      <c r="C449" s="116">
        <f>'Parameter Input'!$M$109</f>
        <v>0</v>
      </c>
      <c r="D449" s="1" t="s">
        <v>76</v>
      </c>
      <c r="L449" s="54">
        <f>'Parameter Input'!$O$109</f>
        <v>17</v>
      </c>
      <c r="M449" s="37">
        <v>0</v>
      </c>
      <c r="N449" s="37">
        <v>1</v>
      </c>
      <c r="O449" s="37">
        <f>'Parameter Input'!$P$109</f>
        <v>0.9</v>
      </c>
      <c r="P449" s="55">
        <f>'Parameter Input'!$Q$109</f>
        <v>0.4</v>
      </c>
      <c r="Q449" s="4">
        <f t="shared" ref="Q449:AR449" si="314">$N449+($M449-$N449)*((1/(1+EXP(-$P449*(Q$9-$L449)))^$O449))</f>
        <v>0.99780374543478534</v>
      </c>
      <c r="R449" s="4">
        <f t="shared" si="314"/>
        <v>0.99685359315256394</v>
      </c>
      <c r="S449" s="4">
        <f t="shared" si="314"/>
        <v>0.99549347132349975</v>
      </c>
      <c r="T449" s="4">
        <f t="shared" si="314"/>
        <v>0.99354772139898062</v>
      </c>
      <c r="U449" s="4">
        <f t="shared" si="314"/>
        <v>0.99076681540580536</v>
      </c>
      <c r="V449" s="4">
        <f t="shared" si="314"/>
        <v>0.9867978615748374</v>
      </c>
      <c r="W449" s="4">
        <f t="shared" si="314"/>
        <v>0.98114509762858249</v>
      </c>
      <c r="X449" s="4">
        <f t="shared" si="314"/>
        <v>0.97311898315872036</v>
      </c>
      <c r="Y449" s="4">
        <f t="shared" si="314"/>
        <v>0.96177484161592774</v>
      </c>
      <c r="Z449" s="4">
        <f t="shared" si="314"/>
        <v>0.94584787155511363</v>
      </c>
      <c r="AA449" s="4">
        <f t="shared" si="314"/>
        <v>0.92370360150141495</v>
      </c>
      <c r="AB449" s="4">
        <f t="shared" si="314"/>
        <v>0.89334463567658451</v>
      </c>
      <c r="AC449" s="4">
        <f t="shared" si="314"/>
        <v>0.85254543874327005</v>
      </c>
      <c r="AD449" s="4">
        <f t="shared" si="314"/>
        <v>0.79921300652623883</v>
      </c>
      <c r="AE449" s="4">
        <f t="shared" si="314"/>
        <v>0.73204982249993378</v>
      </c>
      <c r="AF449" s="4">
        <f t="shared" si="314"/>
        <v>0.65145592958786691</v>
      </c>
      <c r="AG449" s="4">
        <f t="shared" si="314"/>
        <v>0.56032247880849573</v>
      </c>
      <c r="AH449" s="4">
        <f t="shared" si="314"/>
        <v>0.46411326873185343</v>
      </c>
      <c r="AI449" s="4">
        <f t="shared" si="314"/>
        <v>0.36979727595523937</v>
      </c>
      <c r="AJ449" s="4">
        <f t="shared" si="314"/>
        <v>0.28393948637231203</v>
      </c>
      <c r="AK449" s="4">
        <f t="shared" si="314"/>
        <v>0.21097259161117732</v>
      </c>
      <c r="AL449" s="4">
        <f t="shared" si="314"/>
        <v>0.15253917653798199</v>
      </c>
      <c r="AM449" s="4">
        <f t="shared" si="314"/>
        <v>0.10795188737709993</v>
      </c>
      <c r="AN449" s="4">
        <f t="shared" si="314"/>
        <v>7.5176653938091809E-2</v>
      </c>
      <c r="AO449" s="4">
        <f t="shared" si="314"/>
        <v>5.1742836177502194E-2</v>
      </c>
      <c r="AP449" s="4">
        <f t="shared" si="314"/>
        <v>3.5319190625345942E-2</v>
      </c>
      <c r="AQ449" s="4">
        <f t="shared" si="314"/>
        <v>2.3969442072658165E-2</v>
      </c>
      <c r="AR449" s="4">
        <f t="shared" si="314"/>
        <v>1.6202243558389728E-2</v>
      </c>
    </row>
    <row r="450" spans="1:44" x14ac:dyDescent="0.25">
      <c r="A450" s="24" t="s">
        <v>41</v>
      </c>
      <c r="B450" s="43">
        <f>'Parameter Input'!$L$103</f>
        <v>8</v>
      </c>
      <c r="C450" s="44">
        <f>'Parameter Input'!$M$103</f>
        <v>8</v>
      </c>
      <c r="D450" s="1" t="s">
        <v>42</v>
      </c>
      <c r="L450" s="54">
        <f>'Parameter Input'!$O$103</f>
        <v>9</v>
      </c>
      <c r="M450" s="37">
        <v>0</v>
      </c>
      <c r="N450" s="37">
        <v>1</v>
      </c>
      <c r="O450" s="37">
        <f>'Parameter Input'!$P$103</f>
        <v>0.9</v>
      </c>
      <c r="P450" s="55">
        <f>'Parameter Input'!$Q$103</f>
        <v>0.4</v>
      </c>
      <c r="Q450" s="4">
        <f t="shared" ref="Q450:AF455" si="315">$N450+($M450-$N450)*((1/(1+EXP(-$P450*(Q$9-$L450)))^$O450))</f>
        <v>0.96177484161592774</v>
      </c>
      <c r="R450" s="4">
        <f t="shared" si="315"/>
        <v>0.94584787155511363</v>
      </c>
      <c r="S450" s="4">
        <f t="shared" si="315"/>
        <v>0.92370360150141495</v>
      </c>
      <c r="T450" s="4">
        <f t="shared" si="315"/>
        <v>0.89334463567658451</v>
      </c>
      <c r="U450" s="4">
        <f t="shared" si="315"/>
        <v>0.85254543874327005</v>
      </c>
      <c r="V450" s="4">
        <f t="shared" si="315"/>
        <v>0.79921300652623883</v>
      </c>
      <c r="W450" s="4">
        <f t="shared" si="315"/>
        <v>0.73204982249993378</v>
      </c>
      <c r="X450" s="4">
        <f t="shared" si="315"/>
        <v>0.65145592958786691</v>
      </c>
      <c r="Y450" s="4">
        <f t="shared" si="315"/>
        <v>0.56032247880849573</v>
      </c>
      <c r="Z450" s="4">
        <f t="shared" si="315"/>
        <v>0.46411326873185343</v>
      </c>
      <c r="AA450" s="4">
        <f t="shared" si="315"/>
        <v>0.36979727595523937</v>
      </c>
      <c r="AB450" s="4">
        <f t="shared" si="315"/>
        <v>0.28393948637231203</v>
      </c>
      <c r="AC450" s="4">
        <f t="shared" si="315"/>
        <v>0.21097259161117732</v>
      </c>
      <c r="AD450" s="4">
        <f t="shared" si="315"/>
        <v>0.15253917653798199</v>
      </c>
      <c r="AE450" s="4">
        <f t="shared" si="315"/>
        <v>0.10795188737709993</v>
      </c>
      <c r="AF450" s="4">
        <f t="shared" si="315"/>
        <v>7.5176653938091809E-2</v>
      </c>
      <c r="AG450" s="4">
        <f t="shared" si="312"/>
        <v>5.1742836177502194E-2</v>
      </c>
      <c r="AH450" s="4">
        <f t="shared" si="312"/>
        <v>3.5319190625345942E-2</v>
      </c>
      <c r="AI450" s="4">
        <f t="shared" si="312"/>
        <v>2.3969442072658165E-2</v>
      </c>
      <c r="AJ450" s="4">
        <f t="shared" si="313"/>
        <v>1.6202243558389728E-2</v>
      </c>
      <c r="AK450" s="4">
        <f t="shared" si="313"/>
        <v>1.0922240564108399E-2</v>
      </c>
      <c r="AL450" s="4">
        <f t="shared" si="313"/>
        <v>7.3493212906090566E-3</v>
      </c>
      <c r="AM450" s="4">
        <f t="shared" si="313"/>
        <v>4.9390262185057265E-3</v>
      </c>
      <c r="AN450" s="4">
        <f t="shared" si="313"/>
        <v>3.3164275492956197E-3</v>
      </c>
      <c r="AO450" s="4">
        <f t="shared" si="313"/>
        <v>2.2256362146679809E-3</v>
      </c>
      <c r="AP450" s="4">
        <f t="shared" si="313"/>
        <v>1.4930448704811861E-3</v>
      </c>
      <c r="AQ450" s="4">
        <f t="shared" si="313"/>
        <v>1.0013381504474506E-3</v>
      </c>
      <c r="AR450" s="4">
        <f t="shared" si="313"/>
        <v>6.7145100246257527E-4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15"/>
        <v>0.9867978615748374</v>
      </c>
      <c r="R451" s="4">
        <f t="shared" si="315"/>
        <v>0.98114509762858249</v>
      </c>
      <c r="S451" s="4">
        <f t="shared" si="315"/>
        <v>0.97311898315872036</v>
      </c>
      <c r="T451" s="4">
        <f t="shared" si="315"/>
        <v>0.96177484161592774</v>
      </c>
      <c r="U451" s="4">
        <f t="shared" si="315"/>
        <v>0.94584787155511363</v>
      </c>
      <c r="V451" s="4">
        <f t="shared" si="315"/>
        <v>0.92370360150141495</v>
      </c>
      <c r="W451" s="4">
        <f t="shared" si="315"/>
        <v>0.89334463567658451</v>
      </c>
      <c r="X451" s="4">
        <f t="shared" si="315"/>
        <v>0.85254543874327005</v>
      </c>
      <c r="Y451" s="4">
        <f t="shared" si="315"/>
        <v>0.79921300652623883</v>
      </c>
      <c r="Z451" s="4">
        <f t="shared" si="315"/>
        <v>0.73204982249993378</v>
      </c>
      <c r="AA451" s="4">
        <f t="shared" si="315"/>
        <v>0.65145592958786691</v>
      </c>
      <c r="AB451" s="4">
        <f t="shared" si="315"/>
        <v>0.56032247880849573</v>
      </c>
      <c r="AC451" s="4">
        <f t="shared" si="315"/>
        <v>0.46411326873185343</v>
      </c>
      <c r="AD451" s="4">
        <f t="shared" si="315"/>
        <v>0.36979727595523937</v>
      </c>
      <c r="AE451" s="4">
        <f t="shared" si="315"/>
        <v>0.28393948637231203</v>
      </c>
      <c r="AF451" s="4">
        <f t="shared" si="315"/>
        <v>0.21097259161117732</v>
      </c>
      <c r="AG451" s="4">
        <f t="shared" si="312"/>
        <v>0.15253917653798199</v>
      </c>
      <c r="AH451" s="4">
        <f t="shared" si="312"/>
        <v>0.10795188737709993</v>
      </c>
      <c r="AI451" s="4">
        <f t="shared" si="312"/>
        <v>7.5176653938091809E-2</v>
      </c>
      <c r="AJ451" s="4">
        <f t="shared" si="313"/>
        <v>5.1742836177502194E-2</v>
      </c>
      <c r="AK451" s="4">
        <f t="shared" si="313"/>
        <v>3.5319190625345942E-2</v>
      </c>
      <c r="AL451" s="4">
        <f t="shared" si="313"/>
        <v>2.3969442072658165E-2</v>
      </c>
      <c r="AM451" s="4">
        <f t="shared" si="313"/>
        <v>1.6202243558389728E-2</v>
      </c>
      <c r="AN451" s="4">
        <f t="shared" si="313"/>
        <v>1.0922240564108399E-2</v>
      </c>
      <c r="AO451" s="4">
        <f t="shared" si="313"/>
        <v>7.3493212906090566E-3</v>
      </c>
      <c r="AP451" s="4">
        <f t="shared" si="313"/>
        <v>4.9390262185057265E-3</v>
      </c>
      <c r="AQ451" s="4">
        <f t="shared" si="313"/>
        <v>3.3164275492956197E-3</v>
      </c>
      <c r="AR451" s="4">
        <f t="shared" si="313"/>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15"/>
        <v>0.9867978615748374</v>
      </c>
      <c r="R452" s="4">
        <f t="shared" si="315"/>
        <v>0.98114509762858249</v>
      </c>
      <c r="S452" s="4">
        <f t="shared" si="315"/>
        <v>0.97311898315872036</v>
      </c>
      <c r="T452" s="4">
        <f t="shared" si="315"/>
        <v>0.96177484161592774</v>
      </c>
      <c r="U452" s="4">
        <f t="shared" si="315"/>
        <v>0.94584787155511363</v>
      </c>
      <c r="V452" s="4">
        <f t="shared" si="315"/>
        <v>0.92370360150141495</v>
      </c>
      <c r="W452" s="4">
        <f t="shared" si="315"/>
        <v>0.89334463567658451</v>
      </c>
      <c r="X452" s="4">
        <f t="shared" si="315"/>
        <v>0.85254543874327005</v>
      </c>
      <c r="Y452" s="4">
        <f t="shared" si="315"/>
        <v>0.79921300652623883</v>
      </c>
      <c r="Z452" s="4">
        <f t="shared" si="315"/>
        <v>0.73204982249993378</v>
      </c>
      <c r="AA452" s="4">
        <f t="shared" si="315"/>
        <v>0.65145592958786691</v>
      </c>
      <c r="AB452" s="4">
        <f t="shared" si="315"/>
        <v>0.56032247880849573</v>
      </c>
      <c r="AC452" s="4">
        <f t="shared" si="315"/>
        <v>0.46411326873185343</v>
      </c>
      <c r="AD452" s="4">
        <f t="shared" si="315"/>
        <v>0.36979727595523937</v>
      </c>
      <c r="AE452" s="4">
        <f t="shared" si="315"/>
        <v>0.28393948637231203</v>
      </c>
      <c r="AF452" s="4">
        <f t="shared" si="315"/>
        <v>0.21097259161117732</v>
      </c>
      <c r="AG452" s="4">
        <f t="shared" si="312"/>
        <v>0.15253917653798199</v>
      </c>
      <c r="AH452" s="4">
        <f t="shared" si="312"/>
        <v>0.10795188737709993</v>
      </c>
      <c r="AI452" s="4">
        <f t="shared" si="312"/>
        <v>7.5176653938091809E-2</v>
      </c>
      <c r="AJ452" s="4">
        <f t="shared" si="313"/>
        <v>5.1742836177502194E-2</v>
      </c>
      <c r="AK452" s="4">
        <f t="shared" si="313"/>
        <v>3.5319190625345942E-2</v>
      </c>
      <c r="AL452" s="4">
        <f t="shared" si="313"/>
        <v>2.3969442072658165E-2</v>
      </c>
      <c r="AM452" s="4">
        <f t="shared" si="313"/>
        <v>1.6202243558389728E-2</v>
      </c>
      <c r="AN452" s="4">
        <f t="shared" si="313"/>
        <v>1.0922240564108399E-2</v>
      </c>
      <c r="AO452" s="4">
        <f t="shared" si="313"/>
        <v>7.3493212906090566E-3</v>
      </c>
      <c r="AP452" s="4">
        <f t="shared" si="313"/>
        <v>4.9390262185057265E-3</v>
      </c>
      <c r="AQ452" s="4">
        <f t="shared" si="313"/>
        <v>3.3164275492956197E-3</v>
      </c>
      <c r="AR452" s="4">
        <f t="shared" si="313"/>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15"/>
        <v>0.9867978615748374</v>
      </c>
      <c r="R453" s="4">
        <f t="shared" si="315"/>
        <v>0.98114509762858249</v>
      </c>
      <c r="S453" s="4">
        <f t="shared" si="315"/>
        <v>0.97311898315872036</v>
      </c>
      <c r="T453" s="4">
        <f t="shared" si="315"/>
        <v>0.96177484161592774</v>
      </c>
      <c r="U453" s="4">
        <f t="shared" si="315"/>
        <v>0.94584787155511363</v>
      </c>
      <c r="V453" s="4">
        <f t="shared" si="315"/>
        <v>0.92370360150141495</v>
      </c>
      <c r="W453" s="4">
        <f t="shared" si="315"/>
        <v>0.89334463567658451</v>
      </c>
      <c r="X453" s="4">
        <f t="shared" si="315"/>
        <v>0.85254543874327005</v>
      </c>
      <c r="Y453" s="4">
        <f t="shared" si="315"/>
        <v>0.79921300652623883</v>
      </c>
      <c r="Z453" s="4">
        <f t="shared" si="315"/>
        <v>0.73204982249993378</v>
      </c>
      <c r="AA453" s="4">
        <f t="shared" si="315"/>
        <v>0.65145592958786691</v>
      </c>
      <c r="AB453" s="4">
        <f t="shared" si="315"/>
        <v>0.56032247880849573</v>
      </c>
      <c r="AC453" s="4">
        <f t="shared" si="315"/>
        <v>0.46411326873185343</v>
      </c>
      <c r="AD453" s="4">
        <f t="shared" si="315"/>
        <v>0.36979727595523937</v>
      </c>
      <c r="AE453" s="4">
        <f t="shared" si="315"/>
        <v>0.28393948637231203</v>
      </c>
      <c r="AF453" s="4">
        <f t="shared" si="315"/>
        <v>0.21097259161117732</v>
      </c>
      <c r="AG453" s="4">
        <f t="shared" si="312"/>
        <v>0.15253917653798199</v>
      </c>
      <c r="AH453" s="4">
        <f t="shared" si="312"/>
        <v>0.10795188737709993</v>
      </c>
      <c r="AI453" s="4">
        <f t="shared" si="312"/>
        <v>7.5176653938091809E-2</v>
      </c>
      <c r="AJ453" s="4">
        <f t="shared" si="313"/>
        <v>5.1742836177502194E-2</v>
      </c>
      <c r="AK453" s="4">
        <f t="shared" si="313"/>
        <v>3.5319190625345942E-2</v>
      </c>
      <c r="AL453" s="4">
        <f t="shared" si="313"/>
        <v>2.3969442072658165E-2</v>
      </c>
      <c r="AM453" s="4">
        <f t="shared" si="313"/>
        <v>1.6202243558389728E-2</v>
      </c>
      <c r="AN453" s="4">
        <f t="shared" si="313"/>
        <v>1.0922240564108399E-2</v>
      </c>
      <c r="AO453" s="4">
        <f t="shared" si="313"/>
        <v>7.3493212906090566E-3</v>
      </c>
      <c r="AP453" s="4">
        <f t="shared" si="313"/>
        <v>4.9390262185057265E-3</v>
      </c>
      <c r="AQ453" s="4">
        <f t="shared" si="313"/>
        <v>3.3164275492956197E-3</v>
      </c>
      <c r="AR453" s="4">
        <f t="shared" si="313"/>
        <v>2.2256362146679809E-3</v>
      </c>
    </row>
    <row r="454" spans="1:44" x14ac:dyDescent="0.25">
      <c r="A454" s="24" t="s">
        <v>73</v>
      </c>
      <c r="B454" s="72">
        <f>'Parameter Input'!$L$107</f>
        <v>0.05</v>
      </c>
      <c r="C454" s="73">
        <f>'Parameter Input'!$M$107</f>
        <v>0.02</v>
      </c>
      <c r="D454" s="1" t="s">
        <v>57</v>
      </c>
      <c r="L454" s="54">
        <f>'Parameter Input'!$O$107</f>
        <v>12</v>
      </c>
      <c r="M454" s="37">
        <v>0</v>
      </c>
      <c r="N454" s="37">
        <v>1</v>
      </c>
      <c r="O454" s="37">
        <f>'Parameter Input'!$P$107</f>
        <v>0.9</v>
      </c>
      <c r="P454" s="55">
        <f>'Parameter Input'!$Q$107</f>
        <v>0.4</v>
      </c>
      <c r="Q454" s="4">
        <f t="shared" si="315"/>
        <v>0.9867978615748374</v>
      </c>
      <c r="R454" s="4">
        <f t="shared" si="315"/>
        <v>0.98114509762858249</v>
      </c>
      <c r="S454" s="4">
        <f t="shared" si="315"/>
        <v>0.97311898315872036</v>
      </c>
      <c r="T454" s="4">
        <f t="shared" si="315"/>
        <v>0.96177484161592774</v>
      </c>
      <c r="U454" s="4">
        <f t="shared" si="315"/>
        <v>0.94584787155511363</v>
      </c>
      <c r="V454" s="4">
        <f t="shared" si="315"/>
        <v>0.92370360150141495</v>
      </c>
      <c r="W454" s="4">
        <f t="shared" si="315"/>
        <v>0.89334463567658451</v>
      </c>
      <c r="X454" s="4">
        <f t="shared" si="315"/>
        <v>0.85254543874327005</v>
      </c>
      <c r="Y454" s="4">
        <f t="shared" si="315"/>
        <v>0.79921300652623883</v>
      </c>
      <c r="Z454" s="4">
        <f t="shared" si="315"/>
        <v>0.73204982249993378</v>
      </c>
      <c r="AA454" s="4">
        <f t="shared" si="315"/>
        <v>0.65145592958786691</v>
      </c>
      <c r="AB454" s="4">
        <f t="shared" si="315"/>
        <v>0.56032247880849573</v>
      </c>
      <c r="AC454" s="4">
        <f t="shared" si="315"/>
        <v>0.46411326873185343</v>
      </c>
      <c r="AD454" s="4">
        <f t="shared" si="315"/>
        <v>0.36979727595523937</v>
      </c>
      <c r="AE454" s="4">
        <f t="shared" si="315"/>
        <v>0.28393948637231203</v>
      </c>
      <c r="AF454" s="4">
        <f t="shared" si="315"/>
        <v>0.21097259161117732</v>
      </c>
      <c r="AG454" s="4">
        <f t="shared" si="312"/>
        <v>0.15253917653798199</v>
      </c>
      <c r="AH454" s="4">
        <f t="shared" si="312"/>
        <v>0.10795188737709993</v>
      </c>
      <c r="AI454" s="4">
        <f t="shared" si="312"/>
        <v>7.5176653938091809E-2</v>
      </c>
      <c r="AJ454" s="4">
        <f t="shared" si="313"/>
        <v>5.1742836177502194E-2</v>
      </c>
      <c r="AK454" s="4">
        <f t="shared" si="313"/>
        <v>3.5319190625345942E-2</v>
      </c>
      <c r="AL454" s="4">
        <f t="shared" si="313"/>
        <v>2.3969442072658165E-2</v>
      </c>
      <c r="AM454" s="4">
        <f t="shared" si="313"/>
        <v>1.6202243558389728E-2</v>
      </c>
      <c r="AN454" s="4">
        <f t="shared" si="313"/>
        <v>1.0922240564108399E-2</v>
      </c>
      <c r="AO454" s="4">
        <f t="shared" si="313"/>
        <v>7.3493212906090566E-3</v>
      </c>
      <c r="AP454" s="4">
        <f t="shared" si="313"/>
        <v>4.9390262185057265E-3</v>
      </c>
      <c r="AQ454" s="4">
        <f t="shared" si="313"/>
        <v>3.3164275492956197E-3</v>
      </c>
      <c r="AR454" s="4">
        <f t="shared" si="313"/>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15"/>
        <v>0.9867978615748374</v>
      </c>
      <c r="R455" s="4">
        <f t="shared" si="315"/>
        <v>0.98114509762858249</v>
      </c>
      <c r="S455" s="4">
        <f t="shared" si="315"/>
        <v>0.97311898315872036</v>
      </c>
      <c r="T455" s="4">
        <f t="shared" si="315"/>
        <v>0.96177484161592774</v>
      </c>
      <c r="U455" s="4">
        <f t="shared" si="315"/>
        <v>0.94584787155511363</v>
      </c>
      <c r="V455" s="4">
        <f t="shared" si="315"/>
        <v>0.92370360150141495</v>
      </c>
      <c r="W455" s="4">
        <f t="shared" si="315"/>
        <v>0.89334463567658451</v>
      </c>
      <c r="X455" s="4">
        <f t="shared" si="315"/>
        <v>0.85254543874327005</v>
      </c>
      <c r="Y455" s="4">
        <f t="shared" si="315"/>
        <v>0.79921300652623883</v>
      </c>
      <c r="Z455" s="4">
        <f t="shared" si="315"/>
        <v>0.73204982249993378</v>
      </c>
      <c r="AA455" s="4">
        <f t="shared" si="315"/>
        <v>0.65145592958786691</v>
      </c>
      <c r="AB455" s="4">
        <f t="shared" si="315"/>
        <v>0.56032247880849573</v>
      </c>
      <c r="AC455" s="4">
        <f t="shared" si="315"/>
        <v>0.46411326873185343</v>
      </c>
      <c r="AD455" s="4">
        <f t="shared" si="315"/>
        <v>0.36979727595523937</v>
      </c>
      <c r="AE455" s="4">
        <f t="shared" si="315"/>
        <v>0.28393948637231203</v>
      </c>
      <c r="AF455" s="4">
        <f t="shared" si="315"/>
        <v>0.21097259161117732</v>
      </c>
      <c r="AG455" s="4">
        <f t="shared" si="312"/>
        <v>0.15253917653798199</v>
      </c>
      <c r="AH455" s="4">
        <f t="shared" si="312"/>
        <v>0.10795188737709993</v>
      </c>
      <c r="AI455" s="4">
        <f t="shared" si="312"/>
        <v>7.5176653938091809E-2</v>
      </c>
      <c r="AJ455" s="4">
        <f t="shared" si="313"/>
        <v>5.1742836177502194E-2</v>
      </c>
      <c r="AK455" s="4">
        <f t="shared" si="313"/>
        <v>3.5319190625345942E-2</v>
      </c>
      <c r="AL455" s="4">
        <f t="shared" si="313"/>
        <v>2.3969442072658165E-2</v>
      </c>
      <c r="AM455" s="4">
        <f t="shared" si="313"/>
        <v>1.6202243558389728E-2</v>
      </c>
      <c r="AN455" s="4">
        <f t="shared" si="313"/>
        <v>1.0922240564108399E-2</v>
      </c>
      <c r="AO455" s="4">
        <f t="shared" si="313"/>
        <v>7.3493212906090566E-3</v>
      </c>
      <c r="AP455" s="4">
        <f t="shared" si="313"/>
        <v>4.9390262185057265E-3</v>
      </c>
      <c r="AQ455" s="4">
        <f t="shared" si="313"/>
        <v>3.3164275492956197E-3</v>
      </c>
      <c r="AR455" s="4">
        <f t="shared" si="31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6">A439</f>
        <v>Capex vehicle</v>
      </c>
      <c r="B459" s="62">
        <f t="shared" ref="B459:B467" si="317">$B439+($C439-$B439)*(1-Q439)</f>
        <v>381017.08777974301</v>
      </c>
      <c r="C459" s="62">
        <f t="shared" ref="C459:C467" si="318">$B439+($C439-$B439)*(1-R439)</f>
        <v>377274.24981545168</v>
      </c>
      <c r="D459" s="62">
        <f t="shared" ref="D459:D467" si="319">$B439+($C439-$B439)*(1-S439)</f>
        <v>372070.34635283251</v>
      </c>
      <c r="E459" s="62">
        <f t="shared" ref="E459:E467" si="320">$B439+($C439-$B439)*(1-T439)</f>
        <v>364935.98938399734</v>
      </c>
      <c r="F459" s="62">
        <f t="shared" ref="F459:F467" si="321">$B439+($C439-$B439)*(1-U439)</f>
        <v>355348.17810466845</v>
      </c>
      <c r="G459" s="62">
        <f t="shared" ref="G459:G467" si="322">$B439+($C439-$B439)*(1-V439)</f>
        <v>342815.05653366609</v>
      </c>
      <c r="H459" s="62">
        <f t="shared" ref="H459:H467" si="323">$B439+($C439-$B439)*(1-W439)</f>
        <v>327031.70828748442</v>
      </c>
      <c r="I459" s="62">
        <f t="shared" ref="I459:I467" si="324">$B439+($C439-$B439)*(1-X439)</f>
        <v>308092.14345314872</v>
      </c>
      <c r="J459" s="62">
        <f t="shared" ref="J459:J467" si="325">$B439+($C439-$B439)*(1-Y439)</f>
        <v>286675.78251999652</v>
      </c>
      <c r="K459" s="62">
        <f t="shared" ref="K459:K467" si="326">$B439+($C439-$B439)*(1-Z439)</f>
        <v>264066.61815198557</v>
      </c>
      <c r="L459" s="62">
        <f t="shared" ref="L459:L467" si="327">$B439+($C439-$B439)*(1-AA439)</f>
        <v>241902.35984948126</v>
      </c>
      <c r="M459" s="62">
        <f t="shared" ref="M459:M467" si="328">$B439+($C439-$B439)*(1-AB439)</f>
        <v>221725.77929749334</v>
      </c>
      <c r="N459" s="62">
        <f t="shared" ref="N459:N467" si="329">$B439+($C439-$B439)*(1-AC439)</f>
        <v>204578.55902862668</v>
      </c>
      <c r="O459" s="62">
        <f t="shared" ref="O459:O467" si="330">$B439+($C439-$B439)*(1-AD439)</f>
        <v>190846.70648642577</v>
      </c>
      <c r="P459" s="62">
        <f t="shared" ref="P459:P467" si="331">$B439+($C439-$B439)*(1-AE439)</f>
        <v>180368.6935336185</v>
      </c>
      <c r="Q459" s="62">
        <f t="shared" ref="Q459:Q467" si="332">$B439+($C439-$B439)*(1-AF439)</f>
        <v>172666.51367545157</v>
      </c>
      <c r="R459" s="62">
        <f t="shared" ref="R459:R467" si="333">$B439+($C439-$B439)*(1-AG439)</f>
        <v>167159.56650171301</v>
      </c>
      <c r="S459" s="62">
        <f t="shared" ref="S459:S467" si="334">$B439+($C439-$B439)*(1-AH439)</f>
        <v>163300.00979695629</v>
      </c>
      <c r="T459" s="62">
        <f t="shared" ref="T459:T467" si="335">$B439+($C439-$B439)*(1-AI439)</f>
        <v>160632.81888707468</v>
      </c>
      <c r="U459" s="62">
        <f t="shared" ref="U459:U467" si="336">$B439+($C439-$B439)*(1-AJ439)</f>
        <v>158807.52723622159</v>
      </c>
      <c r="V459" s="62">
        <f t="shared" ref="V459:V467" si="337">$B439+($C439-$B439)*(1-AK439)</f>
        <v>157566.72653256549</v>
      </c>
      <c r="W459" s="62">
        <f t="shared" ref="W459:W467" si="338">$B439+($C439-$B439)*(1-AL439)</f>
        <v>156727.09050329312</v>
      </c>
      <c r="X459" s="62">
        <f t="shared" ref="X459:X467" si="339">$B439+($C439-$B439)*(1-AM439)</f>
        <v>156160.67116134884</v>
      </c>
      <c r="Y459" s="62">
        <f t="shared" ref="Y459:Y467" si="340">$B439+($C439-$B439)*(1-AN439)</f>
        <v>155779.36047408447</v>
      </c>
      <c r="Z459" s="62">
        <f t="shared" ref="Z459:Z467" si="341">$B439+($C439-$B439)*(1-AO439)</f>
        <v>155523.02451044696</v>
      </c>
      <c r="AA459" s="62">
        <f t="shared" ref="AA459:AA467" si="342">$B439+($C439-$B439)*(1-AP439)</f>
        <v>155350.86554456307</v>
      </c>
      <c r="AB459" s="62">
        <f t="shared" ref="AB459:AB467" si="343">$B439+($C439-$B439)*(1-AQ439)</f>
        <v>155235.31446535516</v>
      </c>
      <c r="AC459" s="62">
        <f t="shared" ref="AC459:AC467" si="344">$B439+($C439-$B439)*(1-AR439)</f>
        <v>155157.7909855787</v>
      </c>
    </row>
    <row r="460" spans="1:44" x14ac:dyDescent="0.25">
      <c r="A460" s="30" t="str">
        <f t="shared" si="316"/>
        <v>Residual value (vehicle)</v>
      </c>
      <c r="B460" s="62">
        <f t="shared" si="317"/>
        <v>-57745.053121914571</v>
      </c>
      <c r="C460" s="62">
        <f t="shared" si="318"/>
        <v>-57430.49546321349</v>
      </c>
      <c r="D460" s="62">
        <f t="shared" si="319"/>
        <v>-56993.146129652945</v>
      </c>
      <c r="E460" s="62">
        <f t="shared" si="320"/>
        <v>-56393.556554612544</v>
      </c>
      <c r="F460" s="62">
        <f t="shared" si="321"/>
        <v>-55587.772415179585</v>
      </c>
      <c r="G460" s="62">
        <f t="shared" si="322"/>
        <v>-54534.456878893216</v>
      </c>
      <c r="H460" s="62">
        <f t="shared" si="323"/>
        <v>-53207.983994373695</v>
      </c>
      <c r="I460" s="62">
        <f t="shared" si="324"/>
        <v>-51616.254609360374</v>
      </c>
      <c r="J460" s="62">
        <f t="shared" si="325"/>
        <v>-49816.368956467792</v>
      </c>
      <c r="K460" s="62">
        <f t="shared" si="326"/>
        <v>-47916.237057454106</v>
      </c>
      <c r="L460" s="62">
        <f t="shared" si="327"/>
        <v>-46053.49620011598</v>
      </c>
      <c r="M460" s="62">
        <f t="shared" si="328"/>
        <v>-44357.804855853159</v>
      </c>
      <c r="N460" s="62">
        <f t="shared" si="329"/>
        <v>-42916.708684320751</v>
      </c>
      <c r="O460" s="62">
        <f t="shared" si="330"/>
        <v>-41762.648736625146</v>
      </c>
      <c r="P460" s="62">
        <f t="shared" si="331"/>
        <v>-40882.049775697727</v>
      </c>
      <c r="Q460" s="62">
        <f t="shared" si="332"/>
        <v>-40234.73891527731</v>
      </c>
      <c r="R460" s="62">
        <f t="shared" si="333"/>
        <v>-39771.921014505671</v>
      </c>
      <c r="S460" s="62">
        <f t="shared" si="334"/>
        <v>-39447.554014850582</v>
      </c>
      <c r="T460" s="62">
        <f t="shared" si="335"/>
        <v>-39223.396480935</v>
      </c>
      <c r="U460" s="62">
        <f t="shared" si="336"/>
        <v>-39069.994310278198</v>
      </c>
      <c r="V460" s="62">
        <f t="shared" si="337"/>
        <v>-38965.714251141137</v>
      </c>
      <c r="W460" s="62">
        <f t="shared" si="338"/>
        <v>-38895.149095489527</v>
      </c>
      <c r="X460" s="62">
        <f t="shared" si="339"/>
        <v>-38847.545767815493</v>
      </c>
      <c r="Y460" s="62">
        <f t="shared" si="340"/>
        <v>-38815.49944409859</v>
      </c>
      <c r="Z460" s="62">
        <f t="shared" si="341"/>
        <v>-38793.956315239688</v>
      </c>
      <c r="AA460" s="62">
        <f t="shared" si="342"/>
        <v>-38779.487636192003</v>
      </c>
      <c r="AB460" s="62">
        <f t="shared" si="343"/>
        <v>-38769.776428471334</v>
      </c>
      <c r="AC460" s="62">
        <f t="shared" si="344"/>
        <v>-38763.261157298635</v>
      </c>
    </row>
    <row r="461" spans="1:44" x14ac:dyDescent="0.25">
      <c r="A461" s="30" t="str">
        <f t="shared" si="316"/>
        <v>Capex costumization</v>
      </c>
      <c r="B461" s="62">
        <f t="shared" si="317"/>
        <v>35000</v>
      </c>
      <c r="C461" s="62">
        <f t="shared" si="318"/>
        <v>35000</v>
      </c>
      <c r="D461" s="62">
        <f t="shared" si="319"/>
        <v>35000</v>
      </c>
      <c r="E461" s="62">
        <f t="shared" si="320"/>
        <v>35000</v>
      </c>
      <c r="F461" s="62">
        <f t="shared" si="321"/>
        <v>35000</v>
      </c>
      <c r="G461" s="62">
        <f t="shared" si="322"/>
        <v>35000</v>
      </c>
      <c r="H461" s="62">
        <f t="shared" si="323"/>
        <v>35000</v>
      </c>
      <c r="I461" s="62">
        <f t="shared" si="324"/>
        <v>35000</v>
      </c>
      <c r="J461" s="62">
        <f t="shared" si="325"/>
        <v>35000</v>
      </c>
      <c r="K461" s="62">
        <f t="shared" si="326"/>
        <v>35000</v>
      </c>
      <c r="L461" s="62">
        <f t="shared" si="327"/>
        <v>35000</v>
      </c>
      <c r="M461" s="62">
        <f t="shared" si="328"/>
        <v>35000</v>
      </c>
      <c r="N461" s="62">
        <f t="shared" si="329"/>
        <v>35000</v>
      </c>
      <c r="O461" s="62">
        <f t="shared" si="330"/>
        <v>35000</v>
      </c>
      <c r="P461" s="62">
        <f t="shared" si="331"/>
        <v>35000</v>
      </c>
      <c r="Q461" s="62">
        <f t="shared" si="332"/>
        <v>35000</v>
      </c>
      <c r="R461" s="62">
        <f t="shared" si="333"/>
        <v>35000</v>
      </c>
      <c r="S461" s="62">
        <f t="shared" si="334"/>
        <v>35000</v>
      </c>
      <c r="T461" s="62">
        <f t="shared" si="335"/>
        <v>35000</v>
      </c>
      <c r="U461" s="62">
        <f t="shared" si="336"/>
        <v>35000</v>
      </c>
      <c r="V461" s="62">
        <f t="shared" si="337"/>
        <v>35000</v>
      </c>
      <c r="W461" s="62">
        <f t="shared" si="338"/>
        <v>35000</v>
      </c>
      <c r="X461" s="62">
        <f t="shared" si="339"/>
        <v>35000</v>
      </c>
      <c r="Y461" s="62">
        <f t="shared" si="340"/>
        <v>35000</v>
      </c>
      <c r="Z461" s="62">
        <f t="shared" si="341"/>
        <v>35000</v>
      </c>
      <c r="AA461" s="62">
        <f t="shared" si="342"/>
        <v>35000</v>
      </c>
      <c r="AB461" s="62">
        <f t="shared" si="343"/>
        <v>35000</v>
      </c>
      <c r="AC461" s="62">
        <f t="shared" si="344"/>
        <v>35000</v>
      </c>
    </row>
    <row r="462" spans="1:44" x14ac:dyDescent="0.25">
      <c r="A462" s="30" t="str">
        <f t="shared" si="316"/>
        <v>Residual value (costumization)</v>
      </c>
      <c r="B462" s="62">
        <f t="shared" si="317"/>
        <v>-8750</v>
      </c>
      <c r="C462" s="62">
        <f t="shared" si="318"/>
        <v>-8750</v>
      </c>
      <c r="D462" s="62">
        <f t="shared" si="319"/>
        <v>-8750</v>
      </c>
      <c r="E462" s="62">
        <f t="shared" si="320"/>
        <v>-8750</v>
      </c>
      <c r="F462" s="62">
        <f t="shared" si="321"/>
        <v>-8750</v>
      </c>
      <c r="G462" s="62">
        <f t="shared" si="322"/>
        <v>-8750</v>
      </c>
      <c r="H462" s="62">
        <f t="shared" si="323"/>
        <v>-8750</v>
      </c>
      <c r="I462" s="62">
        <f t="shared" si="324"/>
        <v>-8750</v>
      </c>
      <c r="J462" s="62">
        <f t="shared" si="325"/>
        <v>-8750</v>
      </c>
      <c r="K462" s="62">
        <f t="shared" si="326"/>
        <v>-8750</v>
      </c>
      <c r="L462" s="62">
        <f t="shared" si="327"/>
        <v>-8750</v>
      </c>
      <c r="M462" s="62">
        <f t="shared" si="328"/>
        <v>-8750</v>
      </c>
      <c r="N462" s="62">
        <f t="shared" si="329"/>
        <v>-8750</v>
      </c>
      <c r="O462" s="62">
        <f t="shared" si="330"/>
        <v>-8750</v>
      </c>
      <c r="P462" s="62">
        <f t="shared" si="331"/>
        <v>-8750</v>
      </c>
      <c r="Q462" s="62">
        <f t="shared" si="332"/>
        <v>-8750</v>
      </c>
      <c r="R462" s="62">
        <f t="shared" si="333"/>
        <v>-8750</v>
      </c>
      <c r="S462" s="62">
        <f t="shared" si="334"/>
        <v>-8750</v>
      </c>
      <c r="T462" s="62">
        <f t="shared" si="335"/>
        <v>-8750</v>
      </c>
      <c r="U462" s="62">
        <f t="shared" si="336"/>
        <v>-8750</v>
      </c>
      <c r="V462" s="62">
        <f t="shared" si="337"/>
        <v>-8750</v>
      </c>
      <c r="W462" s="62">
        <f t="shared" si="338"/>
        <v>-8750</v>
      </c>
      <c r="X462" s="62">
        <f t="shared" si="339"/>
        <v>-8750</v>
      </c>
      <c r="Y462" s="62">
        <f t="shared" si="340"/>
        <v>-8750</v>
      </c>
      <c r="Z462" s="62">
        <f t="shared" si="341"/>
        <v>-8750</v>
      </c>
      <c r="AA462" s="62">
        <f t="shared" si="342"/>
        <v>-8750</v>
      </c>
      <c r="AB462" s="62">
        <f t="shared" si="343"/>
        <v>-8750</v>
      </c>
      <c r="AC462" s="62">
        <f t="shared" si="344"/>
        <v>-8750</v>
      </c>
    </row>
    <row r="463" spans="1:44" x14ac:dyDescent="0.25">
      <c r="A463" s="30" t="str">
        <f t="shared" si="316"/>
        <v>WACC</v>
      </c>
      <c r="B463" s="62">
        <f t="shared" si="317"/>
        <v>0.06</v>
      </c>
      <c r="C463" s="62">
        <f t="shared" si="318"/>
        <v>0.06</v>
      </c>
      <c r="D463" s="62">
        <f t="shared" si="319"/>
        <v>0.06</v>
      </c>
      <c r="E463" s="62">
        <f t="shared" si="320"/>
        <v>0.06</v>
      </c>
      <c r="F463" s="62">
        <f t="shared" si="321"/>
        <v>0.06</v>
      </c>
      <c r="G463" s="62">
        <f t="shared" si="322"/>
        <v>0.06</v>
      </c>
      <c r="H463" s="62">
        <f t="shared" si="323"/>
        <v>0.06</v>
      </c>
      <c r="I463" s="62">
        <f t="shared" si="324"/>
        <v>0.06</v>
      </c>
      <c r="J463" s="62">
        <f t="shared" si="325"/>
        <v>0.06</v>
      </c>
      <c r="K463" s="62">
        <f t="shared" si="326"/>
        <v>0.06</v>
      </c>
      <c r="L463" s="62">
        <f t="shared" si="327"/>
        <v>0.06</v>
      </c>
      <c r="M463" s="62">
        <f t="shared" si="328"/>
        <v>0.06</v>
      </c>
      <c r="N463" s="62">
        <f t="shared" si="329"/>
        <v>0.06</v>
      </c>
      <c r="O463" s="62">
        <f t="shared" si="330"/>
        <v>0.06</v>
      </c>
      <c r="P463" s="62">
        <f t="shared" si="331"/>
        <v>0.06</v>
      </c>
      <c r="Q463" s="62">
        <f t="shared" si="332"/>
        <v>0.06</v>
      </c>
      <c r="R463" s="62">
        <f t="shared" si="333"/>
        <v>0.06</v>
      </c>
      <c r="S463" s="62">
        <f t="shared" si="334"/>
        <v>0.06</v>
      </c>
      <c r="T463" s="62">
        <f t="shared" si="335"/>
        <v>0.06</v>
      </c>
      <c r="U463" s="62">
        <f t="shared" si="336"/>
        <v>0.06</v>
      </c>
      <c r="V463" s="62">
        <f t="shared" si="337"/>
        <v>0.06</v>
      </c>
      <c r="W463" s="62">
        <f t="shared" si="338"/>
        <v>0.06</v>
      </c>
      <c r="X463" s="62">
        <f t="shared" si="339"/>
        <v>0.06</v>
      </c>
      <c r="Y463" s="62">
        <f t="shared" si="340"/>
        <v>0.06</v>
      </c>
      <c r="Z463" s="62">
        <f t="shared" si="341"/>
        <v>0.06</v>
      </c>
      <c r="AA463" s="62">
        <f t="shared" si="342"/>
        <v>0.06</v>
      </c>
      <c r="AB463" s="62">
        <f t="shared" si="343"/>
        <v>0.06</v>
      </c>
      <c r="AC463" s="62">
        <f t="shared" si="344"/>
        <v>0.06</v>
      </c>
    </row>
    <row r="464" spans="1:44" x14ac:dyDescent="0.25">
      <c r="A464" s="30" t="str">
        <f t="shared" si="316"/>
        <v>Opex fix (admin, crew, insurance)</v>
      </c>
      <c r="B464" s="62">
        <f t="shared" si="317"/>
        <v>70000</v>
      </c>
      <c r="C464" s="62">
        <f t="shared" si="318"/>
        <v>70000</v>
      </c>
      <c r="D464" s="62">
        <f t="shared" si="319"/>
        <v>70000</v>
      </c>
      <c r="E464" s="62">
        <f t="shared" si="320"/>
        <v>70000</v>
      </c>
      <c r="F464" s="62">
        <f t="shared" si="321"/>
        <v>70000</v>
      </c>
      <c r="G464" s="62">
        <f t="shared" si="322"/>
        <v>70000</v>
      </c>
      <c r="H464" s="62">
        <f t="shared" si="323"/>
        <v>70000</v>
      </c>
      <c r="I464" s="62">
        <f t="shared" si="324"/>
        <v>70000</v>
      </c>
      <c r="J464" s="62">
        <f t="shared" si="325"/>
        <v>70000</v>
      </c>
      <c r="K464" s="62">
        <f t="shared" si="326"/>
        <v>70000</v>
      </c>
      <c r="L464" s="62">
        <f t="shared" si="327"/>
        <v>70000</v>
      </c>
      <c r="M464" s="62">
        <f t="shared" si="328"/>
        <v>70000</v>
      </c>
      <c r="N464" s="62">
        <f t="shared" si="329"/>
        <v>70000</v>
      </c>
      <c r="O464" s="62">
        <f t="shared" si="330"/>
        <v>70000</v>
      </c>
      <c r="P464" s="62">
        <f t="shared" si="331"/>
        <v>70000</v>
      </c>
      <c r="Q464" s="62">
        <f t="shared" si="332"/>
        <v>70000</v>
      </c>
      <c r="R464" s="62">
        <f t="shared" si="333"/>
        <v>70000</v>
      </c>
      <c r="S464" s="62">
        <f t="shared" si="334"/>
        <v>70000</v>
      </c>
      <c r="T464" s="62">
        <f t="shared" si="335"/>
        <v>70000</v>
      </c>
      <c r="U464" s="62">
        <f t="shared" si="336"/>
        <v>70000</v>
      </c>
      <c r="V464" s="62">
        <f t="shared" si="337"/>
        <v>70000</v>
      </c>
      <c r="W464" s="62">
        <f t="shared" si="338"/>
        <v>70000</v>
      </c>
      <c r="X464" s="62">
        <f t="shared" si="339"/>
        <v>70000</v>
      </c>
      <c r="Y464" s="62">
        <f t="shared" si="340"/>
        <v>70000</v>
      </c>
      <c r="Z464" s="62">
        <f t="shared" si="341"/>
        <v>70000</v>
      </c>
      <c r="AA464" s="62">
        <f t="shared" si="342"/>
        <v>70000</v>
      </c>
      <c r="AB464" s="62">
        <f t="shared" si="343"/>
        <v>70000</v>
      </c>
      <c r="AC464" s="62">
        <f t="shared" si="344"/>
        <v>70000</v>
      </c>
    </row>
    <row r="465" spans="1:29" x14ac:dyDescent="0.25">
      <c r="A465" s="30" t="str">
        <f t="shared" si="316"/>
        <v>Opex maintenance &amp; repair</v>
      </c>
      <c r="B465" s="62">
        <f t="shared" si="317"/>
        <v>25694.198732927423</v>
      </c>
      <c r="C465" s="62">
        <f t="shared" si="318"/>
        <v>25566.782972440909</v>
      </c>
      <c r="D465" s="62">
        <f t="shared" si="319"/>
        <v>25389.62881201132</v>
      </c>
      <c r="E465" s="62">
        <f t="shared" si="320"/>
        <v>25146.757085412675</v>
      </c>
      <c r="F465" s="62">
        <f t="shared" si="321"/>
        <v>24820.363509946161</v>
      </c>
      <c r="G465" s="62">
        <f t="shared" si="322"/>
        <v>24393.704052209912</v>
      </c>
      <c r="H465" s="62">
        <f t="shared" si="323"/>
        <v>23856.39857999947</v>
      </c>
      <c r="I465" s="62">
        <f t="shared" si="324"/>
        <v>23211.647436702937</v>
      </c>
      <c r="J465" s="62">
        <f t="shared" si="325"/>
        <v>22482.579830467967</v>
      </c>
      <c r="K465" s="62">
        <f t="shared" si="326"/>
        <v>21712.906149854825</v>
      </c>
      <c r="L465" s="62">
        <f t="shared" si="327"/>
        <v>20958.378207641916</v>
      </c>
      <c r="M465" s="62">
        <f t="shared" si="328"/>
        <v>20271.515890978495</v>
      </c>
      <c r="N465" s="62">
        <f t="shared" si="329"/>
        <v>19687.78073288942</v>
      </c>
      <c r="O465" s="62">
        <f t="shared" si="330"/>
        <v>19220.313412303854</v>
      </c>
      <c r="P465" s="62">
        <f t="shared" si="331"/>
        <v>18863.615099016799</v>
      </c>
      <c r="Q465" s="62">
        <f t="shared" si="332"/>
        <v>18601.413231504735</v>
      </c>
      <c r="R465" s="62">
        <f t="shared" si="333"/>
        <v>18413.942689420019</v>
      </c>
      <c r="S465" s="62">
        <f t="shared" si="334"/>
        <v>18282.553525002768</v>
      </c>
      <c r="T465" s="62">
        <f t="shared" si="335"/>
        <v>18191.755536581266</v>
      </c>
      <c r="U465" s="62">
        <f t="shared" si="336"/>
        <v>18129.617948467116</v>
      </c>
      <c r="V465" s="62">
        <f t="shared" si="337"/>
        <v>18087.377924512868</v>
      </c>
      <c r="W465" s="62">
        <f t="shared" si="338"/>
        <v>18058.794570324873</v>
      </c>
      <c r="X465" s="62">
        <f t="shared" si="339"/>
        <v>18039.512209748045</v>
      </c>
      <c r="Y465" s="62">
        <f t="shared" si="340"/>
        <v>18026.531420394364</v>
      </c>
      <c r="Z465" s="62">
        <f t="shared" si="341"/>
        <v>18017.805089717345</v>
      </c>
      <c r="AA465" s="62">
        <f t="shared" si="342"/>
        <v>18011.94435896385</v>
      </c>
      <c r="AB465" s="62">
        <f t="shared" si="343"/>
        <v>18008.010705203578</v>
      </c>
      <c r="AC465" s="62">
        <f t="shared" si="344"/>
        <v>18005.371608019701</v>
      </c>
    </row>
    <row r="466" spans="1:29" x14ac:dyDescent="0.25">
      <c r="A466" s="30" t="str">
        <f t="shared" si="316"/>
        <v>Opex var (mode-fees)</v>
      </c>
      <c r="B466" s="62">
        <f t="shared" si="317"/>
        <v>0.11</v>
      </c>
      <c r="C466" s="62">
        <f t="shared" si="318"/>
        <v>0.11</v>
      </c>
      <c r="D466" s="62">
        <f t="shared" si="319"/>
        <v>0.11</v>
      </c>
      <c r="E466" s="62">
        <f t="shared" si="320"/>
        <v>0.11</v>
      </c>
      <c r="F466" s="62">
        <f t="shared" si="321"/>
        <v>0.11</v>
      </c>
      <c r="G466" s="62">
        <f t="shared" si="322"/>
        <v>0.11</v>
      </c>
      <c r="H466" s="62">
        <f t="shared" si="323"/>
        <v>0.11</v>
      </c>
      <c r="I466" s="62">
        <f t="shared" si="324"/>
        <v>0.11</v>
      </c>
      <c r="J466" s="62">
        <f t="shared" si="325"/>
        <v>0.11</v>
      </c>
      <c r="K466" s="62">
        <f t="shared" si="326"/>
        <v>0.11</v>
      </c>
      <c r="L466" s="62">
        <f t="shared" si="327"/>
        <v>0.11</v>
      </c>
      <c r="M466" s="62">
        <f t="shared" si="328"/>
        <v>0.11</v>
      </c>
      <c r="N466" s="62">
        <f t="shared" si="329"/>
        <v>0.11</v>
      </c>
      <c r="O466" s="62">
        <f t="shared" si="330"/>
        <v>0.11</v>
      </c>
      <c r="P466" s="62">
        <f t="shared" si="331"/>
        <v>0.11</v>
      </c>
      <c r="Q466" s="62">
        <f t="shared" si="332"/>
        <v>0.11</v>
      </c>
      <c r="R466" s="62">
        <f t="shared" si="333"/>
        <v>0.11</v>
      </c>
      <c r="S466" s="62">
        <f t="shared" si="334"/>
        <v>0.11</v>
      </c>
      <c r="T466" s="62">
        <f t="shared" si="335"/>
        <v>0.11</v>
      </c>
      <c r="U466" s="62">
        <f t="shared" si="336"/>
        <v>0.11</v>
      </c>
      <c r="V466" s="62">
        <f t="shared" si="337"/>
        <v>0.11</v>
      </c>
      <c r="W466" s="62">
        <f t="shared" si="338"/>
        <v>0.11</v>
      </c>
      <c r="X466" s="62">
        <f t="shared" si="339"/>
        <v>0.11</v>
      </c>
      <c r="Y466" s="62">
        <f t="shared" si="340"/>
        <v>0.11</v>
      </c>
      <c r="Z466" s="62">
        <f t="shared" si="341"/>
        <v>0.11</v>
      </c>
      <c r="AA466" s="62">
        <f t="shared" si="342"/>
        <v>0.11</v>
      </c>
      <c r="AB466" s="62">
        <f t="shared" si="343"/>
        <v>0.11</v>
      </c>
      <c r="AC466" s="62">
        <f t="shared" si="344"/>
        <v>0.11</v>
      </c>
    </row>
    <row r="467" spans="1:29" x14ac:dyDescent="0.25">
      <c r="A467" s="30" t="str">
        <f t="shared" si="316"/>
        <v>Fuel Economy</v>
      </c>
      <c r="B467" s="62">
        <f t="shared" si="317"/>
        <v>2.5017133827957863</v>
      </c>
      <c r="C467" s="62">
        <f t="shared" si="318"/>
        <v>2.4899274249507841</v>
      </c>
      <c r="D467" s="62">
        <f t="shared" si="319"/>
        <v>2.473540665111047</v>
      </c>
      <c r="E467" s="62">
        <f t="shared" si="320"/>
        <v>2.4510750304006725</v>
      </c>
      <c r="F467" s="62">
        <f t="shared" si="321"/>
        <v>2.4208836246700196</v>
      </c>
      <c r="G467" s="62">
        <f t="shared" si="322"/>
        <v>2.3814176248294165</v>
      </c>
      <c r="H467" s="62">
        <f t="shared" si="323"/>
        <v>2.3317168686499508</v>
      </c>
      <c r="I467" s="62">
        <f t="shared" si="324"/>
        <v>2.2720773878950213</v>
      </c>
      <c r="J467" s="62">
        <f t="shared" si="325"/>
        <v>2.2046386343182869</v>
      </c>
      <c r="K467" s="62">
        <f t="shared" si="326"/>
        <v>2.1334438188615716</v>
      </c>
      <c r="L467" s="62">
        <f t="shared" si="327"/>
        <v>2.0636499842068772</v>
      </c>
      <c r="M467" s="62">
        <f t="shared" si="328"/>
        <v>2.0001152199155108</v>
      </c>
      <c r="N467" s="62">
        <f t="shared" si="329"/>
        <v>1.9461197177922713</v>
      </c>
      <c r="O467" s="62">
        <f t="shared" si="330"/>
        <v>1.9028789906381067</v>
      </c>
      <c r="P467" s="62">
        <f t="shared" si="331"/>
        <v>1.8698843966590539</v>
      </c>
      <c r="Q467" s="62">
        <f t="shared" si="332"/>
        <v>1.845630723914188</v>
      </c>
      <c r="R467" s="62">
        <f t="shared" si="333"/>
        <v>1.8282896987713517</v>
      </c>
      <c r="S467" s="62">
        <f t="shared" si="334"/>
        <v>1.816136201062756</v>
      </c>
      <c r="T467" s="62">
        <f t="shared" si="335"/>
        <v>1.8077373871337672</v>
      </c>
      <c r="U467" s="62">
        <f t="shared" si="336"/>
        <v>1.8019896602332084</v>
      </c>
      <c r="V467" s="62">
        <f t="shared" si="337"/>
        <v>1.7980824580174404</v>
      </c>
      <c r="W467" s="62">
        <f t="shared" si="338"/>
        <v>1.7954384977550508</v>
      </c>
      <c r="X467" s="62">
        <f t="shared" si="339"/>
        <v>1.7936548794016942</v>
      </c>
      <c r="Y467" s="62">
        <f t="shared" si="340"/>
        <v>1.7924541563864786</v>
      </c>
      <c r="Z467" s="62">
        <f t="shared" si="341"/>
        <v>1.7916469707988543</v>
      </c>
      <c r="AA467" s="62">
        <f t="shared" si="342"/>
        <v>1.791104853204156</v>
      </c>
      <c r="AB467" s="62">
        <f t="shared" si="343"/>
        <v>1.7907409902313312</v>
      </c>
      <c r="AC467" s="62">
        <f t="shared" si="344"/>
        <v>1.7904968737418223</v>
      </c>
    </row>
    <row r="468" spans="1:29" x14ac:dyDescent="0.25">
      <c r="A468" s="30" t="str">
        <f t="shared" si="316"/>
        <v>Fuel Cost</v>
      </c>
      <c r="B468" s="62">
        <f>'Parameter Input'!J5</f>
        <v>0.19695917693522813</v>
      </c>
      <c r="C468" s="62">
        <f>'Parameter Input'!K5</f>
        <v>0.1918445490889919</v>
      </c>
      <c r="D468" s="62">
        <f>'Parameter Input'!L5</f>
        <v>0.1867299212427557</v>
      </c>
      <c r="E468" s="62">
        <f>'Parameter Input'!M5</f>
        <v>0.18316543121930073</v>
      </c>
      <c r="F468" s="62">
        <f>'Parameter Input'!N5</f>
        <v>0.1796009411958458</v>
      </c>
      <c r="G468" s="62">
        <f>'Parameter Input'!O5</f>
        <v>0.17603645117239083</v>
      </c>
      <c r="H468" s="62">
        <f>'Parameter Input'!P5</f>
        <v>0.17247196114893587</v>
      </c>
      <c r="I468" s="62">
        <f>'Parameter Input'!Q5</f>
        <v>0.16890747112548093</v>
      </c>
      <c r="J468" s="62">
        <f>'Parameter Input'!R5</f>
        <v>0.16876144856602932</v>
      </c>
      <c r="K468" s="62">
        <f>'Parameter Input'!S5</f>
        <v>0.16861542600657767</v>
      </c>
      <c r="L468" s="62">
        <f>'Parameter Input'!T5</f>
        <v>0.16846940344712602</v>
      </c>
      <c r="M468" s="62">
        <f>'Parameter Input'!U5</f>
        <v>0.1683233808876744</v>
      </c>
      <c r="N468" s="62">
        <f>'Parameter Input'!V5</f>
        <v>0.16817735832822278</v>
      </c>
      <c r="O468" s="62">
        <f>'Parameter Input'!W5</f>
        <v>0.16448316805908789</v>
      </c>
      <c r="P468" s="62">
        <f>'Parameter Input'!X5</f>
        <v>0.16078897778995299</v>
      </c>
      <c r="Q468" s="62">
        <f>'Parameter Input'!Y5</f>
        <v>0.15709478752081807</v>
      </c>
      <c r="R468" s="62">
        <f>'Parameter Input'!Z5</f>
        <v>0.15340059725168312</v>
      </c>
      <c r="S468" s="62">
        <f>'Parameter Input'!AA5</f>
        <v>0.1497064069825482</v>
      </c>
      <c r="T468" s="62">
        <f>'Parameter Input'!AB5</f>
        <v>0.14627718374621171</v>
      </c>
      <c r="U468" s="62">
        <f>'Parameter Input'!AC5</f>
        <v>0.14284796050987525</v>
      </c>
      <c r="V468" s="62">
        <f>'Parameter Input'!AD5</f>
        <v>0.13941873727353876</v>
      </c>
      <c r="W468" s="62">
        <f>'Parameter Input'!AE5</f>
        <v>0.13598951403720227</v>
      </c>
      <c r="X468" s="62">
        <f>'Parameter Input'!AF5</f>
        <v>0.13256029080086582</v>
      </c>
      <c r="Y468" s="62">
        <f>'Parameter Input'!AG5</f>
        <v>0.12972417970496936</v>
      </c>
      <c r="Z468" s="62">
        <f>'Parameter Input'!AH5</f>
        <v>0.12688806860907287</v>
      </c>
      <c r="AA468" s="62">
        <f>'Parameter Input'!AI5</f>
        <v>0.12405195751317638</v>
      </c>
      <c r="AB468" s="62">
        <f>'Parameter Input'!AJ5</f>
        <v>0.12121584641727991</v>
      </c>
      <c r="AC468" s="62">
        <f>'Parameter Input'!AK5</f>
        <v>0.11837973532138339</v>
      </c>
    </row>
    <row r="469" spans="1:29" x14ac:dyDescent="0.25">
      <c r="A469" s="30" t="str">
        <f t="shared" ref="A469" si="345">A449</f>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A450</f>
        <v>Lifetime vehicle</v>
      </c>
      <c r="B470" s="62">
        <f>$B450+($C450-$B450)*(1-Q450)</f>
        <v>8</v>
      </c>
      <c r="C470" s="62">
        <f t="shared" ref="C470:L472" si="347">$B450+($C450-$B450)*(1-R450)</f>
        <v>8</v>
      </c>
      <c r="D470" s="62">
        <f t="shared" si="347"/>
        <v>8</v>
      </c>
      <c r="E470" s="62">
        <f t="shared" si="347"/>
        <v>8</v>
      </c>
      <c r="F470" s="62">
        <f t="shared" si="347"/>
        <v>8</v>
      </c>
      <c r="G470" s="62">
        <f t="shared" si="347"/>
        <v>8</v>
      </c>
      <c r="H470" s="62">
        <f t="shared" si="347"/>
        <v>8</v>
      </c>
      <c r="I470" s="62">
        <f t="shared" si="347"/>
        <v>8</v>
      </c>
      <c r="J470" s="62">
        <f t="shared" si="347"/>
        <v>8</v>
      </c>
      <c r="K470" s="62">
        <f t="shared" si="347"/>
        <v>8</v>
      </c>
      <c r="L470" s="62">
        <f t="shared" si="347"/>
        <v>8</v>
      </c>
      <c r="M470" s="62">
        <f t="shared" ref="M470:V472" si="348">$B450+($C450-$B450)*(1-AB450)</f>
        <v>8</v>
      </c>
      <c r="N470" s="62">
        <f t="shared" si="348"/>
        <v>8</v>
      </c>
      <c r="O470" s="62">
        <f t="shared" si="348"/>
        <v>8</v>
      </c>
      <c r="P470" s="62">
        <f t="shared" si="348"/>
        <v>8</v>
      </c>
      <c r="Q470" s="62">
        <f t="shared" si="348"/>
        <v>8</v>
      </c>
      <c r="R470" s="62">
        <f t="shared" si="348"/>
        <v>8</v>
      </c>
      <c r="S470" s="62">
        <f t="shared" si="348"/>
        <v>8</v>
      </c>
      <c r="T470" s="62">
        <f t="shared" si="348"/>
        <v>8</v>
      </c>
      <c r="U470" s="62">
        <f t="shared" si="348"/>
        <v>8</v>
      </c>
      <c r="V470" s="62">
        <f t="shared" si="348"/>
        <v>8</v>
      </c>
      <c r="W470" s="62">
        <f t="shared" ref="W470:AC472" si="349">$B450+($C450-$B450)*(1-AL450)</f>
        <v>8</v>
      </c>
      <c r="X470" s="62">
        <f t="shared" si="349"/>
        <v>8</v>
      </c>
      <c r="Y470" s="62">
        <f t="shared" si="349"/>
        <v>8</v>
      </c>
      <c r="Z470" s="62">
        <f t="shared" si="349"/>
        <v>8</v>
      </c>
      <c r="AA470" s="62">
        <f t="shared" si="349"/>
        <v>8</v>
      </c>
      <c r="AB470" s="62">
        <f t="shared" si="349"/>
        <v>8</v>
      </c>
      <c r="AC470" s="62">
        <f t="shared" si="349"/>
        <v>8</v>
      </c>
    </row>
    <row r="471" spans="1:29" x14ac:dyDescent="0.25">
      <c r="A471" s="30" t="str">
        <f>A451</f>
        <v>Lifetime costumization</v>
      </c>
      <c r="B471" s="62">
        <f>$B451+($C451-$B451)*(1-Q451)</f>
        <v>10</v>
      </c>
      <c r="C471" s="62">
        <f t="shared" si="347"/>
        <v>10</v>
      </c>
      <c r="D471" s="62">
        <f t="shared" si="347"/>
        <v>10</v>
      </c>
      <c r="E471" s="62">
        <f t="shared" si="347"/>
        <v>10</v>
      </c>
      <c r="F471" s="62">
        <f t="shared" si="347"/>
        <v>10</v>
      </c>
      <c r="G471" s="62">
        <f t="shared" si="347"/>
        <v>10</v>
      </c>
      <c r="H471" s="62">
        <f t="shared" si="347"/>
        <v>10</v>
      </c>
      <c r="I471" s="62">
        <f t="shared" si="347"/>
        <v>10</v>
      </c>
      <c r="J471" s="62">
        <f t="shared" si="347"/>
        <v>10</v>
      </c>
      <c r="K471" s="62">
        <f t="shared" si="347"/>
        <v>10</v>
      </c>
      <c r="L471" s="62">
        <f t="shared" si="347"/>
        <v>10</v>
      </c>
      <c r="M471" s="62">
        <f t="shared" si="348"/>
        <v>10</v>
      </c>
      <c r="N471" s="62">
        <f t="shared" si="348"/>
        <v>10</v>
      </c>
      <c r="O471" s="62">
        <f t="shared" si="348"/>
        <v>10</v>
      </c>
      <c r="P471" s="62">
        <f t="shared" si="348"/>
        <v>10</v>
      </c>
      <c r="Q471" s="62">
        <f t="shared" si="348"/>
        <v>10</v>
      </c>
      <c r="R471" s="62">
        <f t="shared" si="348"/>
        <v>10</v>
      </c>
      <c r="S471" s="62">
        <f t="shared" si="348"/>
        <v>10</v>
      </c>
      <c r="T471" s="62">
        <f t="shared" si="348"/>
        <v>10</v>
      </c>
      <c r="U471" s="62">
        <f t="shared" si="348"/>
        <v>10</v>
      </c>
      <c r="V471" s="62">
        <f t="shared" si="348"/>
        <v>10</v>
      </c>
      <c r="W471" s="62">
        <f t="shared" si="349"/>
        <v>10</v>
      </c>
      <c r="X471" s="62">
        <f t="shared" si="349"/>
        <v>10</v>
      </c>
      <c r="Y471" s="62">
        <f t="shared" si="349"/>
        <v>10</v>
      </c>
      <c r="Z471" s="62">
        <f t="shared" si="349"/>
        <v>10</v>
      </c>
      <c r="AA471" s="62">
        <f t="shared" si="349"/>
        <v>10</v>
      </c>
      <c r="AB471" s="62">
        <f t="shared" si="349"/>
        <v>10</v>
      </c>
      <c r="AC471" s="62">
        <f t="shared" si="349"/>
        <v>10</v>
      </c>
    </row>
    <row r="472" spans="1:29" x14ac:dyDescent="0.25">
      <c r="A472" s="30" t="str">
        <f>A452</f>
        <v>Tonnage .</v>
      </c>
      <c r="B472" s="62">
        <f>$B452+($C452-$B452)*(1-Q452)</f>
        <v>25</v>
      </c>
      <c r="C472" s="62">
        <f t="shared" si="347"/>
        <v>25</v>
      </c>
      <c r="D472" s="62">
        <f t="shared" si="347"/>
        <v>25</v>
      </c>
      <c r="E472" s="62">
        <f t="shared" si="347"/>
        <v>25</v>
      </c>
      <c r="F472" s="62">
        <f t="shared" si="347"/>
        <v>25</v>
      </c>
      <c r="G472" s="62">
        <f t="shared" si="347"/>
        <v>25</v>
      </c>
      <c r="H472" s="62">
        <f t="shared" si="347"/>
        <v>25</v>
      </c>
      <c r="I472" s="62">
        <f t="shared" si="347"/>
        <v>25</v>
      </c>
      <c r="J472" s="62">
        <f t="shared" si="347"/>
        <v>25</v>
      </c>
      <c r="K472" s="62">
        <f t="shared" si="347"/>
        <v>25</v>
      </c>
      <c r="L472" s="62">
        <f t="shared" si="347"/>
        <v>25</v>
      </c>
      <c r="M472" s="62">
        <f t="shared" si="348"/>
        <v>25</v>
      </c>
      <c r="N472" s="62">
        <f t="shared" si="348"/>
        <v>25</v>
      </c>
      <c r="O472" s="62">
        <f t="shared" si="348"/>
        <v>25</v>
      </c>
      <c r="P472" s="62">
        <f t="shared" si="348"/>
        <v>25</v>
      </c>
      <c r="Q472" s="62">
        <f t="shared" si="348"/>
        <v>25</v>
      </c>
      <c r="R472" s="62">
        <f t="shared" si="348"/>
        <v>25</v>
      </c>
      <c r="S472" s="62">
        <f t="shared" si="348"/>
        <v>25</v>
      </c>
      <c r="T472" s="62">
        <f t="shared" si="348"/>
        <v>25</v>
      </c>
      <c r="U472" s="62">
        <f t="shared" si="348"/>
        <v>25</v>
      </c>
      <c r="V472" s="62">
        <f t="shared" si="348"/>
        <v>25</v>
      </c>
      <c r="W472" s="62">
        <f t="shared" si="349"/>
        <v>25</v>
      </c>
      <c r="X472" s="62">
        <f t="shared" si="349"/>
        <v>25</v>
      </c>
      <c r="Y472" s="62">
        <f t="shared" si="349"/>
        <v>25</v>
      </c>
      <c r="Z472" s="62">
        <f t="shared" si="349"/>
        <v>25</v>
      </c>
      <c r="AA472" s="62">
        <f t="shared" si="349"/>
        <v>25</v>
      </c>
      <c r="AB472" s="62">
        <f t="shared" si="349"/>
        <v>25</v>
      </c>
      <c r="AC472" s="62">
        <f t="shared" si="349"/>
        <v>25</v>
      </c>
    </row>
    <row r="473" spans="1:29" x14ac:dyDescent="0.25">
      <c r="A473" s="30" t="str">
        <f>A453</f>
        <v>Market failure (av. utilization)</v>
      </c>
      <c r="B473" s="62">
        <f t="shared" ref="B473:K474" si="350">($B453+($C453-$B453)*(1-Q453))*B$44</f>
        <v>16</v>
      </c>
      <c r="C473" s="62">
        <f t="shared" si="350"/>
        <v>16</v>
      </c>
      <c r="D473" s="62">
        <f t="shared" si="350"/>
        <v>16</v>
      </c>
      <c r="E473" s="62">
        <f t="shared" si="350"/>
        <v>16</v>
      </c>
      <c r="F473" s="62">
        <f t="shared" si="350"/>
        <v>16</v>
      </c>
      <c r="G473" s="62">
        <f t="shared" si="350"/>
        <v>16</v>
      </c>
      <c r="H473" s="62">
        <f t="shared" si="350"/>
        <v>16</v>
      </c>
      <c r="I473" s="62">
        <f t="shared" si="350"/>
        <v>16</v>
      </c>
      <c r="J473" s="62">
        <f t="shared" si="350"/>
        <v>16</v>
      </c>
      <c r="K473" s="62">
        <f t="shared" si="350"/>
        <v>16</v>
      </c>
      <c r="L473" s="62">
        <f t="shared" ref="L473:U474" si="351">($B453+($C453-$B453)*(1-AA453))*L$44</f>
        <v>16</v>
      </c>
      <c r="M473" s="62">
        <f t="shared" si="351"/>
        <v>16</v>
      </c>
      <c r="N473" s="62">
        <f t="shared" si="351"/>
        <v>16</v>
      </c>
      <c r="O473" s="62">
        <f t="shared" si="351"/>
        <v>16</v>
      </c>
      <c r="P473" s="62">
        <f t="shared" si="351"/>
        <v>16</v>
      </c>
      <c r="Q473" s="62">
        <f t="shared" si="351"/>
        <v>16</v>
      </c>
      <c r="R473" s="62">
        <f t="shared" si="351"/>
        <v>16</v>
      </c>
      <c r="S473" s="62">
        <f t="shared" si="351"/>
        <v>16</v>
      </c>
      <c r="T473" s="62">
        <f t="shared" si="351"/>
        <v>16</v>
      </c>
      <c r="U473" s="62">
        <f t="shared" si="351"/>
        <v>16</v>
      </c>
      <c r="V473" s="62">
        <f t="shared" ref="V473:AC474" si="352">($B453+($C453-$B453)*(1-AK453))*V$44</f>
        <v>16</v>
      </c>
      <c r="W473" s="62">
        <f t="shared" si="352"/>
        <v>16</v>
      </c>
      <c r="X473" s="62">
        <f t="shared" si="352"/>
        <v>16</v>
      </c>
      <c r="Y473" s="62">
        <f t="shared" si="352"/>
        <v>16</v>
      </c>
      <c r="Z473" s="62">
        <f t="shared" si="352"/>
        <v>16</v>
      </c>
      <c r="AA473" s="62">
        <f t="shared" si="352"/>
        <v>16</v>
      </c>
      <c r="AB473" s="62">
        <f t="shared" si="352"/>
        <v>16</v>
      </c>
      <c r="AC473" s="62">
        <f t="shared" si="352"/>
        <v>16</v>
      </c>
    </row>
    <row r="474" spans="1:29" x14ac:dyDescent="0.25">
      <c r="A474" s="30" t="s">
        <v>73</v>
      </c>
      <c r="B474" s="62">
        <f t="shared" si="350"/>
        <v>1.240098396181128</v>
      </c>
      <c r="C474" s="62">
        <f t="shared" si="350"/>
        <v>1.2358588232214369</v>
      </c>
      <c r="D474" s="62">
        <f t="shared" si="350"/>
        <v>1.2298392373690403</v>
      </c>
      <c r="E474" s="62">
        <f t="shared" si="350"/>
        <v>1.2213311312119457</v>
      </c>
      <c r="F474" s="62">
        <f t="shared" si="350"/>
        <v>1.2093859036663352</v>
      </c>
      <c r="G474" s="62">
        <f t="shared" si="350"/>
        <v>1.1927777011260612</v>
      </c>
      <c r="H474" s="62">
        <f t="shared" si="350"/>
        <v>1.1700084767574384</v>
      </c>
      <c r="I474" s="62">
        <f t="shared" si="350"/>
        <v>1.1394090790574525</v>
      </c>
      <c r="J474" s="62">
        <f t="shared" si="350"/>
        <v>1.0994097548946793</v>
      </c>
      <c r="K474" s="62">
        <f t="shared" si="350"/>
        <v>1.0490373668749504</v>
      </c>
      <c r="L474" s="62">
        <f t="shared" si="351"/>
        <v>0.98859194719090016</v>
      </c>
      <c r="M474" s="62">
        <f t="shared" si="351"/>
        <v>0.92024185910637191</v>
      </c>
      <c r="N474" s="62">
        <f t="shared" si="351"/>
        <v>0.84808495154888996</v>
      </c>
      <c r="O474" s="62">
        <f t="shared" si="351"/>
        <v>0.77734795696642955</v>
      </c>
      <c r="P474" s="62">
        <f t="shared" si="351"/>
        <v>0.71295461477923405</v>
      </c>
      <c r="Q474" s="62">
        <f t="shared" si="351"/>
        <v>0.65822944370838299</v>
      </c>
      <c r="R474" s="62">
        <f t="shared" si="351"/>
        <v>0.61440438240348649</v>
      </c>
      <c r="S474" s="62">
        <f t="shared" si="351"/>
        <v>0.580963915532825</v>
      </c>
      <c r="T474" s="62">
        <f t="shared" si="351"/>
        <v>0.55638249045356891</v>
      </c>
      <c r="U474" s="62">
        <f t="shared" si="351"/>
        <v>0.53880712713312673</v>
      </c>
      <c r="V474" s="62">
        <f t="shared" si="352"/>
        <v>0.52648939296900943</v>
      </c>
      <c r="W474" s="62">
        <f t="shared" si="352"/>
        <v>0.51797708155449362</v>
      </c>
      <c r="X474" s="62">
        <f t="shared" si="352"/>
        <v>0.5121516826687923</v>
      </c>
      <c r="Y474" s="62">
        <f t="shared" si="352"/>
        <v>0.50819168042308127</v>
      </c>
      <c r="Z474" s="62">
        <f t="shared" si="352"/>
        <v>0.50551199096795685</v>
      </c>
      <c r="AA474" s="62">
        <f t="shared" si="352"/>
        <v>0.50370426966387927</v>
      </c>
      <c r="AB474" s="62">
        <f t="shared" si="352"/>
        <v>0.50248732066197166</v>
      </c>
      <c r="AC474" s="62">
        <f t="shared" si="352"/>
        <v>0.50166922716100104</v>
      </c>
    </row>
    <row r="475" spans="1:29" x14ac:dyDescent="0.25">
      <c r="A475" s="30" t="str">
        <f>A455</f>
        <v>Annual Mileage</v>
      </c>
      <c r="B475" s="62">
        <f t="shared" ref="B475:AC475" si="353">$B455+($C455-$B455)*(1-Q455)</f>
        <v>90000</v>
      </c>
      <c r="C475" s="62">
        <f t="shared" si="353"/>
        <v>90000</v>
      </c>
      <c r="D475" s="62">
        <f t="shared" si="353"/>
        <v>90000</v>
      </c>
      <c r="E475" s="62">
        <f t="shared" si="353"/>
        <v>90000</v>
      </c>
      <c r="F475" s="62">
        <f t="shared" si="353"/>
        <v>90000</v>
      </c>
      <c r="G475" s="62">
        <f t="shared" si="353"/>
        <v>90000</v>
      </c>
      <c r="H475" s="62">
        <f t="shared" si="353"/>
        <v>90000</v>
      </c>
      <c r="I475" s="62">
        <f t="shared" si="353"/>
        <v>90000</v>
      </c>
      <c r="J475" s="62">
        <f t="shared" si="353"/>
        <v>90000</v>
      </c>
      <c r="K475" s="62">
        <f t="shared" si="353"/>
        <v>90000</v>
      </c>
      <c r="L475" s="62">
        <f t="shared" si="353"/>
        <v>90000</v>
      </c>
      <c r="M475" s="62">
        <f t="shared" si="353"/>
        <v>90000</v>
      </c>
      <c r="N475" s="62">
        <f t="shared" si="353"/>
        <v>90000</v>
      </c>
      <c r="O475" s="62">
        <f t="shared" si="353"/>
        <v>90000</v>
      </c>
      <c r="P475" s="62">
        <f t="shared" si="353"/>
        <v>90000</v>
      </c>
      <c r="Q475" s="62">
        <f t="shared" si="353"/>
        <v>90000</v>
      </c>
      <c r="R475" s="62">
        <f t="shared" si="353"/>
        <v>90000</v>
      </c>
      <c r="S475" s="62">
        <f t="shared" si="353"/>
        <v>90000</v>
      </c>
      <c r="T475" s="62">
        <f t="shared" si="353"/>
        <v>90000</v>
      </c>
      <c r="U475" s="62">
        <f t="shared" si="353"/>
        <v>90000</v>
      </c>
      <c r="V475" s="62">
        <f t="shared" si="353"/>
        <v>90000</v>
      </c>
      <c r="W475" s="62">
        <f t="shared" si="353"/>
        <v>90000</v>
      </c>
      <c r="X475" s="62">
        <f t="shared" si="353"/>
        <v>90000</v>
      </c>
      <c r="Y475" s="62">
        <f t="shared" si="353"/>
        <v>90000</v>
      </c>
      <c r="Z475" s="62">
        <f t="shared" si="353"/>
        <v>90000</v>
      </c>
      <c r="AA475" s="62">
        <f t="shared" si="353"/>
        <v>90000</v>
      </c>
      <c r="AB475" s="62">
        <f t="shared" si="353"/>
        <v>90000</v>
      </c>
      <c r="AC475" s="62">
        <f t="shared" si="353"/>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4">((1+C463)^C470)*C463/(((1+C463)^C470)-1)*(C459)</f>
        <v>60754.714455896952</v>
      </c>
      <c r="D478" s="63">
        <f t="shared" si="354"/>
        <v>59916.698956344211</v>
      </c>
      <c r="E478" s="63">
        <f t="shared" si="354"/>
        <v>58767.811056679595</v>
      </c>
      <c r="F478" s="63">
        <f t="shared" si="354"/>
        <v>57223.828829380502</v>
      </c>
      <c r="G478" s="63">
        <f t="shared" si="354"/>
        <v>55205.54578287054</v>
      </c>
      <c r="H478" s="63">
        <f t="shared" si="354"/>
        <v>52663.859419902983</v>
      </c>
      <c r="I478" s="63">
        <f t="shared" si="354"/>
        <v>49613.908743460379</v>
      </c>
      <c r="J478" s="63">
        <f t="shared" si="354"/>
        <v>46165.10487249765</v>
      </c>
      <c r="K478" s="63">
        <f t="shared" si="354"/>
        <v>42524.216776008514</v>
      </c>
      <c r="L478" s="63">
        <f t="shared" si="354"/>
        <v>38954.974547168116</v>
      </c>
      <c r="M478" s="63">
        <f t="shared" si="354"/>
        <v>35705.819878562834</v>
      </c>
      <c r="N478" s="63">
        <f t="shared" si="354"/>
        <v>32944.501098770794</v>
      </c>
      <c r="O478" s="63">
        <f t="shared" si="354"/>
        <v>30733.179280332359</v>
      </c>
      <c r="P478" s="63">
        <f t="shared" si="354"/>
        <v>29045.842587397736</v>
      </c>
      <c r="Q478" s="63">
        <f t="shared" si="354"/>
        <v>27805.514793492392</v>
      </c>
      <c r="R478" s="63">
        <f t="shared" si="354"/>
        <v>26918.698364255953</v>
      </c>
      <c r="S478" s="63">
        <f t="shared" si="354"/>
        <v>26297.171012101549</v>
      </c>
      <c r="T478" s="63">
        <f t="shared" si="354"/>
        <v>25867.657409706244</v>
      </c>
      <c r="U478" s="63">
        <f t="shared" si="354"/>
        <v>25573.719848103356</v>
      </c>
      <c r="V478" s="63">
        <f t="shared" si="354"/>
        <v>25373.906337151635</v>
      </c>
      <c r="W478" s="63">
        <f t="shared" si="354"/>
        <v>25238.694757696427</v>
      </c>
      <c r="X478" s="63">
        <f t="shared" si="354"/>
        <v>25147.480885032299</v>
      </c>
      <c r="Y478" s="63">
        <f t="shared" si="354"/>
        <v>25086.076159066874</v>
      </c>
      <c r="Z478" s="63">
        <f t="shared" si="354"/>
        <v>25044.796855527889</v>
      </c>
      <c r="AA478" s="63">
        <f t="shared" si="354"/>
        <v>25017.073074171451</v>
      </c>
      <c r="AB478" s="63">
        <f t="shared" si="354"/>
        <v>24998.465197207195</v>
      </c>
      <c r="AC478" s="63">
        <f t="shared" si="354"/>
        <v>24985.981130564032</v>
      </c>
    </row>
    <row r="479" spans="1:29" x14ac:dyDescent="0.25">
      <c r="A479" s="30" t="str">
        <f>A460</f>
        <v>Residual value (vehicle)</v>
      </c>
      <c r="B479" s="62">
        <f>((1+B463)^B470)*B463/(((1+B463)^B470)-1)*(B460)</f>
        <v>-9299.0290627537943</v>
      </c>
      <c r="C479" s="62">
        <f t="shared" ref="C479:AC479" si="355">((1+C463)^C470)*C463/(((1+C463)^C470)-1)*(C460)</f>
        <v>-9248.373973667678</v>
      </c>
      <c r="D479" s="62">
        <f t="shared" si="355"/>
        <v>-9177.9450114712236</v>
      </c>
      <c r="E479" s="62">
        <f t="shared" si="355"/>
        <v>-9081.3895390526031</v>
      </c>
      <c r="F479" s="62">
        <f t="shared" si="355"/>
        <v>-8951.6293305881045</v>
      </c>
      <c r="G479" s="62">
        <f t="shared" si="355"/>
        <v>-8782.0076702963088</v>
      </c>
      <c r="H479" s="62">
        <f t="shared" si="355"/>
        <v>-8568.3978589405251</v>
      </c>
      <c r="I479" s="62">
        <f t="shared" si="355"/>
        <v>-8312.0722169841792</v>
      </c>
      <c r="J479" s="62">
        <f t="shared" si="355"/>
        <v>-8022.2259342117786</v>
      </c>
      <c r="K479" s="62">
        <f t="shared" si="355"/>
        <v>-7716.2364026983305</v>
      </c>
      <c r="L479" s="62">
        <f t="shared" si="355"/>
        <v>-7416.2681728277021</v>
      </c>
      <c r="M479" s="62">
        <f t="shared" si="355"/>
        <v>-7143.2009187640651</v>
      </c>
      <c r="N479" s="62">
        <f t="shared" si="355"/>
        <v>-6911.1326383347341</v>
      </c>
      <c r="O479" s="62">
        <f t="shared" si="355"/>
        <v>-6725.2875067851219</v>
      </c>
      <c r="P479" s="62">
        <f t="shared" si="355"/>
        <v>-6583.4794230172129</v>
      </c>
      <c r="Q479" s="62">
        <f t="shared" si="355"/>
        <v>-6479.2391084230394</v>
      </c>
      <c r="R479" s="62">
        <f t="shared" si="355"/>
        <v>-6404.7087914978501</v>
      </c>
      <c r="S479" s="62">
        <f t="shared" si="355"/>
        <v>-6352.4740459444474</v>
      </c>
      <c r="T479" s="62">
        <f t="shared" si="355"/>
        <v>-6316.3766261686715</v>
      </c>
      <c r="U479" s="62">
        <f t="shared" si="355"/>
        <v>-6291.6733630126846</v>
      </c>
      <c r="V479" s="62">
        <f t="shared" si="355"/>
        <v>-6274.8805253901455</v>
      </c>
      <c r="W479" s="62">
        <f t="shared" si="355"/>
        <v>-6263.5169990316763</v>
      </c>
      <c r="X479" s="62">
        <f t="shared" si="355"/>
        <v>-6255.8511522865001</v>
      </c>
      <c r="Y479" s="62">
        <f t="shared" si="355"/>
        <v>-6250.6905423383423</v>
      </c>
      <c r="Z479" s="62">
        <f t="shared" si="355"/>
        <v>-6247.2213242749585</v>
      </c>
      <c r="AA479" s="62">
        <f t="shared" si="355"/>
        <v>-6244.8913469056415</v>
      </c>
      <c r="AB479" s="62">
        <f t="shared" si="355"/>
        <v>-6243.3274934160918</v>
      </c>
      <c r="AC479" s="62">
        <f t="shared" si="355"/>
        <v>-6242.278300581188</v>
      </c>
    </row>
    <row r="480" spans="1:29" x14ac:dyDescent="0.25">
      <c r="A480" s="30" t="str">
        <f>A461</f>
        <v>Capex costumization</v>
      </c>
      <c r="B480" s="62">
        <f>((1+B463)^B471)*B463/(((1+B463)^B471)-1)*(B461)</f>
        <v>4755.37853771343</v>
      </c>
      <c r="C480" s="62">
        <f t="shared" ref="C480:AC480" si="356">((1+C463)^C471)*C463/(((1+C463)^C471)-1)*(C461)</f>
        <v>4755.37853771343</v>
      </c>
      <c r="D480" s="62">
        <f t="shared" si="356"/>
        <v>4755.37853771343</v>
      </c>
      <c r="E480" s="62">
        <f t="shared" si="356"/>
        <v>4755.37853771343</v>
      </c>
      <c r="F480" s="62">
        <f t="shared" si="356"/>
        <v>4755.37853771343</v>
      </c>
      <c r="G480" s="62">
        <f t="shared" si="356"/>
        <v>4755.37853771343</v>
      </c>
      <c r="H480" s="62">
        <f t="shared" si="356"/>
        <v>4755.37853771343</v>
      </c>
      <c r="I480" s="62">
        <f t="shared" si="356"/>
        <v>4755.37853771343</v>
      </c>
      <c r="J480" s="62">
        <f t="shared" si="356"/>
        <v>4755.37853771343</v>
      </c>
      <c r="K480" s="62">
        <f t="shared" si="356"/>
        <v>4755.37853771343</v>
      </c>
      <c r="L480" s="62">
        <f t="shared" si="356"/>
        <v>4755.37853771343</v>
      </c>
      <c r="M480" s="62">
        <f t="shared" si="356"/>
        <v>4755.37853771343</v>
      </c>
      <c r="N480" s="62">
        <f t="shared" si="356"/>
        <v>4755.37853771343</v>
      </c>
      <c r="O480" s="62">
        <f t="shared" si="356"/>
        <v>4755.37853771343</v>
      </c>
      <c r="P480" s="62">
        <f t="shared" si="356"/>
        <v>4755.37853771343</v>
      </c>
      <c r="Q480" s="62">
        <f t="shared" si="356"/>
        <v>4755.37853771343</v>
      </c>
      <c r="R480" s="62">
        <f t="shared" si="356"/>
        <v>4755.37853771343</v>
      </c>
      <c r="S480" s="62">
        <f t="shared" si="356"/>
        <v>4755.37853771343</v>
      </c>
      <c r="T480" s="62">
        <f t="shared" si="356"/>
        <v>4755.37853771343</v>
      </c>
      <c r="U480" s="62">
        <f t="shared" si="356"/>
        <v>4755.37853771343</v>
      </c>
      <c r="V480" s="62">
        <f t="shared" si="356"/>
        <v>4755.37853771343</v>
      </c>
      <c r="W480" s="62">
        <f t="shared" si="356"/>
        <v>4755.37853771343</v>
      </c>
      <c r="X480" s="62">
        <f t="shared" si="356"/>
        <v>4755.37853771343</v>
      </c>
      <c r="Y480" s="62">
        <f t="shared" si="356"/>
        <v>4755.37853771343</v>
      </c>
      <c r="Z480" s="62">
        <f t="shared" si="356"/>
        <v>4755.37853771343</v>
      </c>
      <c r="AA480" s="62">
        <f t="shared" si="356"/>
        <v>4755.37853771343</v>
      </c>
      <c r="AB480" s="62">
        <f t="shared" si="356"/>
        <v>4755.37853771343</v>
      </c>
      <c r="AC480" s="62">
        <f t="shared" si="356"/>
        <v>4755.37853771343</v>
      </c>
    </row>
    <row r="481" spans="1:29" x14ac:dyDescent="0.25">
      <c r="A481" s="30" t="str">
        <f>A462</f>
        <v>Residual value (costumization)</v>
      </c>
      <c r="B481" s="62">
        <f>((1+B463)^B471)*B463/(((1+B463)^B471)-1)*(B462)</f>
        <v>-1188.8446344283575</v>
      </c>
      <c r="C481" s="62">
        <f t="shared" ref="C481:AC481" si="357">((1+C463)^C471)*C463/(((1+C463)^C471)-1)*(C462)</f>
        <v>-1188.8446344283575</v>
      </c>
      <c r="D481" s="62">
        <f t="shared" si="357"/>
        <v>-1188.8446344283575</v>
      </c>
      <c r="E481" s="62">
        <f t="shared" si="357"/>
        <v>-1188.8446344283575</v>
      </c>
      <c r="F481" s="62">
        <f t="shared" si="357"/>
        <v>-1188.8446344283575</v>
      </c>
      <c r="G481" s="62">
        <f t="shared" si="357"/>
        <v>-1188.8446344283575</v>
      </c>
      <c r="H481" s="62">
        <f t="shared" si="357"/>
        <v>-1188.8446344283575</v>
      </c>
      <c r="I481" s="62">
        <f t="shared" si="357"/>
        <v>-1188.8446344283575</v>
      </c>
      <c r="J481" s="62">
        <f t="shared" si="357"/>
        <v>-1188.8446344283575</v>
      </c>
      <c r="K481" s="62">
        <f t="shared" si="357"/>
        <v>-1188.8446344283575</v>
      </c>
      <c r="L481" s="62">
        <f t="shared" si="357"/>
        <v>-1188.8446344283575</v>
      </c>
      <c r="M481" s="62">
        <f t="shared" si="357"/>
        <v>-1188.8446344283575</v>
      </c>
      <c r="N481" s="62">
        <f t="shared" si="357"/>
        <v>-1188.8446344283575</v>
      </c>
      <c r="O481" s="62">
        <f t="shared" si="357"/>
        <v>-1188.8446344283575</v>
      </c>
      <c r="P481" s="62">
        <f t="shared" si="357"/>
        <v>-1188.8446344283575</v>
      </c>
      <c r="Q481" s="62">
        <f t="shared" si="357"/>
        <v>-1188.8446344283575</v>
      </c>
      <c r="R481" s="62">
        <f t="shared" si="357"/>
        <v>-1188.8446344283575</v>
      </c>
      <c r="S481" s="62">
        <f t="shared" si="357"/>
        <v>-1188.8446344283575</v>
      </c>
      <c r="T481" s="62">
        <f t="shared" si="357"/>
        <v>-1188.8446344283575</v>
      </c>
      <c r="U481" s="62">
        <f t="shared" si="357"/>
        <v>-1188.8446344283575</v>
      </c>
      <c r="V481" s="62">
        <f t="shared" si="357"/>
        <v>-1188.8446344283575</v>
      </c>
      <c r="W481" s="62">
        <f t="shared" si="357"/>
        <v>-1188.8446344283575</v>
      </c>
      <c r="X481" s="62">
        <f t="shared" si="357"/>
        <v>-1188.8446344283575</v>
      </c>
      <c r="Y481" s="62">
        <f t="shared" si="357"/>
        <v>-1188.8446344283575</v>
      </c>
      <c r="Z481" s="62">
        <f t="shared" si="357"/>
        <v>-1188.8446344283575</v>
      </c>
      <c r="AA481" s="62">
        <f t="shared" si="357"/>
        <v>-1188.8446344283575</v>
      </c>
      <c r="AB481" s="62">
        <f t="shared" si="357"/>
        <v>-1188.8446344283575</v>
      </c>
      <c r="AC481" s="62">
        <f t="shared" si="357"/>
        <v>-1188.8446344283575</v>
      </c>
    </row>
    <row r="482" spans="1:29" x14ac:dyDescent="0.25">
      <c r="A482" s="30" t="str">
        <f t="shared" ref="A482:AC482" si="358">A464</f>
        <v>Opex fix (admin, crew, insurance)</v>
      </c>
      <c r="B482" s="62">
        <f t="shared" si="358"/>
        <v>70000</v>
      </c>
      <c r="C482" s="62">
        <f t="shared" si="358"/>
        <v>70000</v>
      </c>
      <c r="D482" s="62">
        <f t="shared" si="358"/>
        <v>70000</v>
      </c>
      <c r="E482" s="62">
        <f t="shared" si="358"/>
        <v>70000</v>
      </c>
      <c r="F482" s="62">
        <f t="shared" si="358"/>
        <v>70000</v>
      </c>
      <c r="G482" s="62">
        <f t="shared" si="358"/>
        <v>70000</v>
      </c>
      <c r="H482" s="62">
        <f t="shared" si="358"/>
        <v>70000</v>
      </c>
      <c r="I482" s="62">
        <f t="shared" si="358"/>
        <v>70000</v>
      </c>
      <c r="J482" s="62">
        <f t="shared" si="358"/>
        <v>70000</v>
      </c>
      <c r="K482" s="62">
        <f t="shared" si="358"/>
        <v>70000</v>
      </c>
      <c r="L482" s="62">
        <f t="shared" si="358"/>
        <v>70000</v>
      </c>
      <c r="M482" s="62">
        <f t="shared" si="358"/>
        <v>70000</v>
      </c>
      <c r="N482" s="62">
        <f t="shared" si="358"/>
        <v>70000</v>
      </c>
      <c r="O482" s="62">
        <f t="shared" si="358"/>
        <v>70000</v>
      </c>
      <c r="P482" s="62">
        <f t="shared" si="358"/>
        <v>70000</v>
      </c>
      <c r="Q482" s="62">
        <f t="shared" si="358"/>
        <v>70000</v>
      </c>
      <c r="R482" s="62">
        <f t="shared" si="358"/>
        <v>70000</v>
      </c>
      <c r="S482" s="62">
        <f t="shared" si="358"/>
        <v>70000</v>
      </c>
      <c r="T482" s="62">
        <f t="shared" si="358"/>
        <v>70000</v>
      </c>
      <c r="U482" s="62">
        <f t="shared" si="358"/>
        <v>70000</v>
      </c>
      <c r="V482" s="62">
        <f t="shared" si="358"/>
        <v>70000</v>
      </c>
      <c r="W482" s="62">
        <f t="shared" si="358"/>
        <v>70000</v>
      </c>
      <c r="X482" s="62">
        <f t="shared" si="358"/>
        <v>70000</v>
      </c>
      <c r="Y482" s="62">
        <f t="shared" si="358"/>
        <v>70000</v>
      </c>
      <c r="Z482" s="62">
        <f t="shared" si="358"/>
        <v>70000</v>
      </c>
      <c r="AA482" s="62">
        <f t="shared" si="358"/>
        <v>70000</v>
      </c>
      <c r="AB482" s="62">
        <f t="shared" si="358"/>
        <v>70000</v>
      </c>
      <c r="AC482" s="62">
        <f t="shared" si="358"/>
        <v>70000</v>
      </c>
    </row>
    <row r="483" spans="1:29" x14ac:dyDescent="0.25">
      <c r="A483" s="30" t="str">
        <f t="shared" ref="A483:AC483" si="359">A465</f>
        <v>Opex maintenance &amp; repair</v>
      </c>
      <c r="B483" s="62">
        <f t="shared" si="359"/>
        <v>25694.198732927423</v>
      </c>
      <c r="C483" s="62">
        <f t="shared" si="359"/>
        <v>25566.782972440909</v>
      </c>
      <c r="D483" s="62">
        <f t="shared" si="359"/>
        <v>25389.62881201132</v>
      </c>
      <c r="E483" s="62">
        <f t="shared" si="359"/>
        <v>25146.757085412675</v>
      </c>
      <c r="F483" s="62">
        <f t="shared" si="359"/>
        <v>24820.363509946161</v>
      </c>
      <c r="G483" s="62">
        <f t="shared" si="359"/>
        <v>24393.704052209912</v>
      </c>
      <c r="H483" s="62">
        <f t="shared" si="359"/>
        <v>23856.39857999947</v>
      </c>
      <c r="I483" s="62">
        <f t="shared" si="359"/>
        <v>23211.647436702937</v>
      </c>
      <c r="J483" s="62">
        <f t="shared" si="359"/>
        <v>22482.579830467967</v>
      </c>
      <c r="K483" s="62">
        <f t="shared" si="359"/>
        <v>21712.906149854825</v>
      </c>
      <c r="L483" s="62">
        <f t="shared" si="359"/>
        <v>20958.378207641916</v>
      </c>
      <c r="M483" s="62">
        <f t="shared" si="359"/>
        <v>20271.515890978495</v>
      </c>
      <c r="N483" s="62">
        <f t="shared" si="359"/>
        <v>19687.78073288942</v>
      </c>
      <c r="O483" s="62">
        <f t="shared" si="359"/>
        <v>19220.313412303854</v>
      </c>
      <c r="P483" s="62">
        <f t="shared" si="359"/>
        <v>18863.615099016799</v>
      </c>
      <c r="Q483" s="62">
        <f t="shared" si="359"/>
        <v>18601.413231504735</v>
      </c>
      <c r="R483" s="62">
        <f t="shared" si="359"/>
        <v>18413.942689420019</v>
      </c>
      <c r="S483" s="62">
        <f t="shared" si="359"/>
        <v>18282.553525002768</v>
      </c>
      <c r="T483" s="62">
        <f t="shared" si="359"/>
        <v>18191.755536581266</v>
      </c>
      <c r="U483" s="62">
        <f t="shared" si="359"/>
        <v>18129.617948467116</v>
      </c>
      <c r="V483" s="62">
        <f t="shared" si="359"/>
        <v>18087.377924512868</v>
      </c>
      <c r="W483" s="62">
        <f t="shared" si="359"/>
        <v>18058.794570324873</v>
      </c>
      <c r="X483" s="62">
        <f t="shared" si="359"/>
        <v>18039.512209748045</v>
      </c>
      <c r="Y483" s="62">
        <f t="shared" si="359"/>
        <v>18026.531420394364</v>
      </c>
      <c r="Z483" s="62">
        <f t="shared" si="359"/>
        <v>18017.805089717345</v>
      </c>
      <c r="AA483" s="62">
        <f t="shared" si="359"/>
        <v>18011.94435896385</v>
      </c>
      <c r="AB483" s="62">
        <f t="shared" si="359"/>
        <v>18008.010705203578</v>
      </c>
      <c r="AC483" s="62">
        <f t="shared" si="359"/>
        <v>18005.371608019701</v>
      </c>
    </row>
    <row r="484" spans="1:29" x14ac:dyDescent="0.25">
      <c r="A484" s="30" t="str">
        <f>A466</f>
        <v>Opex var (mode-fees)</v>
      </c>
      <c r="B484" s="62">
        <f>B466*B475</f>
        <v>9900</v>
      </c>
      <c r="C484" s="62">
        <f t="shared" ref="C484:AC484" si="360">C466*C475</f>
        <v>9900</v>
      </c>
      <c r="D484" s="62">
        <f t="shared" si="360"/>
        <v>9900</v>
      </c>
      <c r="E484" s="62">
        <f t="shared" si="360"/>
        <v>9900</v>
      </c>
      <c r="F484" s="62">
        <f t="shared" si="360"/>
        <v>9900</v>
      </c>
      <c r="G484" s="62">
        <f t="shared" si="360"/>
        <v>9900</v>
      </c>
      <c r="H484" s="62">
        <f t="shared" si="360"/>
        <v>9900</v>
      </c>
      <c r="I484" s="62">
        <f t="shared" si="360"/>
        <v>9900</v>
      </c>
      <c r="J484" s="62">
        <f t="shared" si="360"/>
        <v>9900</v>
      </c>
      <c r="K484" s="62">
        <f t="shared" si="360"/>
        <v>9900</v>
      </c>
      <c r="L484" s="62">
        <f t="shared" si="360"/>
        <v>9900</v>
      </c>
      <c r="M484" s="62">
        <f t="shared" si="360"/>
        <v>9900</v>
      </c>
      <c r="N484" s="62">
        <f t="shared" si="360"/>
        <v>9900</v>
      </c>
      <c r="O484" s="62">
        <f t="shared" si="360"/>
        <v>9900</v>
      </c>
      <c r="P484" s="62">
        <f t="shared" si="360"/>
        <v>9900</v>
      </c>
      <c r="Q484" s="62">
        <f t="shared" si="360"/>
        <v>9900</v>
      </c>
      <c r="R484" s="62">
        <f t="shared" si="360"/>
        <v>9900</v>
      </c>
      <c r="S484" s="62">
        <f t="shared" si="360"/>
        <v>9900</v>
      </c>
      <c r="T484" s="62">
        <f t="shared" si="360"/>
        <v>9900</v>
      </c>
      <c r="U484" s="62">
        <f t="shared" si="360"/>
        <v>9900</v>
      </c>
      <c r="V484" s="62">
        <f t="shared" si="360"/>
        <v>9900</v>
      </c>
      <c r="W484" s="62">
        <f t="shared" si="360"/>
        <v>9900</v>
      </c>
      <c r="X484" s="62">
        <f t="shared" si="360"/>
        <v>9900</v>
      </c>
      <c r="Y484" s="62">
        <f t="shared" si="360"/>
        <v>9900</v>
      </c>
      <c r="Z484" s="62">
        <f t="shared" si="360"/>
        <v>9900</v>
      </c>
      <c r="AA484" s="62">
        <f t="shared" si="360"/>
        <v>9900</v>
      </c>
      <c r="AB484" s="62">
        <f t="shared" si="360"/>
        <v>9900</v>
      </c>
      <c r="AC484" s="62">
        <f t="shared" si="360"/>
        <v>9900</v>
      </c>
    </row>
    <row r="485" spans="1:29" x14ac:dyDescent="0.25">
      <c r="A485" s="30" t="str">
        <f>A468</f>
        <v>Fuel Cost</v>
      </c>
      <c r="B485" s="62">
        <f>B467*B468*B475</f>
        <v>44346.186792297303</v>
      </c>
      <c r="C485" s="62">
        <f t="shared" ref="C485:AC485" si="361">C467*C468*C475</f>
        <v>42991.110369359812</v>
      </c>
      <c r="D485" s="62">
        <f t="shared" si="361"/>
        <v>41569.564822824541</v>
      </c>
      <c r="E485" s="62">
        <f t="shared" si="361"/>
        <v>40405.699340477986</v>
      </c>
      <c r="F485" s="62">
        <f t="shared" si="361"/>
        <v>39131.367976471156</v>
      </c>
      <c r="G485" s="62">
        <f t="shared" si="361"/>
        <v>37729.467669091908</v>
      </c>
      <c r="H485" s="62">
        <f t="shared" si="361"/>
        <v>36194.020306210143</v>
      </c>
      <c r="I485" s="62">
        <f t="shared" si="361"/>
        <v>34539.376121166279</v>
      </c>
      <c r="J485" s="62">
        <f t="shared" si="361"/>
        <v>33485.2208542968</v>
      </c>
      <c r="K485" s="62">
        <f t="shared" si="361"/>
        <v>32375.838454059947</v>
      </c>
      <c r="L485" s="62">
        <f t="shared" si="361"/>
        <v>31289.569358670324</v>
      </c>
      <c r="M485" s="62">
        <f t="shared" si="361"/>
        <v>30299.954038296586</v>
      </c>
      <c r="N485" s="62">
        <f t="shared" si="361"/>
        <v>29456.394581589353</v>
      </c>
      <c r="O485" s="62">
        <f t="shared" si="361"/>
        <v>28169.240833191172</v>
      </c>
      <c r="P485" s="62">
        <f t="shared" si="361"/>
        <v>27059.112065177305</v>
      </c>
      <c r="Q485" s="62">
        <f t="shared" si="361"/>
        <v>26094.506977367371</v>
      </c>
      <c r="R485" s="62">
        <f t="shared" si="361"/>
        <v>25241.465856656268</v>
      </c>
      <c r="S485" s="62">
        <f t="shared" si="361"/>
        <v>24469.85027268359</v>
      </c>
      <c r="T485" s="62">
        <f t="shared" si="361"/>
        <v>23798.766054839642</v>
      </c>
      <c r="U485" s="62">
        <f t="shared" si="361"/>
        <v>23166.949304177717</v>
      </c>
      <c r="V485" s="62">
        <f t="shared" si="361"/>
        <v>22561.774722944308</v>
      </c>
      <c r="W485" s="62">
        <f t="shared" si="361"/>
        <v>21974.472791405446</v>
      </c>
      <c r="X485" s="62">
        <f t="shared" si="361"/>
        <v>21399.067116889244</v>
      </c>
      <c r="Y485" s="62">
        <f t="shared" si="361"/>
        <v>20927.21805863989</v>
      </c>
      <c r="Z485" s="62">
        <f t="shared" si="361"/>
        <v>20460.476137856633</v>
      </c>
      <c r="AA485" s="62">
        <f t="shared" si="361"/>
        <v>19997.105683619338</v>
      </c>
      <c r="AB485" s="62">
        <f t="shared" si="361"/>
        <v>19535.956636050789</v>
      </c>
      <c r="AC485" s="62">
        <f t="shared" si="361"/>
        <v>19076.269140658922</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209</v>
      </c>
      <c r="B487" s="64">
        <f>B478+B479+B480+B481+B482+B483+B484+B485+B486</f>
        <v>205565.33626141184</v>
      </c>
      <c r="C487" s="64">
        <f t="shared" ref="C487:AC487" si="363">C478+C479+C480+C481+C482+C483+C484+C485+C486</f>
        <v>203530.76772731505</v>
      </c>
      <c r="D487" s="64">
        <f t="shared" si="363"/>
        <v>201164.48148299393</v>
      </c>
      <c r="E487" s="64">
        <f t="shared" si="363"/>
        <v>198705.41184680274</v>
      </c>
      <c r="F487" s="64">
        <f t="shared" si="363"/>
        <v>195690.46488849481</v>
      </c>
      <c r="G487" s="64">
        <f t="shared" si="363"/>
        <v>192013.24373716113</v>
      </c>
      <c r="H487" s="64">
        <f t="shared" si="363"/>
        <v>187612.41435045714</v>
      </c>
      <c r="I487" s="64">
        <f t="shared" si="363"/>
        <v>182519.39398763049</v>
      </c>
      <c r="J487" s="64">
        <f t="shared" si="363"/>
        <v>177577.21352633572</v>
      </c>
      <c r="K487" s="64">
        <f t="shared" si="363"/>
        <v>172363.25888051002</v>
      </c>
      <c r="L487" s="64">
        <f t="shared" si="363"/>
        <v>167253.18784393772</v>
      </c>
      <c r="M487" s="64">
        <f t="shared" si="363"/>
        <v>162600.62279235892</v>
      </c>
      <c r="N487" s="64">
        <f t="shared" si="363"/>
        <v>158644.07767819992</v>
      </c>
      <c r="O487" s="64">
        <f t="shared" si="363"/>
        <v>154863.97992232733</v>
      </c>
      <c r="P487" s="64">
        <f t="shared" si="363"/>
        <v>151851.62423185969</v>
      </c>
      <c r="Q487" s="64">
        <f t="shared" si="363"/>
        <v>149488.72979722652</v>
      </c>
      <c r="R487" s="64">
        <f t="shared" si="363"/>
        <v>147635.93202211946</v>
      </c>
      <c r="S487" s="64">
        <f t="shared" si="363"/>
        <v>146163.63466712853</v>
      </c>
      <c r="T487" s="64">
        <f t="shared" si="363"/>
        <v>145008.33627824357</v>
      </c>
      <c r="U487" s="64">
        <f t="shared" si="363"/>
        <v>144045.14764102059</v>
      </c>
      <c r="V487" s="64">
        <f t="shared" si="363"/>
        <v>143214.71236250375</v>
      </c>
      <c r="W487" s="64">
        <f t="shared" si="363"/>
        <v>142474.97902368015</v>
      </c>
      <c r="X487" s="64">
        <f t="shared" si="363"/>
        <v>141796.74296266816</v>
      </c>
      <c r="Y487" s="64">
        <f t="shared" si="363"/>
        <v>141255.66899904783</v>
      </c>
      <c r="Z487" s="64">
        <f t="shared" si="363"/>
        <v>140742.39066211198</v>
      </c>
      <c r="AA487" s="64">
        <f t="shared" si="363"/>
        <v>140247.76567313407</v>
      </c>
      <c r="AB487" s="64">
        <f t="shared" si="363"/>
        <v>139765.63894833054</v>
      </c>
      <c r="AC487" s="64">
        <f t="shared" si="363"/>
        <v>139291.87748194655</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0.68174939884062014</v>
      </c>
      <c r="C490" s="65">
        <f t="shared" ref="C490:AC490" si="365">((1+C463)^C470)*C463/(((1+C463)^C470)-1)*(C459)/C475</f>
        <v>0.67505238284329949</v>
      </c>
      <c r="D490" s="65">
        <f t="shared" si="365"/>
        <v>0.66574109951493565</v>
      </c>
      <c r="E490" s="65">
        <f t="shared" si="365"/>
        <v>0.65297567840755111</v>
      </c>
      <c r="F490" s="65">
        <f t="shared" si="365"/>
        <v>0.63582032032644997</v>
      </c>
      <c r="G490" s="65">
        <f t="shared" si="365"/>
        <v>0.61339495314300596</v>
      </c>
      <c r="H490" s="65">
        <f t="shared" si="365"/>
        <v>0.58515399355447761</v>
      </c>
      <c r="I490" s="65">
        <f t="shared" si="365"/>
        <v>0.55126565270511529</v>
      </c>
      <c r="J490" s="65">
        <f t="shared" si="365"/>
        <v>0.51294560969441838</v>
      </c>
      <c r="K490" s="65">
        <f t="shared" si="365"/>
        <v>0.47249129751120572</v>
      </c>
      <c r="L490" s="65">
        <f t="shared" si="365"/>
        <v>0.43283305052409016</v>
      </c>
      <c r="M490" s="65">
        <f t="shared" si="365"/>
        <v>0.39673133198403149</v>
      </c>
      <c r="N490" s="65">
        <f t="shared" si="365"/>
        <v>0.36605001220856437</v>
      </c>
      <c r="O490" s="65">
        <f t="shared" si="365"/>
        <v>0.34147976978147065</v>
      </c>
      <c r="P490" s="65">
        <f t="shared" si="365"/>
        <v>0.32273158430441928</v>
      </c>
      <c r="Q490" s="65">
        <f t="shared" si="365"/>
        <v>0.30895016437213768</v>
      </c>
      <c r="R490" s="65">
        <f t="shared" si="365"/>
        <v>0.29909664849173284</v>
      </c>
      <c r="S490" s="65">
        <f t="shared" si="365"/>
        <v>0.29219078902335055</v>
      </c>
      <c r="T490" s="65">
        <f t="shared" si="365"/>
        <v>0.2874184156634027</v>
      </c>
      <c r="U490" s="65">
        <f t="shared" si="365"/>
        <v>0.28415244275670393</v>
      </c>
      <c r="V490" s="65">
        <f t="shared" si="365"/>
        <v>0.28193229263501818</v>
      </c>
      <c r="W490" s="65">
        <f t="shared" si="365"/>
        <v>0.2804299417521825</v>
      </c>
      <c r="X490" s="65">
        <f t="shared" si="365"/>
        <v>0.27941645427813666</v>
      </c>
      <c r="Y490" s="65">
        <f t="shared" si="365"/>
        <v>0.27873417954518748</v>
      </c>
      <c r="Z490" s="65">
        <f t="shared" si="365"/>
        <v>0.27827552061697652</v>
      </c>
      <c r="AA490" s="65">
        <f t="shared" si="365"/>
        <v>0.27796747860190502</v>
      </c>
      <c r="AB490" s="65">
        <f t="shared" si="365"/>
        <v>0.27776072441341326</v>
      </c>
      <c r="AC490" s="65">
        <f t="shared" si="365"/>
        <v>0.27762201256182256</v>
      </c>
    </row>
    <row r="491" spans="1:29" x14ac:dyDescent="0.25">
      <c r="A491" s="30" t="str">
        <f t="shared" si="364"/>
        <v>Residual value (vehicle)</v>
      </c>
      <c r="B491" s="66">
        <f>((1+B463)^B470)*B463/(((1+B463)^B470)-1)*(B460)/B475</f>
        <v>-0.10332254514170883</v>
      </c>
      <c r="C491" s="66">
        <f t="shared" ref="C491:AC491" si="366">((1+C463)^C470)*C463/(((1+C463)^C470)-1)*(C460)/C475</f>
        <v>-0.10275971081852976</v>
      </c>
      <c r="D491" s="66">
        <f t="shared" si="366"/>
        <v>-0.1019771667941247</v>
      </c>
      <c r="E491" s="66">
        <f t="shared" si="366"/>
        <v>-0.10090432821169559</v>
      </c>
      <c r="F491" s="66">
        <f t="shared" si="366"/>
        <v>-9.9462548117645599E-2</v>
      </c>
      <c r="G491" s="66">
        <f t="shared" si="366"/>
        <v>-9.7577863003292326E-2</v>
      </c>
      <c r="H491" s="66">
        <f t="shared" si="366"/>
        <v>-9.520442065489472E-2</v>
      </c>
      <c r="I491" s="66">
        <f t="shared" si="366"/>
        <v>-9.2356357966490887E-2</v>
      </c>
      <c r="J491" s="66">
        <f t="shared" si="366"/>
        <v>-8.9135843713464211E-2</v>
      </c>
      <c r="K491" s="66">
        <f t="shared" si="366"/>
        <v>-8.5735960029981448E-2</v>
      </c>
      <c r="L491" s="66">
        <f t="shared" si="366"/>
        <v>-8.2402979698085577E-2</v>
      </c>
      <c r="M491" s="66">
        <f t="shared" si="366"/>
        <v>-7.9368899097378501E-2</v>
      </c>
      <c r="N491" s="66">
        <f t="shared" si="366"/>
        <v>-7.6790362648163718E-2</v>
      </c>
      <c r="O491" s="66">
        <f t="shared" si="366"/>
        <v>-7.4725416742056905E-2</v>
      </c>
      <c r="P491" s="66">
        <f t="shared" si="366"/>
        <v>-7.3149771366857921E-2</v>
      </c>
      <c r="Q491" s="66">
        <f t="shared" si="366"/>
        <v>-7.1991545649144881E-2</v>
      </c>
      <c r="R491" s="66">
        <f t="shared" si="366"/>
        <v>-7.1163431016642784E-2</v>
      </c>
      <c r="S491" s="66">
        <f t="shared" si="366"/>
        <v>-7.0583044954938307E-2</v>
      </c>
      <c r="T491" s="66">
        <f t="shared" si="366"/>
        <v>-7.0181962512985238E-2</v>
      </c>
      <c r="U491" s="66">
        <f t="shared" si="366"/>
        <v>-6.9907481811252045E-2</v>
      </c>
      <c r="V491" s="66">
        <f t="shared" si="366"/>
        <v>-6.9720894726557167E-2</v>
      </c>
      <c r="W491" s="66">
        <f t="shared" si="366"/>
        <v>-6.9594633322574179E-2</v>
      </c>
      <c r="X491" s="66">
        <f t="shared" si="366"/>
        <v>-6.9509457247627776E-2</v>
      </c>
      <c r="Y491" s="66">
        <f t="shared" si="366"/>
        <v>-6.9452117137092692E-2</v>
      </c>
      <c r="Z491" s="66">
        <f t="shared" si="366"/>
        <v>-6.9413570269721767E-2</v>
      </c>
      <c r="AA491" s="66">
        <f t="shared" si="366"/>
        <v>-6.9387681632284912E-2</v>
      </c>
      <c r="AB491" s="66">
        <f t="shared" si="366"/>
        <v>-6.9370305482401015E-2</v>
      </c>
      <c r="AC491" s="66">
        <f t="shared" si="366"/>
        <v>-6.9358647784235422E-2</v>
      </c>
    </row>
    <row r="492" spans="1:29" x14ac:dyDescent="0.25">
      <c r="A492" s="30" t="str">
        <f t="shared" si="364"/>
        <v>Capex costumization</v>
      </c>
      <c r="B492" s="66">
        <f>((1+B463)^B471)*B463/(((1+B463)^B471)-1)*(B461)/B475</f>
        <v>5.2837539307926999E-2</v>
      </c>
      <c r="C492" s="66">
        <f t="shared" ref="C492:AC492" si="367">((1+C463)^C471)*C463/(((1+C463)^C471)-1)*(C461)/C475</f>
        <v>5.2837539307926999E-2</v>
      </c>
      <c r="D492" s="66">
        <f t="shared" si="367"/>
        <v>5.2837539307926999E-2</v>
      </c>
      <c r="E492" s="66">
        <f t="shared" si="367"/>
        <v>5.2837539307926999E-2</v>
      </c>
      <c r="F492" s="66">
        <f t="shared" si="367"/>
        <v>5.2837539307926999E-2</v>
      </c>
      <c r="G492" s="66">
        <f t="shared" si="367"/>
        <v>5.2837539307926999E-2</v>
      </c>
      <c r="H492" s="66">
        <f t="shared" si="367"/>
        <v>5.2837539307926999E-2</v>
      </c>
      <c r="I492" s="66">
        <f t="shared" si="367"/>
        <v>5.2837539307926999E-2</v>
      </c>
      <c r="J492" s="66">
        <f t="shared" si="367"/>
        <v>5.2837539307926999E-2</v>
      </c>
      <c r="K492" s="66">
        <f t="shared" si="367"/>
        <v>5.2837539307926999E-2</v>
      </c>
      <c r="L492" s="66">
        <f t="shared" si="367"/>
        <v>5.2837539307926999E-2</v>
      </c>
      <c r="M492" s="66">
        <f t="shared" si="367"/>
        <v>5.2837539307926999E-2</v>
      </c>
      <c r="N492" s="66">
        <f t="shared" si="367"/>
        <v>5.2837539307926999E-2</v>
      </c>
      <c r="O492" s="66">
        <f t="shared" si="367"/>
        <v>5.2837539307926999E-2</v>
      </c>
      <c r="P492" s="66">
        <f t="shared" si="367"/>
        <v>5.2837539307926999E-2</v>
      </c>
      <c r="Q492" s="66">
        <f t="shared" si="367"/>
        <v>5.2837539307926999E-2</v>
      </c>
      <c r="R492" s="66">
        <f t="shared" si="367"/>
        <v>5.2837539307926999E-2</v>
      </c>
      <c r="S492" s="66">
        <f t="shared" si="367"/>
        <v>5.2837539307926999E-2</v>
      </c>
      <c r="T492" s="66">
        <f t="shared" si="367"/>
        <v>5.2837539307926999E-2</v>
      </c>
      <c r="U492" s="66">
        <f t="shared" si="367"/>
        <v>5.2837539307926999E-2</v>
      </c>
      <c r="V492" s="66">
        <f t="shared" si="367"/>
        <v>5.2837539307926999E-2</v>
      </c>
      <c r="W492" s="66">
        <f t="shared" si="367"/>
        <v>5.2837539307926999E-2</v>
      </c>
      <c r="X492" s="66">
        <f t="shared" si="367"/>
        <v>5.2837539307926999E-2</v>
      </c>
      <c r="Y492" s="66">
        <f t="shared" si="367"/>
        <v>5.2837539307926999E-2</v>
      </c>
      <c r="Z492" s="66">
        <f t="shared" si="367"/>
        <v>5.2837539307926999E-2</v>
      </c>
      <c r="AA492" s="66">
        <f t="shared" si="367"/>
        <v>5.2837539307926999E-2</v>
      </c>
      <c r="AB492" s="66">
        <f t="shared" si="367"/>
        <v>5.2837539307926999E-2</v>
      </c>
      <c r="AC492" s="66">
        <f t="shared" si="367"/>
        <v>5.2837539307926999E-2</v>
      </c>
    </row>
    <row r="493" spans="1:29" x14ac:dyDescent="0.25">
      <c r="A493" s="30" t="str">
        <f t="shared" si="364"/>
        <v>Residual value (costumization)</v>
      </c>
      <c r="B493" s="66">
        <f>((1+B463)^B471)*B463/(((1+B463)^B471)-1)*(B462)/B475</f>
        <v>-1.320938482698175E-2</v>
      </c>
      <c r="C493" s="66">
        <f t="shared" ref="C493:AC493" si="368">((1+C463)^C471)*C463/(((1+C463)^C471)-1)*(C462)/C475</f>
        <v>-1.320938482698175E-2</v>
      </c>
      <c r="D493" s="66">
        <f t="shared" si="368"/>
        <v>-1.320938482698175E-2</v>
      </c>
      <c r="E493" s="66">
        <f t="shared" si="368"/>
        <v>-1.320938482698175E-2</v>
      </c>
      <c r="F493" s="66">
        <f t="shared" si="368"/>
        <v>-1.320938482698175E-2</v>
      </c>
      <c r="G493" s="66">
        <f t="shared" si="368"/>
        <v>-1.320938482698175E-2</v>
      </c>
      <c r="H493" s="66">
        <f t="shared" si="368"/>
        <v>-1.320938482698175E-2</v>
      </c>
      <c r="I493" s="66">
        <f t="shared" si="368"/>
        <v>-1.320938482698175E-2</v>
      </c>
      <c r="J493" s="66">
        <f t="shared" si="368"/>
        <v>-1.320938482698175E-2</v>
      </c>
      <c r="K493" s="66">
        <f t="shared" si="368"/>
        <v>-1.320938482698175E-2</v>
      </c>
      <c r="L493" s="66">
        <f t="shared" si="368"/>
        <v>-1.320938482698175E-2</v>
      </c>
      <c r="M493" s="66">
        <f t="shared" si="368"/>
        <v>-1.320938482698175E-2</v>
      </c>
      <c r="N493" s="66">
        <f t="shared" si="368"/>
        <v>-1.320938482698175E-2</v>
      </c>
      <c r="O493" s="66">
        <f t="shared" si="368"/>
        <v>-1.320938482698175E-2</v>
      </c>
      <c r="P493" s="66">
        <f t="shared" si="368"/>
        <v>-1.320938482698175E-2</v>
      </c>
      <c r="Q493" s="66">
        <f t="shared" si="368"/>
        <v>-1.320938482698175E-2</v>
      </c>
      <c r="R493" s="66">
        <f t="shared" si="368"/>
        <v>-1.320938482698175E-2</v>
      </c>
      <c r="S493" s="66">
        <f t="shared" si="368"/>
        <v>-1.320938482698175E-2</v>
      </c>
      <c r="T493" s="66">
        <f t="shared" si="368"/>
        <v>-1.320938482698175E-2</v>
      </c>
      <c r="U493" s="66">
        <f t="shared" si="368"/>
        <v>-1.320938482698175E-2</v>
      </c>
      <c r="V493" s="66">
        <f t="shared" si="368"/>
        <v>-1.320938482698175E-2</v>
      </c>
      <c r="W493" s="66">
        <f t="shared" si="368"/>
        <v>-1.320938482698175E-2</v>
      </c>
      <c r="X493" s="66">
        <f t="shared" si="368"/>
        <v>-1.320938482698175E-2</v>
      </c>
      <c r="Y493" s="66">
        <f t="shared" si="368"/>
        <v>-1.320938482698175E-2</v>
      </c>
      <c r="Z493" s="66">
        <f t="shared" si="368"/>
        <v>-1.320938482698175E-2</v>
      </c>
      <c r="AA493" s="66">
        <f t="shared" si="368"/>
        <v>-1.320938482698175E-2</v>
      </c>
      <c r="AB493" s="66">
        <f t="shared" si="368"/>
        <v>-1.320938482698175E-2</v>
      </c>
      <c r="AC493" s="66">
        <f t="shared" si="368"/>
        <v>-1.320938482698175E-2</v>
      </c>
    </row>
    <row r="494" spans="1:29" x14ac:dyDescent="0.25">
      <c r="A494" s="30" t="str">
        <f t="shared" si="364"/>
        <v>Opex fix (admin, crew, insurance)</v>
      </c>
      <c r="B494" s="66">
        <f>B464/B475</f>
        <v>0.77777777777777779</v>
      </c>
      <c r="C494" s="66">
        <f t="shared" ref="C494:AC494" si="369">C464/C475</f>
        <v>0.77777777777777779</v>
      </c>
      <c r="D494" s="66">
        <f t="shared" si="369"/>
        <v>0.77777777777777779</v>
      </c>
      <c r="E494" s="66">
        <f t="shared" si="369"/>
        <v>0.77777777777777779</v>
      </c>
      <c r="F494" s="66">
        <f t="shared" si="369"/>
        <v>0.77777777777777779</v>
      </c>
      <c r="G494" s="66">
        <f t="shared" si="369"/>
        <v>0.77777777777777779</v>
      </c>
      <c r="H494" s="66">
        <f t="shared" si="369"/>
        <v>0.77777777777777779</v>
      </c>
      <c r="I494" s="66">
        <f t="shared" si="369"/>
        <v>0.77777777777777779</v>
      </c>
      <c r="J494" s="66">
        <f t="shared" si="369"/>
        <v>0.77777777777777779</v>
      </c>
      <c r="K494" s="66">
        <f t="shared" si="369"/>
        <v>0.77777777777777779</v>
      </c>
      <c r="L494" s="66">
        <f t="shared" si="369"/>
        <v>0.77777777777777779</v>
      </c>
      <c r="M494" s="66">
        <f t="shared" si="369"/>
        <v>0.77777777777777779</v>
      </c>
      <c r="N494" s="66">
        <f t="shared" si="369"/>
        <v>0.77777777777777779</v>
      </c>
      <c r="O494" s="66">
        <f t="shared" si="369"/>
        <v>0.77777777777777779</v>
      </c>
      <c r="P494" s="66">
        <f t="shared" si="369"/>
        <v>0.77777777777777779</v>
      </c>
      <c r="Q494" s="66">
        <f t="shared" si="369"/>
        <v>0.77777777777777779</v>
      </c>
      <c r="R494" s="66">
        <f t="shared" si="369"/>
        <v>0.77777777777777779</v>
      </c>
      <c r="S494" s="66">
        <f t="shared" si="369"/>
        <v>0.77777777777777779</v>
      </c>
      <c r="T494" s="66">
        <f t="shared" si="369"/>
        <v>0.77777777777777779</v>
      </c>
      <c r="U494" s="66">
        <f t="shared" si="369"/>
        <v>0.77777777777777779</v>
      </c>
      <c r="V494" s="66">
        <f t="shared" si="369"/>
        <v>0.77777777777777779</v>
      </c>
      <c r="W494" s="66">
        <f t="shared" si="369"/>
        <v>0.77777777777777779</v>
      </c>
      <c r="X494" s="66">
        <f t="shared" si="369"/>
        <v>0.77777777777777779</v>
      </c>
      <c r="Y494" s="66">
        <f t="shared" si="369"/>
        <v>0.77777777777777779</v>
      </c>
      <c r="Z494" s="66">
        <f t="shared" si="369"/>
        <v>0.77777777777777779</v>
      </c>
      <c r="AA494" s="66">
        <f t="shared" si="369"/>
        <v>0.77777777777777779</v>
      </c>
      <c r="AB494" s="66">
        <f t="shared" si="369"/>
        <v>0.77777777777777779</v>
      </c>
      <c r="AC494" s="66">
        <f t="shared" si="369"/>
        <v>0.77777777777777779</v>
      </c>
    </row>
    <row r="495" spans="1:29" x14ac:dyDescent="0.25">
      <c r="A495" s="30" t="str">
        <f t="shared" si="364"/>
        <v>Opex maintenance &amp; repair</v>
      </c>
      <c r="B495" s="66">
        <f>B465/B475</f>
        <v>0.28549109703252695</v>
      </c>
      <c r="C495" s="66">
        <f t="shared" ref="C495:AC495" si="370">C465/C475</f>
        <v>0.28407536636045455</v>
      </c>
      <c r="D495" s="66">
        <f t="shared" si="370"/>
        <v>0.2821069868001258</v>
      </c>
      <c r="E495" s="66">
        <f t="shared" si="370"/>
        <v>0.27940841206014083</v>
      </c>
      <c r="F495" s="66">
        <f t="shared" si="370"/>
        <v>0.27578181677717956</v>
      </c>
      <c r="G495" s="66">
        <f t="shared" si="370"/>
        <v>0.27104115613566571</v>
      </c>
      <c r="H495" s="66">
        <f t="shared" si="370"/>
        <v>0.26507109533332746</v>
      </c>
      <c r="I495" s="66">
        <f t="shared" si="370"/>
        <v>0.25790719374114374</v>
      </c>
      <c r="J495" s="66">
        <f t="shared" si="370"/>
        <v>0.24980644256075518</v>
      </c>
      <c r="K495" s="66">
        <f t="shared" si="370"/>
        <v>0.24125451277616472</v>
      </c>
      <c r="L495" s="66">
        <f t="shared" si="370"/>
        <v>0.23287086897379905</v>
      </c>
      <c r="M495" s="66">
        <f t="shared" si="370"/>
        <v>0.22523906545531661</v>
      </c>
      <c r="N495" s="66">
        <f t="shared" si="370"/>
        <v>0.21875311925432689</v>
      </c>
      <c r="O495" s="66">
        <f t="shared" si="370"/>
        <v>0.21355903791448727</v>
      </c>
      <c r="P495" s="66">
        <f t="shared" si="370"/>
        <v>0.20959572332240889</v>
      </c>
      <c r="Q495" s="66">
        <f t="shared" si="370"/>
        <v>0.20668236923894151</v>
      </c>
      <c r="R495" s="66">
        <f t="shared" si="370"/>
        <v>0.20459936321577799</v>
      </c>
      <c r="S495" s="66">
        <f t="shared" si="370"/>
        <v>0.20313948361114187</v>
      </c>
      <c r="T495" s="66">
        <f t="shared" si="370"/>
        <v>0.20213061707312519</v>
      </c>
      <c r="U495" s="66">
        <f t="shared" si="370"/>
        <v>0.2014401994274124</v>
      </c>
      <c r="V495" s="66">
        <f t="shared" si="370"/>
        <v>0.20097086582792076</v>
      </c>
      <c r="W495" s="66">
        <f t="shared" si="370"/>
        <v>0.20065327300360972</v>
      </c>
      <c r="X495" s="66">
        <f t="shared" si="370"/>
        <v>0.20043902455275606</v>
      </c>
      <c r="Y495" s="66">
        <f t="shared" si="370"/>
        <v>0.20029479355993737</v>
      </c>
      <c r="Z495" s="66">
        <f t="shared" si="370"/>
        <v>0.20019783433019273</v>
      </c>
      <c r="AA495" s="66">
        <f t="shared" si="370"/>
        <v>0.20013271509959835</v>
      </c>
      <c r="AB495" s="66">
        <f t="shared" si="370"/>
        <v>0.2000890078355953</v>
      </c>
      <c r="AC495" s="66">
        <f t="shared" si="370"/>
        <v>0.20005968453355225</v>
      </c>
    </row>
    <row r="496" spans="1:29" x14ac:dyDescent="0.25">
      <c r="A496" s="30" t="str">
        <f t="shared" si="364"/>
        <v>Opex var (mode-fees)</v>
      </c>
      <c r="B496" s="66">
        <f>B466*B475/B475</f>
        <v>0.11</v>
      </c>
      <c r="C496" s="66">
        <f t="shared" ref="C496:AC496" si="371">C466*C475/C475</f>
        <v>0.11</v>
      </c>
      <c r="D496" s="66">
        <f t="shared" si="371"/>
        <v>0.11</v>
      </c>
      <c r="E496" s="66">
        <f t="shared" si="371"/>
        <v>0.11</v>
      </c>
      <c r="F496" s="66">
        <f t="shared" si="371"/>
        <v>0.11</v>
      </c>
      <c r="G496" s="66">
        <f t="shared" si="371"/>
        <v>0.11</v>
      </c>
      <c r="H496" s="66">
        <f t="shared" si="371"/>
        <v>0.11</v>
      </c>
      <c r="I496" s="66">
        <f t="shared" si="371"/>
        <v>0.11</v>
      </c>
      <c r="J496" s="66">
        <f t="shared" si="371"/>
        <v>0.11</v>
      </c>
      <c r="K496" s="66">
        <f t="shared" si="371"/>
        <v>0.11</v>
      </c>
      <c r="L496" s="66">
        <f t="shared" si="371"/>
        <v>0.11</v>
      </c>
      <c r="M496" s="66">
        <f t="shared" si="371"/>
        <v>0.11</v>
      </c>
      <c r="N496" s="66">
        <f t="shared" si="371"/>
        <v>0.11</v>
      </c>
      <c r="O496" s="66">
        <f t="shared" si="371"/>
        <v>0.11</v>
      </c>
      <c r="P496" s="66">
        <f t="shared" si="371"/>
        <v>0.11</v>
      </c>
      <c r="Q496" s="66">
        <f t="shared" si="371"/>
        <v>0.11</v>
      </c>
      <c r="R496" s="66">
        <f t="shared" si="371"/>
        <v>0.11</v>
      </c>
      <c r="S496" s="66">
        <f t="shared" si="371"/>
        <v>0.11</v>
      </c>
      <c r="T496" s="66">
        <f t="shared" si="371"/>
        <v>0.11</v>
      </c>
      <c r="U496" s="66">
        <f t="shared" si="371"/>
        <v>0.11</v>
      </c>
      <c r="V496" s="66">
        <f t="shared" si="371"/>
        <v>0.11</v>
      </c>
      <c r="W496" s="66">
        <f t="shared" si="371"/>
        <v>0.11</v>
      </c>
      <c r="X496" s="66">
        <f t="shared" si="371"/>
        <v>0.11</v>
      </c>
      <c r="Y496" s="66">
        <f t="shared" si="371"/>
        <v>0.11</v>
      </c>
      <c r="Z496" s="66">
        <f t="shared" si="371"/>
        <v>0.11</v>
      </c>
      <c r="AA496" s="66">
        <f t="shared" si="371"/>
        <v>0.11</v>
      </c>
      <c r="AB496" s="66">
        <f t="shared" si="371"/>
        <v>0.11</v>
      </c>
      <c r="AC496" s="66">
        <f t="shared" si="371"/>
        <v>0.11</v>
      </c>
    </row>
    <row r="497" spans="1:29" x14ac:dyDescent="0.25">
      <c r="A497" s="30" t="str">
        <f t="shared" si="364"/>
        <v>Fuel Cost</v>
      </c>
      <c r="B497" s="66">
        <f>B467*B468*B475/B475</f>
        <v>0.49273540880330335</v>
      </c>
      <c r="C497" s="66">
        <f t="shared" ref="C497:AC497" si="372">C467*C468*C475/C475</f>
        <v>0.47767900410399794</v>
      </c>
      <c r="D497" s="66">
        <f t="shared" si="372"/>
        <v>0.46188405358693935</v>
      </c>
      <c r="E497" s="66">
        <f t="shared" si="372"/>
        <v>0.44895221489419984</v>
      </c>
      <c r="F497" s="66">
        <f t="shared" si="372"/>
        <v>0.43479297751634616</v>
      </c>
      <c r="G497" s="66">
        <f t="shared" si="372"/>
        <v>0.41921630743435451</v>
      </c>
      <c r="H497" s="66">
        <f t="shared" si="372"/>
        <v>0.40215578118011269</v>
      </c>
      <c r="I497" s="66">
        <f t="shared" si="372"/>
        <v>0.38377084579073645</v>
      </c>
      <c r="J497" s="66">
        <f t="shared" si="372"/>
        <v>0.37205800949218665</v>
      </c>
      <c r="K497" s="66">
        <f t="shared" si="372"/>
        <v>0.35973153837844385</v>
      </c>
      <c r="L497" s="66">
        <f t="shared" si="372"/>
        <v>0.34766188176300361</v>
      </c>
      <c r="M497" s="66">
        <f t="shared" si="372"/>
        <v>0.33666615598107319</v>
      </c>
      <c r="N497" s="66">
        <f t="shared" si="372"/>
        <v>0.3272932731287706</v>
      </c>
      <c r="O497" s="66">
        <f t="shared" si="372"/>
        <v>0.31299156481323526</v>
      </c>
      <c r="P497" s="66">
        <f t="shared" si="372"/>
        <v>0.30065680072419226</v>
      </c>
      <c r="Q497" s="66">
        <f t="shared" si="372"/>
        <v>0.28993896641519301</v>
      </c>
      <c r="R497" s="66">
        <f t="shared" si="372"/>
        <v>0.28046073174062519</v>
      </c>
      <c r="S497" s="66">
        <f t="shared" si="372"/>
        <v>0.2718872252520399</v>
      </c>
      <c r="T497" s="66">
        <f t="shared" si="372"/>
        <v>0.2644307339426627</v>
      </c>
      <c r="U497" s="66">
        <f t="shared" si="372"/>
        <v>0.25741054782419687</v>
      </c>
      <c r="V497" s="66">
        <f t="shared" si="372"/>
        <v>0.2506863858104923</v>
      </c>
      <c r="W497" s="66">
        <f t="shared" si="372"/>
        <v>0.24416080879339383</v>
      </c>
      <c r="X497" s="66">
        <f t="shared" si="372"/>
        <v>0.2377674124098805</v>
      </c>
      <c r="Y497" s="66">
        <f t="shared" si="372"/>
        <v>0.23252464509599877</v>
      </c>
      <c r="Z497" s="66">
        <f t="shared" si="372"/>
        <v>0.22733862375396258</v>
      </c>
      <c r="AA497" s="66">
        <f t="shared" si="372"/>
        <v>0.22219006315132597</v>
      </c>
      <c r="AB497" s="66">
        <f t="shared" si="372"/>
        <v>0.21706618484500875</v>
      </c>
      <c r="AC497" s="66">
        <f t="shared" si="372"/>
        <v>0.21195854600732136</v>
      </c>
    </row>
    <row r="498" spans="1:29" ht="15.75" thickBot="1" x14ac:dyDescent="0.3">
      <c r="A498" s="59" t="str">
        <f t="shared" ref="A498" si="373">A486</f>
        <v>Emission Cost</v>
      </c>
      <c r="B498" s="66">
        <f>B469</f>
        <v>0</v>
      </c>
      <c r="C498" s="66">
        <f t="shared" ref="C498:AC498" si="374">C469</f>
        <v>0</v>
      </c>
      <c r="D498" s="66">
        <f t="shared" si="374"/>
        <v>0</v>
      </c>
      <c r="E498" s="66">
        <f t="shared" si="374"/>
        <v>0</v>
      </c>
      <c r="F498" s="66">
        <f t="shared" si="374"/>
        <v>0</v>
      </c>
      <c r="G498" s="66">
        <f t="shared" si="374"/>
        <v>0</v>
      </c>
      <c r="H498" s="66">
        <f t="shared" si="374"/>
        <v>0</v>
      </c>
      <c r="I498" s="66">
        <f t="shared" si="374"/>
        <v>0</v>
      </c>
      <c r="J498" s="66">
        <f t="shared" si="374"/>
        <v>0</v>
      </c>
      <c r="K498" s="66">
        <f t="shared" si="374"/>
        <v>0</v>
      </c>
      <c r="L498" s="66">
        <f t="shared" si="374"/>
        <v>0</v>
      </c>
      <c r="M498" s="66">
        <f t="shared" si="374"/>
        <v>0</v>
      </c>
      <c r="N498" s="66">
        <f t="shared" si="374"/>
        <v>0</v>
      </c>
      <c r="O498" s="66">
        <f t="shared" si="374"/>
        <v>0</v>
      </c>
      <c r="P498" s="66">
        <f t="shared" si="374"/>
        <v>0</v>
      </c>
      <c r="Q498" s="66">
        <f t="shared" si="374"/>
        <v>0</v>
      </c>
      <c r="R498" s="66">
        <f t="shared" si="374"/>
        <v>0</v>
      </c>
      <c r="S498" s="66">
        <f t="shared" si="374"/>
        <v>0</v>
      </c>
      <c r="T498" s="66">
        <f t="shared" si="374"/>
        <v>0</v>
      </c>
      <c r="U498" s="66">
        <f t="shared" si="374"/>
        <v>0</v>
      </c>
      <c r="V498" s="66">
        <f t="shared" si="374"/>
        <v>0</v>
      </c>
      <c r="W498" s="66">
        <f t="shared" si="374"/>
        <v>0</v>
      </c>
      <c r="X498" s="66">
        <f t="shared" si="374"/>
        <v>0</v>
      </c>
      <c r="Y498" s="66">
        <f t="shared" si="374"/>
        <v>0</v>
      </c>
      <c r="Z498" s="66">
        <f t="shared" si="374"/>
        <v>0</v>
      </c>
      <c r="AA498" s="66">
        <f t="shared" si="374"/>
        <v>0</v>
      </c>
      <c r="AB498" s="66">
        <f t="shared" si="374"/>
        <v>0</v>
      </c>
      <c r="AC498" s="66">
        <f t="shared" si="374"/>
        <v>0</v>
      </c>
    </row>
    <row r="499" spans="1:29" ht="15.75" thickBot="1" x14ac:dyDescent="0.3">
      <c r="A499" s="31" t="s">
        <v>63</v>
      </c>
      <c r="B499" s="76">
        <f>B490+B491+B492-B493+B494+B495+B496+B497+B498</f>
        <v>2.3104780614474283</v>
      </c>
      <c r="C499" s="76">
        <f t="shared" ref="C499:AC499" si="375">C490+C491+C492-C493+C494+C495+C496+C497+C498</f>
        <v>2.287871744401909</v>
      </c>
      <c r="D499" s="76">
        <f t="shared" si="375"/>
        <v>2.2615796750205628</v>
      </c>
      <c r="E499" s="76">
        <f t="shared" si="375"/>
        <v>2.2342566790628826</v>
      </c>
      <c r="F499" s="76">
        <f t="shared" si="375"/>
        <v>2.2007572684150167</v>
      </c>
      <c r="G499" s="76">
        <f t="shared" si="375"/>
        <v>2.1598992556224208</v>
      </c>
      <c r="H499" s="76">
        <f t="shared" si="375"/>
        <v>2.1110011513257096</v>
      </c>
      <c r="I499" s="76">
        <f t="shared" si="375"/>
        <v>2.0544120361831912</v>
      </c>
      <c r="J499" s="76">
        <f t="shared" si="375"/>
        <v>1.9994989199465825</v>
      </c>
      <c r="K499" s="76">
        <f t="shared" si="375"/>
        <v>1.9415660905485195</v>
      </c>
      <c r="L499" s="76">
        <f t="shared" si="375"/>
        <v>1.8847875234754938</v>
      </c>
      <c r="M499" s="76">
        <f t="shared" si="375"/>
        <v>1.8330923562357295</v>
      </c>
      <c r="N499" s="76">
        <f t="shared" si="375"/>
        <v>1.7891307438561848</v>
      </c>
      <c r="O499" s="76">
        <f t="shared" si="375"/>
        <v>1.7471296576798228</v>
      </c>
      <c r="P499" s="76">
        <f t="shared" si="375"/>
        <v>1.7136590388968491</v>
      </c>
      <c r="Q499" s="76">
        <f t="shared" si="375"/>
        <v>1.687404656289814</v>
      </c>
      <c r="R499" s="76">
        <f t="shared" si="375"/>
        <v>1.66681801434418</v>
      </c>
      <c r="S499" s="76">
        <f t="shared" si="375"/>
        <v>1.6504591548442806</v>
      </c>
      <c r="T499" s="76">
        <f t="shared" si="375"/>
        <v>1.637622506078892</v>
      </c>
      <c r="U499" s="76">
        <f t="shared" si="375"/>
        <v>1.6269204101097476</v>
      </c>
      <c r="V499" s="76">
        <f t="shared" si="375"/>
        <v>1.6176933514595606</v>
      </c>
      <c r="W499" s="76">
        <f t="shared" si="375"/>
        <v>1.6094740921392983</v>
      </c>
      <c r="X499" s="76">
        <f t="shared" si="375"/>
        <v>1.601938135905832</v>
      </c>
      <c r="Y499" s="76">
        <f t="shared" si="375"/>
        <v>1.5959262029767176</v>
      </c>
      <c r="Z499" s="76">
        <f t="shared" si="375"/>
        <v>1.5902231103440965</v>
      </c>
      <c r="AA499" s="76">
        <f t="shared" si="375"/>
        <v>1.5847272771332312</v>
      </c>
      <c r="AB499" s="76">
        <f t="shared" si="375"/>
        <v>1.5793703135243029</v>
      </c>
      <c r="AC499" s="76">
        <f t="shared" si="375"/>
        <v>1.5741062972311475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2.7269975953624806E-2</v>
      </c>
      <c r="C502" s="65">
        <f t="shared" ref="C502:AC502" si="377">((1+C463)^C470)*C463/(((1+C463)^C470)-1)*(C459)/C475/(C472)</f>
        <v>2.7002095313731978E-2</v>
      </c>
      <c r="D502" s="65">
        <f t="shared" si="377"/>
        <v>2.6629643980597428E-2</v>
      </c>
      <c r="E502" s="65">
        <f t="shared" si="377"/>
        <v>2.6119027136302046E-2</v>
      </c>
      <c r="F502" s="65">
        <f t="shared" si="377"/>
        <v>2.5432812813057998E-2</v>
      </c>
      <c r="G502" s="65">
        <f t="shared" si="377"/>
        <v>2.4535798125720237E-2</v>
      </c>
      <c r="H502" s="65">
        <f t="shared" si="377"/>
        <v>2.3406159742179106E-2</v>
      </c>
      <c r="I502" s="65">
        <f t="shared" si="377"/>
        <v>2.2050626108204612E-2</v>
      </c>
      <c r="J502" s="65">
        <f t="shared" si="377"/>
        <v>2.0517824387776735E-2</v>
      </c>
      <c r="K502" s="65">
        <f t="shared" si="377"/>
        <v>1.889965190044823E-2</v>
      </c>
      <c r="L502" s="65">
        <f t="shared" si="377"/>
        <v>1.7313322020963605E-2</v>
      </c>
      <c r="M502" s="65">
        <f t="shared" si="377"/>
        <v>1.586925327936126E-2</v>
      </c>
      <c r="N502" s="65">
        <f t="shared" si="377"/>
        <v>1.4642000488342575E-2</v>
      </c>
      <c r="O502" s="65">
        <f t="shared" si="377"/>
        <v>1.3659190791258826E-2</v>
      </c>
      <c r="P502" s="65">
        <f t="shared" si="377"/>
        <v>1.2909263372176771E-2</v>
      </c>
      <c r="Q502" s="65">
        <f t="shared" si="377"/>
        <v>1.2358006574885507E-2</v>
      </c>
      <c r="R502" s="65">
        <f t="shared" si="377"/>
        <v>1.1963865939669313E-2</v>
      </c>
      <c r="S502" s="65">
        <f t="shared" si="377"/>
        <v>1.1687631560934022E-2</v>
      </c>
      <c r="T502" s="65">
        <f t="shared" si="377"/>
        <v>1.1496736626536108E-2</v>
      </c>
      <c r="U502" s="65">
        <f t="shared" si="377"/>
        <v>1.1366097710268157E-2</v>
      </c>
      <c r="V502" s="65">
        <f t="shared" si="377"/>
        <v>1.1277291705400727E-2</v>
      </c>
      <c r="W502" s="65">
        <f t="shared" si="377"/>
        <v>1.12171976700873E-2</v>
      </c>
      <c r="X502" s="65">
        <f t="shared" si="377"/>
        <v>1.1176658171125467E-2</v>
      </c>
      <c r="Y502" s="65">
        <f t="shared" si="377"/>
        <v>1.11493671818075E-2</v>
      </c>
      <c r="Z502" s="65">
        <f t="shared" si="377"/>
        <v>1.1131020824679061E-2</v>
      </c>
      <c r="AA502" s="65">
        <f t="shared" si="377"/>
        <v>1.11186991440762E-2</v>
      </c>
      <c r="AB502" s="65">
        <f t="shared" si="377"/>
        <v>1.1110428976536531E-2</v>
      </c>
      <c r="AC502" s="65">
        <f t="shared" si="377"/>
        <v>1.1104880502472903E-2</v>
      </c>
    </row>
    <row r="503" spans="1:29" x14ac:dyDescent="0.25">
      <c r="A503" s="30" t="str">
        <f t="shared" si="376"/>
        <v>Residual value (vehicle)</v>
      </c>
      <c r="B503" s="68">
        <f>((1+B463)^B470)*B463/(((1+B463)^B470)-1)*(B460)/B475/(B472)</f>
        <v>-4.1329018056683528E-3</v>
      </c>
      <c r="C503" s="68">
        <f t="shared" ref="C503:AC503" si="378">((1+C463)^C470)*C463/(((1+C463)^C470)-1)*(C460)/C475/(C472)</f>
        <v>-4.1103884327411905E-3</v>
      </c>
      <c r="D503" s="68">
        <f t="shared" si="378"/>
        <v>-4.0790866717649883E-3</v>
      </c>
      <c r="E503" s="68">
        <f t="shared" si="378"/>
        <v>-4.0361731284678237E-3</v>
      </c>
      <c r="F503" s="68">
        <f t="shared" si="378"/>
        <v>-3.9785019247058238E-3</v>
      </c>
      <c r="G503" s="68">
        <f t="shared" si="378"/>
        <v>-3.903114520131693E-3</v>
      </c>
      <c r="H503" s="68">
        <f t="shared" si="378"/>
        <v>-3.8081768261957888E-3</v>
      </c>
      <c r="I503" s="68">
        <f t="shared" si="378"/>
        <v>-3.6942543186596357E-3</v>
      </c>
      <c r="J503" s="68">
        <f t="shared" si="378"/>
        <v>-3.5654337485385686E-3</v>
      </c>
      <c r="K503" s="68">
        <f t="shared" si="378"/>
        <v>-3.4294384011992578E-3</v>
      </c>
      <c r="L503" s="68">
        <f t="shared" si="378"/>
        <v>-3.296119187923423E-3</v>
      </c>
      <c r="M503" s="68">
        <f t="shared" si="378"/>
        <v>-3.1747559638951399E-3</v>
      </c>
      <c r="N503" s="68">
        <f t="shared" si="378"/>
        <v>-3.0716145059265488E-3</v>
      </c>
      <c r="O503" s="68">
        <f t="shared" si="378"/>
        <v>-2.9890166696822764E-3</v>
      </c>
      <c r="P503" s="68">
        <f t="shared" si="378"/>
        <v>-2.9259908546743168E-3</v>
      </c>
      <c r="Q503" s="68">
        <f t="shared" si="378"/>
        <v>-2.8796618259657953E-3</v>
      </c>
      <c r="R503" s="68">
        <f t="shared" si="378"/>
        <v>-2.8465372406657114E-3</v>
      </c>
      <c r="S503" s="68">
        <f t="shared" si="378"/>
        <v>-2.8233217981975321E-3</v>
      </c>
      <c r="T503" s="68">
        <f t="shared" si="378"/>
        <v>-2.8072785005194096E-3</v>
      </c>
      <c r="U503" s="68">
        <f t="shared" si="378"/>
        <v>-2.7962992724500819E-3</v>
      </c>
      <c r="V503" s="68">
        <f t="shared" si="378"/>
        <v>-2.7888357890622868E-3</v>
      </c>
      <c r="W503" s="68">
        <f t="shared" si="378"/>
        <v>-2.7837853329029673E-3</v>
      </c>
      <c r="X503" s="68">
        <f t="shared" si="378"/>
        <v>-2.7803782899051112E-3</v>
      </c>
      <c r="Y503" s="68">
        <f t="shared" si="378"/>
        <v>-2.7780846854837077E-3</v>
      </c>
      <c r="Z503" s="68">
        <f t="shared" si="378"/>
        <v>-2.7765428107888708E-3</v>
      </c>
      <c r="AA503" s="68">
        <f t="shared" si="378"/>
        <v>-2.7755072652913965E-3</v>
      </c>
      <c r="AB503" s="68">
        <f t="shared" si="378"/>
        <v>-2.7748122192960407E-3</v>
      </c>
      <c r="AC503" s="68">
        <f t="shared" si="378"/>
        <v>-2.7743459113694167E-3</v>
      </c>
    </row>
    <row r="504" spans="1:29" x14ac:dyDescent="0.25">
      <c r="A504" s="30" t="str">
        <f t="shared" si="376"/>
        <v>Capex costumization</v>
      </c>
      <c r="B504" s="66">
        <f>((1+B463)^B471)*B463/(((1+B463)^B471)-1)*(B461)/B475/(B472)</f>
        <v>2.1135015723170798E-3</v>
      </c>
      <c r="C504" s="66">
        <f t="shared" ref="C504:AC504" si="379">((1+C463)^C471)*C463/(((1+C463)^C471)-1)*(C461)/C475/(C472)</f>
        <v>2.1135015723170798E-3</v>
      </c>
      <c r="D504" s="66">
        <f t="shared" si="379"/>
        <v>2.1135015723170798E-3</v>
      </c>
      <c r="E504" s="66">
        <f t="shared" si="379"/>
        <v>2.1135015723170798E-3</v>
      </c>
      <c r="F504" s="66">
        <f t="shared" si="379"/>
        <v>2.1135015723170798E-3</v>
      </c>
      <c r="G504" s="66">
        <f t="shared" si="379"/>
        <v>2.1135015723170798E-3</v>
      </c>
      <c r="H504" s="66">
        <f t="shared" si="379"/>
        <v>2.1135015723170798E-3</v>
      </c>
      <c r="I504" s="66">
        <f t="shared" si="379"/>
        <v>2.1135015723170798E-3</v>
      </c>
      <c r="J504" s="66">
        <f t="shared" si="379"/>
        <v>2.1135015723170798E-3</v>
      </c>
      <c r="K504" s="66">
        <f t="shared" si="379"/>
        <v>2.1135015723170798E-3</v>
      </c>
      <c r="L504" s="66">
        <f t="shared" si="379"/>
        <v>2.1135015723170798E-3</v>
      </c>
      <c r="M504" s="66">
        <f t="shared" si="379"/>
        <v>2.1135015723170798E-3</v>
      </c>
      <c r="N504" s="66">
        <f t="shared" si="379"/>
        <v>2.1135015723170798E-3</v>
      </c>
      <c r="O504" s="66">
        <f t="shared" si="379"/>
        <v>2.1135015723170798E-3</v>
      </c>
      <c r="P504" s="66">
        <f t="shared" si="379"/>
        <v>2.1135015723170798E-3</v>
      </c>
      <c r="Q504" s="66">
        <f t="shared" si="379"/>
        <v>2.1135015723170798E-3</v>
      </c>
      <c r="R504" s="66">
        <f t="shared" si="379"/>
        <v>2.1135015723170798E-3</v>
      </c>
      <c r="S504" s="66">
        <f t="shared" si="379"/>
        <v>2.1135015723170798E-3</v>
      </c>
      <c r="T504" s="66">
        <f t="shared" si="379"/>
        <v>2.1135015723170798E-3</v>
      </c>
      <c r="U504" s="66">
        <f t="shared" si="379"/>
        <v>2.1135015723170798E-3</v>
      </c>
      <c r="V504" s="66">
        <f t="shared" si="379"/>
        <v>2.1135015723170798E-3</v>
      </c>
      <c r="W504" s="66">
        <f t="shared" si="379"/>
        <v>2.1135015723170798E-3</v>
      </c>
      <c r="X504" s="66">
        <f t="shared" si="379"/>
        <v>2.1135015723170798E-3</v>
      </c>
      <c r="Y504" s="66">
        <f t="shared" si="379"/>
        <v>2.1135015723170798E-3</v>
      </c>
      <c r="Z504" s="66">
        <f t="shared" si="379"/>
        <v>2.1135015723170798E-3</v>
      </c>
      <c r="AA504" s="66">
        <f t="shared" si="379"/>
        <v>2.1135015723170798E-3</v>
      </c>
      <c r="AB504" s="66">
        <f t="shared" si="379"/>
        <v>2.1135015723170798E-3</v>
      </c>
      <c r="AC504" s="66">
        <f t="shared" si="379"/>
        <v>2.1135015723170798E-3</v>
      </c>
    </row>
    <row r="505" spans="1:29" x14ac:dyDescent="0.25">
      <c r="A505" s="30" t="str">
        <f t="shared" si="376"/>
        <v>Residual value (costumization)</v>
      </c>
      <c r="B505" s="69">
        <f>((1+B463)^B471)*B463/(((1+B463)^B471)-1)*(B462)/B475/(B472)</f>
        <v>-5.2837539307926996E-4</v>
      </c>
      <c r="C505" s="69">
        <f t="shared" ref="C505:AC505" si="380">((1+C463)^C471)*C463/(((1+C463)^C471)-1)*(C462)/C475/(C472)</f>
        <v>-5.2837539307926996E-4</v>
      </c>
      <c r="D505" s="69">
        <f t="shared" si="380"/>
        <v>-5.2837539307926996E-4</v>
      </c>
      <c r="E505" s="69">
        <f t="shared" si="380"/>
        <v>-5.2837539307926996E-4</v>
      </c>
      <c r="F505" s="69">
        <f t="shared" si="380"/>
        <v>-5.2837539307926996E-4</v>
      </c>
      <c r="G505" s="69">
        <f t="shared" si="380"/>
        <v>-5.2837539307926996E-4</v>
      </c>
      <c r="H505" s="69">
        <f t="shared" si="380"/>
        <v>-5.2837539307926996E-4</v>
      </c>
      <c r="I505" s="69">
        <f t="shared" si="380"/>
        <v>-5.2837539307926996E-4</v>
      </c>
      <c r="J505" s="69">
        <f t="shared" si="380"/>
        <v>-5.2837539307926996E-4</v>
      </c>
      <c r="K505" s="69">
        <f t="shared" si="380"/>
        <v>-5.2837539307926996E-4</v>
      </c>
      <c r="L505" s="69">
        <f t="shared" si="380"/>
        <v>-5.2837539307926996E-4</v>
      </c>
      <c r="M505" s="69">
        <f t="shared" si="380"/>
        <v>-5.2837539307926996E-4</v>
      </c>
      <c r="N505" s="69">
        <f t="shared" si="380"/>
        <v>-5.2837539307926996E-4</v>
      </c>
      <c r="O505" s="69">
        <f t="shared" si="380"/>
        <v>-5.2837539307926996E-4</v>
      </c>
      <c r="P505" s="69">
        <f t="shared" si="380"/>
        <v>-5.2837539307926996E-4</v>
      </c>
      <c r="Q505" s="69">
        <f t="shared" si="380"/>
        <v>-5.2837539307926996E-4</v>
      </c>
      <c r="R505" s="69">
        <f t="shared" si="380"/>
        <v>-5.2837539307926996E-4</v>
      </c>
      <c r="S505" s="69">
        <f t="shared" si="380"/>
        <v>-5.2837539307926996E-4</v>
      </c>
      <c r="T505" s="69">
        <f t="shared" si="380"/>
        <v>-5.2837539307926996E-4</v>
      </c>
      <c r="U505" s="69">
        <f t="shared" si="380"/>
        <v>-5.2837539307926996E-4</v>
      </c>
      <c r="V505" s="69">
        <f t="shared" si="380"/>
        <v>-5.2837539307926996E-4</v>
      </c>
      <c r="W505" s="69">
        <f t="shared" si="380"/>
        <v>-5.2837539307926996E-4</v>
      </c>
      <c r="X505" s="69">
        <f t="shared" si="380"/>
        <v>-5.2837539307926996E-4</v>
      </c>
      <c r="Y505" s="69">
        <f t="shared" si="380"/>
        <v>-5.2837539307926996E-4</v>
      </c>
      <c r="Z505" s="69">
        <f t="shared" si="380"/>
        <v>-5.2837539307926996E-4</v>
      </c>
      <c r="AA505" s="69">
        <f t="shared" si="380"/>
        <v>-5.2837539307926996E-4</v>
      </c>
      <c r="AB505" s="69">
        <f t="shared" si="380"/>
        <v>-5.2837539307926996E-4</v>
      </c>
      <c r="AC505" s="69">
        <f t="shared" si="380"/>
        <v>-5.2837539307926996E-4</v>
      </c>
    </row>
    <row r="506" spans="1:29" x14ac:dyDescent="0.25">
      <c r="A506" s="30" t="str">
        <f t="shared" si="376"/>
        <v>Opex fix (admin, crew, insurance)</v>
      </c>
      <c r="B506" s="66">
        <f>B464/B475/(B472)</f>
        <v>3.111111111111111E-2</v>
      </c>
      <c r="C506" s="66">
        <f t="shared" ref="C506:AC506" si="381">C464/C475/(C472)</f>
        <v>3.111111111111111E-2</v>
      </c>
      <c r="D506" s="66">
        <f t="shared" si="381"/>
        <v>3.111111111111111E-2</v>
      </c>
      <c r="E506" s="66">
        <f t="shared" si="381"/>
        <v>3.111111111111111E-2</v>
      </c>
      <c r="F506" s="66">
        <f t="shared" si="381"/>
        <v>3.111111111111111E-2</v>
      </c>
      <c r="G506" s="66">
        <f t="shared" si="381"/>
        <v>3.111111111111111E-2</v>
      </c>
      <c r="H506" s="66">
        <f t="shared" si="381"/>
        <v>3.111111111111111E-2</v>
      </c>
      <c r="I506" s="66">
        <f t="shared" si="381"/>
        <v>3.111111111111111E-2</v>
      </c>
      <c r="J506" s="66">
        <f t="shared" si="381"/>
        <v>3.111111111111111E-2</v>
      </c>
      <c r="K506" s="66">
        <f t="shared" si="381"/>
        <v>3.111111111111111E-2</v>
      </c>
      <c r="L506" s="66">
        <f t="shared" si="381"/>
        <v>3.111111111111111E-2</v>
      </c>
      <c r="M506" s="66">
        <f t="shared" si="381"/>
        <v>3.111111111111111E-2</v>
      </c>
      <c r="N506" s="66">
        <f t="shared" si="381"/>
        <v>3.111111111111111E-2</v>
      </c>
      <c r="O506" s="66">
        <f t="shared" si="381"/>
        <v>3.111111111111111E-2</v>
      </c>
      <c r="P506" s="66">
        <f t="shared" si="381"/>
        <v>3.111111111111111E-2</v>
      </c>
      <c r="Q506" s="66">
        <f t="shared" si="381"/>
        <v>3.111111111111111E-2</v>
      </c>
      <c r="R506" s="66">
        <f t="shared" si="381"/>
        <v>3.111111111111111E-2</v>
      </c>
      <c r="S506" s="66">
        <f t="shared" si="381"/>
        <v>3.111111111111111E-2</v>
      </c>
      <c r="T506" s="66">
        <f t="shared" si="381"/>
        <v>3.111111111111111E-2</v>
      </c>
      <c r="U506" s="66">
        <f t="shared" si="381"/>
        <v>3.111111111111111E-2</v>
      </c>
      <c r="V506" s="66">
        <f t="shared" si="381"/>
        <v>3.111111111111111E-2</v>
      </c>
      <c r="W506" s="66">
        <f t="shared" si="381"/>
        <v>3.111111111111111E-2</v>
      </c>
      <c r="X506" s="66">
        <f t="shared" si="381"/>
        <v>3.111111111111111E-2</v>
      </c>
      <c r="Y506" s="66">
        <f t="shared" si="381"/>
        <v>3.111111111111111E-2</v>
      </c>
      <c r="Z506" s="66">
        <f t="shared" si="381"/>
        <v>3.111111111111111E-2</v>
      </c>
      <c r="AA506" s="66">
        <f t="shared" si="381"/>
        <v>3.111111111111111E-2</v>
      </c>
      <c r="AB506" s="66">
        <f t="shared" si="381"/>
        <v>3.111111111111111E-2</v>
      </c>
      <c r="AC506" s="66">
        <f t="shared" si="381"/>
        <v>3.111111111111111E-2</v>
      </c>
    </row>
    <row r="507" spans="1:29" x14ac:dyDescent="0.25">
      <c r="A507" s="30" t="str">
        <f t="shared" si="376"/>
        <v>Opex maintenance &amp; repair</v>
      </c>
      <c r="B507" s="66">
        <f>B465/B475/(B472)</f>
        <v>1.1419643881301077E-2</v>
      </c>
      <c r="C507" s="66">
        <f t="shared" ref="C507:AC507" si="382">C465/C475/(C472)</f>
        <v>1.1363014654418182E-2</v>
      </c>
      <c r="D507" s="66">
        <f t="shared" si="382"/>
        <v>1.1284279472005032E-2</v>
      </c>
      <c r="E507" s="66">
        <f t="shared" si="382"/>
        <v>1.1176336482405633E-2</v>
      </c>
      <c r="F507" s="66">
        <f t="shared" si="382"/>
        <v>1.1031272671087182E-2</v>
      </c>
      <c r="G507" s="66">
        <f t="shared" si="382"/>
        <v>1.0841646245426629E-2</v>
      </c>
      <c r="H507" s="66">
        <f t="shared" si="382"/>
        <v>1.0602843813333098E-2</v>
      </c>
      <c r="I507" s="66">
        <f t="shared" si="382"/>
        <v>1.0316287749645749E-2</v>
      </c>
      <c r="J507" s="66">
        <f t="shared" si="382"/>
        <v>9.9922577024302069E-3</v>
      </c>
      <c r="K507" s="66">
        <f t="shared" si="382"/>
        <v>9.6501805110465882E-3</v>
      </c>
      <c r="L507" s="66">
        <f t="shared" si="382"/>
        <v>9.3148347589519613E-3</v>
      </c>
      <c r="M507" s="66">
        <f t="shared" si="382"/>
        <v>9.0095626182126638E-3</v>
      </c>
      <c r="N507" s="66">
        <f t="shared" si="382"/>
        <v>8.7501247701730761E-3</v>
      </c>
      <c r="O507" s="66">
        <f t="shared" si="382"/>
        <v>8.542361516579491E-3</v>
      </c>
      <c r="P507" s="66">
        <f t="shared" si="382"/>
        <v>8.3838289328963551E-3</v>
      </c>
      <c r="Q507" s="66">
        <f t="shared" si="382"/>
        <v>8.2672947695576603E-3</v>
      </c>
      <c r="R507" s="66">
        <f t="shared" si="382"/>
        <v>8.1839745286311199E-3</v>
      </c>
      <c r="S507" s="66">
        <f t="shared" si="382"/>
        <v>8.1255793444456742E-3</v>
      </c>
      <c r="T507" s="66">
        <f t="shared" si="382"/>
        <v>8.0852246829250067E-3</v>
      </c>
      <c r="U507" s="66">
        <f t="shared" si="382"/>
        <v>8.0576079770964953E-3</v>
      </c>
      <c r="V507" s="66">
        <f t="shared" si="382"/>
        <v>8.0388346331168297E-3</v>
      </c>
      <c r="W507" s="66">
        <f t="shared" si="382"/>
        <v>8.0261309201443889E-3</v>
      </c>
      <c r="X507" s="66">
        <f t="shared" si="382"/>
        <v>8.0175609821102421E-3</v>
      </c>
      <c r="Y507" s="66">
        <f t="shared" si="382"/>
        <v>8.0117917423974949E-3</v>
      </c>
      <c r="Z507" s="66">
        <f t="shared" si="382"/>
        <v>8.0079133732077097E-3</v>
      </c>
      <c r="AA507" s="66">
        <f t="shared" si="382"/>
        <v>8.0053086039839332E-3</v>
      </c>
      <c r="AB507" s="66">
        <f t="shared" si="382"/>
        <v>8.0035603134238128E-3</v>
      </c>
      <c r="AC507" s="66">
        <f t="shared" si="382"/>
        <v>8.0023873813420895E-3</v>
      </c>
    </row>
    <row r="508" spans="1:29" x14ac:dyDescent="0.25">
      <c r="A508" s="30" t="str">
        <f t="shared" si="376"/>
        <v>Opex var (mode-fees)</v>
      </c>
      <c r="B508" s="66">
        <f>B466*B475/B475/(B472)</f>
        <v>4.4000000000000003E-3</v>
      </c>
      <c r="C508" s="66">
        <f t="shared" ref="C508:AC508" si="383">C466*C475/C475/(C472)</f>
        <v>4.4000000000000003E-3</v>
      </c>
      <c r="D508" s="66">
        <f t="shared" si="383"/>
        <v>4.4000000000000003E-3</v>
      </c>
      <c r="E508" s="66">
        <f t="shared" si="383"/>
        <v>4.4000000000000003E-3</v>
      </c>
      <c r="F508" s="66">
        <f t="shared" si="383"/>
        <v>4.4000000000000003E-3</v>
      </c>
      <c r="G508" s="66">
        <f t="shared" si="383"/>
        <v>4.4000000000000003E-3</v>
      </c>
      <c r="H508" s="66">
        <f t="shared" si="383"/>
        <v>4.4000000000000003E-3</v>
      </c>
      <c r="I508" s="66">
        <f t="shared" si="383"/>
        <v>4.4000000000000003E-3</v>
      </c>
      <c r="J508" s="66">
        <f t="shared" si="383"/>
        <v>4.4000000000000003E-3</v>
      </c>
      <c r="K508" s="66">
        <f t="shared" si="383"/>
        <v>4.4000000000000003E-3</v>
      </c>
      <c r="L508" s="66">
        <f t="shared" si="383"/>
        <v>4.4000000000000003E-3</v>
      </c>
      <c r="M508" s="66">
        <f t="shared" si="383"/>
        <v>4.4000000000000003E-3</v>
      </c>
      <c r="N508" s="66">
        <f t="shared" si="383"/>
        <v>4.4000000000000003E-3</v>
      </c>
      <c r="O508" s="66">
        <f t="shared" si="383"/>
        <v>4.4000000000000003E-3</v>
      </c>
      <c r="P508" s="66">
        <f t="shared" si="383"/>
        <v>4.4000000000000003E-3</v>
      </c>
      <c r="Q508" s="66">
        <f t="shared" si="383"/>
        <v>4.4000000000000003E-3</v>
      </c>
      <c r="R508" s="66">
        <f t="shared" si="383"/>
        <v>4.4000000000000003E-3</v>
      </c>
      <c r="S508" s="66">
        <f t="shared" si="383"/>
        <v>4.4000000000000003E-3</v>
      </c>
      <c r="T508" s="66">
        <f t="shared" si="383"/>
        <v>4.4000000000000003E-3</v>
      </c>
      <c r="U508" s="66">
        <f t="shared" si="383"/>
        <v>4.4000000000000003E-3</v>
      </c>
      <c r="V508" s="66">
        <f t="shared" si="383"/>
        <v>4.4000000000000003E-3</v>
      </c>
      <c r="W508" s="66">
        <f t="shared" si="383"/>
        <v>4.4000000000000003E-3</v>
      </c>
      <c r="X508" s="66">
        <f t="shared" si="383"/>
        <v>4.4000000000000003E-3</v>
      </c>
      <c r="Y508" s="66">
        <f t="shared" si="383"/>
        <v>4.4000000000000003E-3</v>
      </c>
      <c r="Z508" s="66">
        <f t="shared" si="383"/>
        <v>4.4000000000000003E-3</v>
      </c>
      <c r="AA508" s="66">
        <f t="shared" si="383"/>
        <v>4.4000000000000003E-3</v>
      </c>
      <c r="AB508" s="66">
        <f t="shared" si="383"/>
        <v>4.4000000000000003E-3</v>
      </c>
      <c r="AC508" s="66">
        <f t="shared" si="383"/>
        <v>4.4000000000000003E-3</v>
      </c>
    </row>
    <row r="509" spans="1:29" x14ac:dyDescent="0.25">
      <c r="A509" s="30" t="str">
        <f t="shared" si="376"/>
        <v>Fuel Cost</v>
      </c>
      <c r="B509" s="66">
        <f>B467*B468*B475/B475/(B472)</f>
        <v>1.9709416352132133E-2</v>
      </c>
      <c r="C509" s="66">
        <f t="shared" ref="C509:AC509" si="384">C467*C468*C475/C475/(C472)</f>
        <v>1.9107160164159916E-2</v>
      </c>
      <c r="D509" s="66">
        <f t="shared" si="384"/>
        <v>1.8475362143477572E-2</v>
      </c>
      <c r="E509" s="66">
        <f t="shared" si="384"/>
        <v>1.7958088595767994E-2</v>
      </c>
      <c r="F509" s="66">
        <f t="shared" si="384"/>
        <v>1.7391719100653846E-2</v>
      </c>
      <c r="G509" s="66">
        <f t="shared" si="384"/>
        <v>1.6768652297374179E-2</v>
      </c>
      <c r="H509" s="66">
        <f t="shared" si="384"/>
        <v>1.6086231247204506E-2</v>
      </c>
      <c r="I509" s="66">
        <f t="shared" si="384"/>
        <v>1.5350833831629457E-2</v>
      </c>
      <c r="J509" s="66">
        <f t="shared" si="384"/>
        <v>1.4882320379687466E-2</v>
      </c>
      <c r="K509" s="66">
        <f t="shared" si="384"/>
        <v>1.4389261535137754E-2</v>
      </c>
      <c r="L509" s="66">
        <f t="shared" si="384"/>
        <v>1.3906475270520144E-2</v>
      </c>
      <c r="M509" s="66">
        <f t="shared" si="384"/>
        <v>1.3466646239242928E-2</v>
      </c>
      <c r="N509" s="66">
        <f t="shared" si="384"/>
        <v>1.3091730925150823E-2</v>
      </c>
      <c r="O509" s="66">
        <f t="shared" si="384"/>
        <v>1.251966259252941E-2</v>
      </c>
      <c r="P509" s="66">
        <f t="shared" si="384"/>
        <v>1.202627202896769E-2</v>
      </c>
      <c r="Q509" s="66">
        <f t="shared" si="384"/>
        <v>1.159755865660772E-2</v>
      </c>
      <c r="R509" s="66">
        <f t="shared" si="384"/>
        <v>1.1218429269625008E-2</v>
      </c>
      <c r="S509" s="66">
        <f t="shared" si="384"/>
        <v>1.0875489010081596E-2</v>
      </c>
      <c r="T509" s="66">
        <f t="shared" si="384"/>
        <v>1.0577229357706507E-2</v>
      </c>
      <c r="U509" s="66">
        <f t="shared" si="384"/>
        <v>1.0296421912967875E-2</v>
      </c>
      <c r="V509" s="66">
        <f t="shared" si="384"/>
        <v>1.0027455432419691E-2</v>
      </c>
      <c r="W509" s="66">
        <f t="shared" si="384"/>
        <v>9.7664323517357536E-3</v>
      </c>
      <c r="X509" s="66">
        <f t="shared" si="384"/>
        <v>9.5106964963952208E-3</v>
      </c>
      <c r="Y509" s="66">
        <f t="shared" si="384"/>
        <v>9.3009858038399507E-3</v>
      </c>
      <c r="Z509" s="66">
        <f t="shared" si="384"/>
        <v>9.0935449501585025E-3</v>
      </c>
      <c r="AA509" s="66">
        <f t="shared" si="384"/>
        <v>8.8876025260530393E-3</v>
      </c>
      <c r="AB509" s="66">
        <f t="shared" si="384"/>
        <v>8.6826473938003499E-3</v>
      </c>
      <c r="AC509" s="66">
        <f t="shared" si="384"/>
        <v>8.4783418402928547E-3</v>
      </c>
    </row>
    <row r="510" spans="1:29" x14ac:dyDescent="0.25">
      <c r="A510" s="59" t="str">
        <f>A473</f>
        <v>Market failure (av. utilization)</v>
      </c>
      <c r="B510" s="66">
        <f t="shared" ref="B510:AC510" si="385">B499/B473-B499/B472</f>
        <v>5.1985756382567139E-2</v>
      </c>
      <c r="C510" s="66">
        <f t="shared" si="385"/>
        <v>5.1477114249042957E-2</v>
      </c>
      <c r="D510" s="66">
        <f t="shared" si="385"/>
        <v>5.0885542687962665E-2</v>
      </c>
      <c r="E510" s="66">
        <f t="shared" si="385"/>
        <v>5.0270775278914853E-2</v>
      </c>
      <c r="F510" s="66">
        <f t="shared" si="385"/>
        <v>4.9517038539337879E-2</v>
      </c>
      <c r="G510" s="66">
        <f t="shared" si="385"/>
        <v>4.8597733251504474E-2</v>
      </c>
      <c r="H510" s="66">
        <f t="shared" si="385"/>
        <v>4.7497525904828461E-2</v>
      </c>
      <c r="I510" s="66">
        <f t="shared" si="385"/>
        <v>4.6224270814121809E-2</v>
      </c>
      <c r="J510" s="66">
        <f t="shared" si="385"/>
        <v>4.498872569879811E-2</v>
      </c>
      <c r="K510" s="66">
        <f t="shared" si="385"/>
        <v>4.3685237037341687E-2</v>
      </c>
      <c r="L510" s="66">
        <f t="shared" si="385"/>
        <v>4.2407719278198613E-2</v>
      </c>
      <c r="M510" s="66">
        <f t="shared" si="385"/>
        <v>4.1244578015303915E-2</v>
      </c>
      <c r="N510" s="66">
        <f t="shared" si="385"/>
        <v>4.0255441736764153E-2</v>
      </c>
      <c r="O510" s="66">
        <f t="shared" si="385"/>
        <v>3.931041729779601E-2</v>
      </c>
      <c r="P510" s="66">
        <f t="shared" si="385"/>
        <v>3.8557328375179112E-2</v>
      </c>
      <c r="Q510" s="66">
        <f t="shared" si="385"/>
        <v>3.796660476652082E-2</v>
      </c>
      <c r="R510" s="66">
        <f t="shared" si="385"/>
        <v>3.7503405322744043E-2</v>
      </c>
      <c r="S510" s="66">
        <f t="shared" si="385"/>
        <v>3.7135330983996309E-2</v>
      </c>
      <c r="T510" s="66">
        <f t="shared" si="385"/>
        <v>3.6846506386775071E-2</v>
      </c>
      <c r="U510" s="66">
        <f t="shared" si="385"/>
        <v>3.6605709227469321E-2</v>
      </c>
      <c r="V510" s="66">
        <f t="shared" si="385"/>
        <v>3.6398100407840112E-2</v>
      </c>
      <c r="W510" s="66">
        <f t="shared" si="385"/>
        <v>3.6213167073134211E-2</v>
      </c>
      <c r="X510" s="66">
        <f t="shared" si="385"/>
        <v>3.6043608057881218E-2</v>
      </c>
      <c r="Y510" s="66">
        <f t="shared" si="385"/>
        <v>3.5908339566976144E-2</v>
      </c>
      <c r="Z510" s="66">
        <f t="shared" si="385"/>
        <v>3.5780019982742176E-2</v>
      </c>
      <c r="AA510" s="66">
        <f t="shared" si="385"/>
        <v>3.5656363735497701E-2</v>
      </c>
      <c r="AB510" s="66">
        <f t="shared" si="385"/>
        <v>3.553583205429682E-2</v>
      </c>
      <c r="AC510" s="66">
        <f t="shared" si="385"/>
        <v>3.5417391687700819E-2</v>
      </c>
    </row>
    <row r="511" spans="1:29" x14ac:dyDescent="0.25">
      <c r="A511" s="59" t="str">
        <f>A474</f>
        <v>Payload loss (fuel)</v>
      </c>
      <c r="B511" s="66">
        <f>B499/(B472-B474)-B499/B472</f>
        <v>4.8236229024654215E-3</v>
      </c>
      <c r="C511" s="66">
        <f t="shared" ref="C511:AC511" si="386">C499/(C472-C474)-C499/C472</f>
        <v>4.7592487532956418E-3</v>
      </c>
      <c r="D511" s="66">
        <f t="shared" si="386"/>
        <v>4.6804553836240215E-3</v>
      </c>
      <c r="E511" s="66">
        <f t="shared" si="386"/>
        <v>4.5902775337260393E-3</v>
      </c>
      <c r="F511" s="66">
        <f t="shared" si="386"/>
        <v>4.4749829609863206E-3</v>
      </c>
      <c r="G511" s="66">
        <f t="shared" si="386"/>
        <v>4.3285682578887985E-3</v>
      </c>
      <c r="H511" s="66">
        <f t="shared" si="386"/>
        <v>4.1458499707593827E-3</v>
      </c>
      <c r="I511" s="66">
        <f t="shared" si="386"/>
        <v>3.924153821517451E-3</v>
      </c>
      <c r="J511" s="66">
        <f t="shared" si="386"/>
        <v>3.679019798167274E-3</v>
      </c>
      <c r="K511" s="66">
        <f t="shared" si="386"/>
        <v>3.4015758121150041E-3</v>
      </c>
      <c r="L511" s="66">
        <f t="shared" si="386"/>
        <v>3.104000837894666E-3</v>
      </c>
      <c r="M511" s="66">
        <f t="shared" si="386"/>
        <v>2.8021682077467025E-3</v>
      </c>
      <c r="N511" s="66">
        <f t="shared" si="386"/>
        <v>2.5129847586396054E-3</v>
      </c>
      <c r="O511" s="66">
        <f t="shared" si="386"/>
        <v>2.2427398412693117E-3</v>
      </c>
      <c r="P511" s="66">
        <f t="shared" si="386"/>
        <v>2.0122021440831667E-3</v>
      </c>
      <c r="Q511" s="66">
        <f t="shared" si="386"/>
        <v>1.8251744270648407E-3</v>
      </c>
      <c r="R511" s="66">
        <f t="shared" si="386"/>
        <v>1.6798446242471954E-3</v>
      </c>
      <c r="S511" s="66">
        <f t="shared" si="386"/>
        <v>1.5706716836955681E-3</v>
      </c>
      <c r="T511" s="66">
        <f t="shared" si="386"/>
        <v>1.4910141479658467E-3</v>
      </c>
      <c r="U511" s="66">
        <f t="shared" si="386"/>
        <v>1.4334481834985674E-3</v>
      </c>
      <c r="V511" s="66">
        <f t="shared" si="386"/>
        <v>1.3920330504202522E-3</v>
      </c>
      <c r="W511" s="66">
        <f t="shared" si="386"/>
        <v>1.3620944574082028E-3</v>
      </c>
      <c r="X511" s="66">
        <f t="shared" si="386"/>
        <v>1.3401509209036017E-3</v>
      </c>
      <c r="Y511" s="66">
        <f t="shared" si="386"/>
        <v>1.3245839724683461E-3</v>
      </c>
      <c r="Z511" s="66">
        <f t="shared" si="386"/>
        <v>1.3127473418458602E-3</v>
      </c>
      <c r="AA511" s="66">
        <f t="shared" si="386"/>
        <v>1.3034360860630645E-3</v>
      </c>
      <c r="AB511" s="66">
        <f t="shared" si="386"/>
        <v>1.2958271601920535E-3</v>
      </c>
      <c r="AC511" s="66">
        <f t="shared" si="386"/>
        <v>1.2893624417492644E-3</v>
      </c>
    </row>
    <row r="512" spans="1:29" ht="15.75" thickBot="1" x14ac:dyDescent="0.3">
      <c r="A512" s="59" t="str">
        <f>A449</f>
        <v>Emission Cost</v>
      </c>
      <c r="B512" s="68">
        <f>B469*B475/B475/(B472)</f>
        <v>0</v>
      </c>
      <c r="C512" s="68">
        <f t="shared" ref="C512:AC512" si="387">C469*C475/C475/(C472)</f>
        <v>0</v>
      </c>
      <c r="D512" s="68">
        <f t="shared" si="387"/>
        <v>0</v>
      </c>
      <c r="E512" s="68">
        <f t="shared" si="387"/>
        <v>0</v>
      </c>
      <c r="F512" s="68">
        <f t="shared" si="387"/>
        <v>0</v>
      </c>
      <c r="G512" s="68">
        <f t="shared" si="387"/>
        <v>0</v>
      </c>
      <c r="H512" s="68">
        <f t="shared" si="387"/>
        <v>0</v>
      </c>
      <c r="I512" s="68">
        <f t="shared" si="387"/>
        <v>0</v>
      </c>
      <c r="J512" s="68">
        <f t="shared" si="387"/>
        <v>0</v>
      </c>
      <c r="K512" s="68">
        <f t="shared" si="387"/>
        <v>0</v>
      </c>
      <c r="L512" s="68">
        <f t="shared" si="387"/>
        <v>0</v>
      </c>
      <c r="M512" s="68">
        <f t="shared" si="387"/>
        <v>0</v>
      </c>
      <c r="N512" s="68">
        <f t="shared" si="387"/>
        <v>0</v>
      </c>
      <c r="O512" s="68">
        <f t="shared" si="387"/>
        <v>0</v>
      </c>
      <c r="P512" s="68">
        <f t="shared" si="387"/>
        <v>0</v>
      </c>
      <c r="Q512" s="68">
        <f t="shared" si="387"/>
        <v>0</v>
      </c>
      <c r="R512" s="68">
        <f t="shared" si="387"/>
        <v>0</v>
      </c>
      <c r="S512" s="68">
        <f t="shared" si="387"/>
        <v>0</v>
      </c>
      <c r="T512" s="68">
        <f t="shared" si="387"/>
        <v>0</v>
      </c>
      <c r="U512" s="68">
        <f t="shared" si="387"/>
        <v>0</v>
      </c>
      <c r="V512" s="68">
        <f t="shared" si="387"/>
        <v>0</v>
      </c>
      <c r="W512" s="68">
        <f t="shared" si="387"/>
        <v>0</v>
      </c>
      <c r="X512" s="68">
        <f t="shared" si="387"/>
        <v>0</v>
      </c>
      <c r="Y512" s="68">
        <f t="shared" si="387"/>
        <v>0</v>
      </c>
      <c r="Z512" s="68">
        <f t="shared" si="387"/>
        <v>0</v>
      </c>
      <c r="AA512" s="68">
        <f t="shared" si="387"/>
        <v>0</v>
      </c>
      <c r="AB512" s="68">
        <f t="shared" si="387"/>
        <v>0</v>
      </c>
      <c r="AC512" s="68">
        <f t="shared" si="387"/>
        <v>0</v>
      </c>
    </row>
    <row r="513" spans="1:29" ht="15.75" thickBot="1" x14ac:dyDescent="0.3">
      <c r="A513" s="31" t="s">
        <v>210</v>
      </c>
      <c r="B513" s="67">
        <f>B502+B503+B504+B505+B506+B507+B508+B509+B510+B511+B512</f>
        <v>0.14817175095677115</v>
      </c>
      <c r="C513" s="67">
        <f t="shared" ref="C513:AC513" si="388">C502+C503+C504+C505+C506+C507+C508+C509+C510+C511+C512</f>
        <v>0.1466944819922564</v>
      </c>
      <c r="D513" s="67">
        <f t="shared" si="388"/>
        <v>0.14497243428625065</v>
      </c>
      <c r="E513" s="67">
        <f t="shared" si="388"/>
        <v>0.14317456918899765</v>
      </c>
      <c r="F513" s="67">
        <f t="shared" si="388"/>
        <v>0.14096556145076633</v>
      </c>
      <c r="G513" s="67">
        <f t="shared" si="388"/>
        <v>0.13826552094813155</v>
      </c>
      <c r="H513" s="67">
        <f t="shared" si="388"/>
        <v>0.1350266711424577</v>
      </c>
      <c r="I513" s="67">
        <f t="shared" si="388"/>
        <v>0.13126815529680835</v>
      </c>
      <c r="J513" s="67">
        <f t="shared" si="388"/>
        <v>0.12759095150867014</v>
      </c>
      <c r="K513" s="67">
        <f t="shared" si="388"/>
        <v>0.12369270568523892</v>
      </c>
      <c r="L513" s="67">
        <f t="shared" si="388"/>
        <v>0.11984647026895449</v>
      </c>
      <c r="M513" s="67">
        <f t="shared" si="388"/>
        <v>0.11631368968632125</v>
      </c>
      <c r="N513" s="67">
        <f t="shared" si="388"/>
        <v>0.1132769054634926</v>
      </c>
      <c r="O513" s="67">
        <f t="shared" si="388"/>
        <v>0.1103815926600997</v>
      </c>
      <c r="P513" s="67">
        <f t="shared" si="388"/>
        <v>0.1080591412889777</v>
      </c>
      <c r="Q513" s="67">
        <f t="shared" si="388"/>
        <v>0.10623121465901968</v>
      </c>
      <c r="R513" s="67">
        <f t="shared" si="388"/>
        <v>0.10479921973459989</v>
      </c>
      <c r="S513" s="67">
        <f t="shared" si="388"/>
        <v>0.10366761807530456</v>
      </c>
      <c r="T513" s="67">
        <f t="shared" si="388"/>
        <v>0.10278566999173805</v>
      </c>
      <c r="U513" s="67">
        <f t="shared" si="388"/>
        <v>0.10205922302919926</v>
      </c>
      <c r="V513" s="67">
        <f t="shared" si="388"/>
        <v>0.10144111673048425</v>
      </c>
      <c r="W513" s="67">
        <f t="shared" si="388"/>
        <v>0.10089747442995581</v>
      </c>
      <c r="X513" s="67">
        <f t="shared" si="388"/>
        <v>0.10040453362885955</v>
      </c>
      <c r="Y513" s="67">
        <f t="shared" si="388"/>
        <v>0.10001322087235465</v>
      </c>
      <c r="Z513" s="67">
        <f t="shared" si="388"/>
        <v>9.9644940952193353E-2</v>
      </c>
      <c r="AA513" s="67">
        <f t="shared" si="388"/>
        <v>9.9292140120731467E-2</v>
      </c>
      <c r="AB513" s="67">
        <f t="shared" si="388"/>
        <v>9.8949720969302449E-2</v>
      </c>
      <c r="AC513" s="67">
        <f t="shared" si="388"/>
        <v>9.8614255232537446E-2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506"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Input'!$L$147</f>
        <v>3500000</v>
      </c>
      <c r="C11" s="42">
        <f>'Parameter Input'!$M$147</f>
        <v>3500000</v>
      </c>
      <c r="D11" s="1" t="s">
        <v>15</v>
      </c>
      <c r="L11" s="51">
        <f>'Parameter Input'!$O$147</f>
        <v>12</v>
      </c>
      <c r="M11" s="52">
        <v>0</v>
      </c>
      <c r="N11" s="52">
        <v>1</v>
      </c>
      <c r="O11" s="52">
        <f>'Parameter Input'!$P$147</f>
        <v>0.9</v>
      </c>
      <c r="P11" s="53">
        <f>'Parameter Input'!$Q$147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Input'!$L$148</f>
        <v>-525000</v>
      </c>
      <c r="C12" s="61">
        <f>'Parameter Input'!$M$148</f>
        <v>-175000</v>
      </c>
      <c r="D12" s="1" t="s">
        <v>15</v>
      </c>
      <c r="L12" s="54">
        <f>'Parameter Input'!$O$148</f>
        <v>12</v>
      </c>
      <c r="M12" s="37">
        <v>0</v>
      </c>
      <c r="N12" s="37">
        <v>1</v>
      </c>
      <c r="O12" s="37">
        <f>'Parameter Input'!$P$148</f>
        <v>0.9</v>
      </c>
      <c r="P12" s="55">
        <f>'Parameter Input'!$Q$148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Input'!$L$154</f>
        <v>0.06</v>
      </c>
      <c r="C15" s="46">
        <f>'Parameter Input'!$M$154</f>
        <v>0.06</v>
      </c>
      <c r="D15" s="1" t="s">
        <v>57</v>
      </c>
      <c r="L15" s="54">
        <f>'Parameter Input'!$O$154</f>
        <v>12</v>
      </c>
      <c r="M15" s="37">
        <v>0</v>
      </c>
      <c r="N15" s="37">
        <v>1</v>
      </c>
      <c r="O15" s="37">
        <f>'Parameter Input'!$P$154</f>
        <v>0.9</v>
      </c>
      <c r="P15" s="55">
        <f>'Parameter Input'!$Q$154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Input'!$L$150</f>
        <v>1050000</v>
      </c>
      <c r="C17" s="44">
        <f>'Parameter Input'!$M$150</f>
        <v>1050000</v>
      </c>
      <c r="D17" s="1" t="s">
        <v>38</v>
      </c>
      <c r="L17" s="54">
        <f>'Parameter Input'!$O$150</f>
        <v>12</v>
      </c>
      <c r="M17" s="37">
        <v>0</v>
      </c>
      <c r="N17" s="37">
        <v>1</v>
      </c>
      <c r="O17" s="37">
        <f>'Parameter Input'!$P$150</f>
        <v>0.9</v>
      </c>
      <c r="P17" s="55">
        <f>'Parameter Input'!$Q$150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Input'!$L$151</f>
        <v>76.777599999999993</v>
      </c>
      <c r="C19" s="48">
        <f>'Parameter Input'!$M$151</f>
        <v>76.777599999999993</v>
      </c>
      <c r="D19" s="1" t="s">
        <v>60</v>
      </c>
      <c r="L19" s="54">
        <f>'Parameter Input'!$O$151</f>
        <v>12</v>
      </c>
      <c r="M19" s="37">
        <v>0</v>
      </c>
      <c r="N19" s="37">
        <v>1</v>
      </c>
      <c r="O19" s="37">
        <f>'Parameter Input'!$P$151</f>
        <v>0.9</v>
      </c>
      <c r="P19" s="55">
        <f>'Parameter Input'!$Q$151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Input'!$L$152</f>
        <v>0.1</v>
      </c>
      <c r="C20" s="46">
        <f>'Parameter Input'!$M$152</f>
        <v>0.1</v>
      </c>
      <c r="D20" s="1" t="s">
        <v>68</v>
      </c>
      <c r="L20" s="54">
        <f>'Parameter Input'!$O$152</f>
        <v>12</v>
      </c>
      <c r="M20" s="37">
        <v>0</v>
      </c>
      <c r="N20" s="37">
        <v>1</v>
      </c>
      <c r="O20" s="37">
        <f>'Parameter Input'!$P$152</f>
        <v>0.9</v>
      </c>
      <c r="P20" s="55">
        <f>'Parameter Input'!$Q$152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Input'!L155</f>
        <v>0</v>
      </c>
      <c r="C21" s="46">
        <f>'Parameter Input'!M155</f>
        <v>0</v>
      </c>
      <c r="D21" s="1"/>
      <c r="L21" s="54">
        <f>'Parameter Input'!O155</f>
        <v>17</v>
      </c>
      <c r="M21" s="37">
        <v>0</v>
      </c>
      <c r="N21" s="37">
        <v>1</v>
      </c>
      <c r="O21" s="37">
        <f>'Parameter Input'!P155</f>
        <v>0.9</v>
      </c>
      <c r="P21" s="55">
        <f>'Parameter Input'!Q155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Input'!$L$149</f>
        <v>20</v>
      </c>
      <c r="C22" s="44">
        <f>'Parameter Input'!$M$149</f>
        <v>20</v>
      </c>
      <c r="D22" s="1" t="s">
        <v>42</v>
      </c>
      <c r="L22" s="54">
        <f>'Parameter Input'!$O$149</f>
        <v>12</v>
      </c>
      <c r="M22" s="37">
        <v>0</v>
      </c>
      <c r="N22" s="37">
        <v>1</v>
      </c>
      <c r="O22" s="37">
        <f>'Parameter Input'!$P$149</f>
        <v>0.9</v>
      </c>
      <c r="P22" s="55">
        <f>'Parameter Input'!$Q$149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Input'!$L$153</f>
        <v>0</v>
      </c>
      <c r="C26" s="73">
        <f>'Parameter Input'!$M$153</f>
        <v>0</v>
      </c>
      <c r="D26" s="1" t="s">
        <v>57</v>
      </c>
      <c r="L26" s="54">
        <f>'Parameter Input'!$O$153</f>
        <v>12</v>
      </c>
      <c r="M26" s="37">
        <v>0</v>
      </c>
      <c r="N26" s="37">
        <v>1</v>
      </c>
      <c r="O26" s="37">
        <f>'Parameter Input'!$P$153</f>
        <v>0.9</v>
      </c>
      <c r="P26" s="55">
        <f>'Parameter Input'!$Q$153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'Parameter Input'!J8</f>
        <v>5.7951260504201685E-2</v>
      </c>
      <c r="C40" s="62">
        <f>'Parameter Input'!K8</f>
        <v>5.3954621848739497E-2</v>
      </c>
      <c r="D40" s="62">
        <f>'Parameter Input'!L8</f>
        <v>4.9957983193277315E-2</v>
      </c>
      <c r="E40" s="62">
        <f>'Parameter Input'!M8</f>
        <v>4.5961344537815127E-2</v>
      </c>
      <c r="F40" s="62">
        <f>'Parameter Input'!N8</f>
        <v>4.1964705882352946E-2</v>
      </c>
      <c r="G40" s="62">
        <f>'Parameter Input'!O8</f>
        <v>3.7968067226890764E-2</v>
      </c>
      <c r="H40" s="62">
        <f>'Parameter Input'!P8</f>
        <v>3.3971428571428583E-2</v>
      </c>
      <c r="I40" s="62">
        <f>'Parameter Input'!Q8</f>
        <v>2.9974789915966391E-2</v>
      </c>
      <c r="J40" s="62">
        <f>'Parameter Input'!R8</f>
        <v>2.9368157262905165E-2</v>
      </c>
      <c r="K40" s="62">
        <f>'Parameter Input'!S8</f>
        <v>2.8761524609843939E-2</v>
      </c>
      <c r="L40" s="62">
        <f>'Parameter Input'!T8</f>
        <v>2.8154891956782713E-2</v>
      </c>
      <c r="M40" s="62">
        <f>'Parameter Input'!U8</f>
        <v>2.7548259303721487E-2</v>
      </c>
      <c r="N40" s="62">
        <f>'Parameter Input'!V8</f>
        <v>2.6941626650660268E-2</v>
      </c>
      <c r="O40" s="62">
        <f>'Parameter Input'!W8</f>
        <v>2.6334993997599043E-2</v>
      </c>
      <c r="P40" s="62">
        <f>'Parameter Input'!X8</f>
        <v>2.5728361344537817E-2</v>
      </c>
      <c r="Q40" s="62">
        <f>'Parameter Input'!Y8</f>
        <v>2.5121728691476591E-2</v>
      </c>
      <c r="R40" s="62">
        <f>'Parameter Input'!Z8</f>
        <v>2.4515096038415365E-2</v>
      </c>
      <c r="S40" s="62">
        <f>'Parameter Input'!AA8</f>
        <v>2.3908463385354146E-2</v>
      </c>
      <c r="T40" s="62">
        <f>'Parameter Input'!AB8</f>
        <v>2.330183073229292E-2</v>
      </c>
      <c r="U40" s="62">
        <f>'Parameter Input'!AC8</f>
        <v>2.2695198079231694E-2</v>
      </c>
      <c r="V40" s="62">
        <f>'Parameter Input'!AD8</f>
        <v>2.2088565426170468E-2</v>
      </c>
      <c r="W40" s="62">
        <f>'Parameter Input'!AE8</f>
        <v>2.1481932773109242E-2</v>
      </c>
      <c r="X40" s="62">
        <f>'Parameter Input'!AF8</f>
        <v>2.0875300120048023E-2</v>
      </c>
      <c r="Y40" s="62">
        <f>'Parameter Input'!AG8</f>
        <v>2.0268667466986797E-2</v>
      </c>
      <c r="Z40" s="62">
        <f>'Parameter Input'!AH8</f>
        <v>1.9662034813925571E-2</v>
      </c>
      <c r="AA40" s="62">
        <f>'Parameter Input'!AI8</f>
        <v>1.9055402160864345E-2</v>
      </c>
      <c r="AB40" s="62">
        <f>'Parameter Input'!AJ8</f>
        <v>1.8448769507803119E-2</v>
      </c>
      <c r="AC40" s="62">
        <f>'Parameter Input'!AK8</f>
        <v>1.78421368547419E-2</v>
      </c>
    </row>
    <row r="41" spans="1:53" x14ac:dyDescent="0.25">
      <c r="A41" s="30" t="str">
        <f t="shared" si="11"/>
        <v>Emission Cost</v>
      </c>
      <c r="B41" s="98">
        <f>$B21+($C21-$B21)*(1-Q21)</f>
        <v>0</v>
      </c>
      <c r="C41" s="98">
        <f t="shared" ref="C41:AC41" si="41">$B21+($C21-$B21)*(1-R21)</f>
        <v>0</v>
      </c>
      <c r="D41" s="98">
        <f t="shared" si="41"/>
        <v>0</v>
      </c>
      <c r="E41" s="98">
        <f t="shared" si="41"/>
        <v>0</v>
      </c>
      <c r="F41" s="98">
        <f t="shared" si="41"/>
        <v>0</v>
      </c>
      <c r="G41" s="98">
        <f t="shared" si="41"/>
        <v>0</v>
      </c>
      <c r="H41" s="98">
        <f t="shared" si="41"/>
        <v>0</v>
      </c>
      <c r="I41" s="98">
        <f t="shared" si="41"/>
        <v>0</v>
      </c>
      <c r="J41" s="98">
        <f t="shared" si="41"/>
        <v>0</v>
      </c>
      <c r="K41" s="98">
        <f t="shared" si="41"/>
        <v>0</v>
      </c>
      <c r="L41" s="98">
        <f t="shared" si="41"/>
        <v>0</v>
      </c>
      <c r="M41" s="98">
        <f t="shared" si="41"/>
        <v>0</v>
      </c>
      <c r="N41" s="98">
        <f t="shared" si="41"/>
        <v>0</v>
      </c>
      <c r="O41" s="98">
        <f t="shared" si="41"/>
        <v>0</v>
      </c>
      <c r="P41" s="98">
        <f t="shared" si="41"/>
        <v>0</v>
      </c>
      <c r="Q41" s="98">
        <f t="shared" si="41"/>
        <v>0</v>
      </c>
      <c r="R41" s="98">
        <f t="shared" si="41"/>
        <v>0</v>
      </c>
      <c r="S41" s="98">
        <f t="shared" si="41"/>
        <v>0</v>
      </c>
      <c r="T41" s="98">
        <f t="shared" si="41"/>
        <v>0</v>
      </c>
      <c r="U41" s="98">
        <f t="shared" si="41"/>
        <v>0</v>
      </c>
      <c r="V41" s="98">
        <f t="shared" si="41"/>
        <v>0</v>
      </c>
      <c r="W41" s="98">
        <f t="shared" si="41"/>
        <v>0</v>
      </c>
      <c r="X41" s="98">
        <f t="shared" si="41"/>
        <v>0</v>
      </c>
      <c r="Y41" s="98">
        <f t="shared" si="41"/>
        <v>0</v>
      </c>
      <c r="Z41" s="98">
        <f t="shared" si="41"/>
        <v>0</v>
      </c>
      <c r="AA41" s="98">
        <f t="shared" si="41"/>
        <v>0</v>
      </c>
      <c r="AB41" s="98">
        <f t="shared" si="41"/>
        <v>0</v>
      </c>
      <c r="AC41" s="98">
        <f t="shared" si="41"/>
        <v>0</v>
      </c>
    </row>
    <row r="42" spans="1:53" x14ac:dyDescent="0.25">
      <c r="A42" s="30" t="str">
        <f t="shared" si="11"/>
        <v>Lifetime vehicle</v>
      </c>
      <c r="B42" s="62">
        <f>$B22+($C22-$B22)*(1-Q22)</f>
        <v>20</v>
      </c>
      <c r="C42" s="62">
        <f t="shared" ref="C42:L44" si="42">$B22+($C22-$B22)*(1-R22)</f>
        <v>20</v>
      </c>
      <c r="D42" s="62">
        <f t="shared" si="42"/>
        <v>20</v>
      </c>
      <c r="E42" s="62">
        <f t="shared" si="42"/>
        <v>20</v>
      </c>
      <c r="F42" s="62">
        <f t="shared" si="42"/>
        <v>20</v>
      </c>
      <c r="G42" s="62">
        <f t="shared" si="42"/>
        <v>20</v>
      </c>
      <c r="H42" s="62">
        <f t="shared" si="42"/>
        <v>20</v>
      </c>
      <c r="I42" s="62">
        <f t="shared" si="42"/>
        <v>20</v>
      </c>
      <c r="J42" s="62">
        <f t="shared" si="42"/>
        <v>20</v>
      </c>
      <c r="K42" s="62">
        <f t="shared" si="42"/>
        <v>20</v>
      </c>
      <c r="L42" s="62">
        <f t="shared" si="42"/>
        <v>20</v>
      </c>
      <c r="M42" s="62">
        <f t="shared" ref="M42:V44" si="43">$B22+($C22-$B22)*(1-AB22)</f>
        <v>20</v>
      </c>
      <c r="N42" s="62">
        <f t="shared" si="43"/>
        <v>20</v>
      </c>
      <c r="O42" s="62">
        <f t="shared" si="43"/>
        <v>20</v>
      </c>
      <c r="P42" s="62">
        <f t="shared" si="43"/>
        <v>20</v>
      </c>
      <c r="Q42" s="62">
        <f t="shared" si="43"/>
        <v>20</v>
      </c>
      <c r="R42" s="62">
        <f t="shared" si="43"/>
        <v>20</v>
      </c>
      <c r="S42" s="62">
        <f t="shared" si="43"/>
        <v>20</v>
      </c>
      <c r="T42" s="62">
        <f t="shared" si="43"/>
        <v>20</v>
      </c>
      <c r="U42" s="62">
        <f t="shared" si="43"/>
        <v>20</v>
      </c>
      <c r="V42" s="62">
        <f t="shared" si="43"/>
        <v>20</v>
      </c>
      <c r="W42" s="62">
        <f t="shared" ref="W42:AC44" si="44">$B22+($C22-$B22)*(1-AL22)</f>
        <v>20</v>
      </c>
      <c r="X42" s="62">
        <f t="shared" si="44"/>
        <v>20</v>
      </c>
      <c r="Y42" s="62">
        <f t="shared" si="44"/>
        <v>20</v>
      </c>
      <c r="Z42" s="62">
        <f t="shared" si="44"/>
        <v>20</v>
      </c>
      <c r="AA42" s="62">
        <f t="shared" si="44"/>
        <v>20</v>
      </c>
      <c r="AB42" s="62">
        <f t="shared" si="44"/>
        <v>20</v>
      </c>
      <c r="AC42" s="62">
        <f t="shared" si="44"/>
        <v>20</v>
      </c>
    </row>
    <row r="43" spans="1:53" x14ac:dyDescent="0.25">
      <c r="A43" s="30" t="str">
        <f t="shared" si="11"/>
        <v>Lifetime costumization</v>
      </c>
      <c r="B43" s="62">
        <f>$B23+($C23-$B23)*(1-Q23)</f>
        <v>30</v>
      </c>
      <c r="C43" s="62">
        <f t="shared" si="42"/>
        <v>30</v>
      </c>
      <c r="D43" s="62">
        <f t="shared" si="42"/>
        <v>30</v>
      </c>
      <c r="E43" s="62">
        <f t="shared" si="42"/>
        <v>30</v>
      </c>
      <c r="F43" s="62">
        <f t="shared" si="42"/>
        <v>30</v>
      </c>
      <c r="G43" s="62">
        <f t="shared" si="42"/>
        <v>30</v>
      </c>
      <c r="H43" s="62">
        <f t="shared" si="42"/>
        <v>30</v>
      </c>
      <c r="I43" s="62">
        <f t="shared" si="42"/>
        <v>30</v>
      </c>
      <c r="J43" s="62">
        <f t="shared" si="42"/>
        <v>30</v>
      </c>
      <c r="K43" s="62">
        <f t="shared" si="42"/>
        <v>30</v>
      </c>
      <c r="L43" s="62">
        <f t="shared" si="42"/>
        <v>30</v>
      </c>
      <c r="M43" s="62">
        <f t="shared" si="43"/>
        <v>30</v>
      </c>
      <c r="N43" s="62">
        <f t="shared" si="43"/>
        <v>30</v>
      </c>
      <c r="O43" s="62">
        <f t="shared" si="43"/>
        <v>30</v>
      </c>
      <c r="P43" s="62">
        <f t="shared" si="43"/>
        <v>30</v>
      </c>
      <c r="Q43" s="62">
        <f t="shared" si="43"/>
        <v>30</v>
      </c>
      <c r="R43" s="62">
        <f t="shared" si="43"/>
        <v>30</v>
      </c>
      <c r="S43" s="62">
        <f t="shared" si="43"/>
        <v>30</v>
      </c>
      <c r="T43" s="62">
        <f t="shared" si="43"/>
        <v>30</v>
      </c>
      <c r="U43" s="62">
        <f t="shared" si="43"/>
        <v>30</v>
      </c>
      <c r="V43" s="62">
        <f t="shared" si="43"/>
        <v>30</v>
      </c>
      <c r="W43" s="62">
        <f t="shared" si="44"/>
        <v>30</v>
      </c>
      <c r="X43" s="62">
        <f t="shared" si="44"/>
        <v>30</v>
      </c>
      <c r="Y43" s="62">
        <f t="shared" si="44"/>
        <v>30</v>
      </c>
      <c r="Z43" s="62">
        <f t="shared" si="44"/>
        <v>30</v>
      </c>
      <c r="AA43" s="62">
        <f t="shared" si="44"/>
        <v>30</v>
      </c>
      <c r="AB43" s="62">
        <f t="shared" si="44"/>
        <v>30</v>
      </c>
      <c r="AC43" s="62">
        <f t="shared" si="44"/>
        <v>30</v>
      </c>
    </row>
    <row r="44" spans="1:53" x14ac:dyDescent="0.25">
      <c r="A44" s="30" t="str">
        <f t="shared" si="11"/>
        <v xml:space="preserve">Tonnage </v>
      </c>
      <c r="B44" s="62">
        <f>$B24+($C24-$B24)*(1-Q24)</f>
        <v>2240</v>
      </c>
      <c r="C44" s="62">
        <f t="shared" si="42"/>
        <v>2240</v>
      </c>
      <c r="D44" s="62">
        <f t="shared" si="42"/>
        <v>2240</v>
      </c>
      <c r="E44" s="62">
        <f t="shared" si="42"/>
        <v>2240</v>
      </c>
      <c r="F44" s="62">
        <f t="shared" si="42"/>
        <v>2240</v>
      </c>
      <c r="G44" s="62">
        <f t="shared" si="42"/>
        <v>2240</v>
      </c>
      <c r="H44" s="62">
        <f t="shared" si="42"/>
        <v>2240</v>
      </c>
      <c r="I44" s="62">
        <f t="shared" si="42"/>
        <v>2240</v>
      </c>
      <c r="J44" s="62">
        <f t="shared" si="42"/>
        <v>2240</v>
      </c>
      <c r="K44" s="62">
        <f t="shared" si="42"/>
        <v>2240</v>
      </c>
      <c r="L44" s="62">
        <f t="shared" si="42"/>
        <v>2240</v>
      </c>
      <c r="M44" s="62">
        <f t="shared" si="43"/>
        <v>2240</v>
      </c>
      <c r="N44" s="62">
        <f t="shared" si="43"/>
        <v>2240</v>
      </c>
      <c r="O44" s="62">
        <f t="shared" si="43"/>
        <v>2240</v>
      </c>
      <c r="P44" s="62">
        <f t="shared" si="43"/>
        <v>2240</v>
      </c>
      <c r="Q44" s="62">
        <f t="shared" si="43"/>
        <v>2240</v>
      </c>
      <c r="R44" s="62">
        <f t="shared" si="43"/>
        <v>2240</v>
      </c>
      <c r="S44" s="62">
        <f t="shared" si="43"/>
        <v>2240</v>
      </c>
      <c r="T44" s="62">
        <f t="shared" si="43"/>
        <v>2240</v>
      </c>
      <c r="U44" s="62">
        <f t="shared" si="43"/>
        <v>2240</v>
      </c>
      <c r="V44" s="62">
        <f t="shared" si="43"/>
        <v>2240</v>
      </c>
      <c r="W44" s="62">
        <f t="shared" si="44"/>
        <v>2240</v>
      </c>
      <c r="X44" s="62">
        <f t="shared" si="44"/>
        <v>2240</v>
      </c>
      <c r="Y44" s="62">
        <f t="shared" si="44"/>
        <v>2240</v>
      </c>
      <c r="Z44" s="62">
        <f t="shared" si="44"/>
        <v>2240</v>
      </c>
      <c r="AA44" s="62">
        <f t="shared" si="44"/>
        <v>2240</v>
      </c>
      <c r="AB44" s="62">
        <f t="shared" si="44"/>
        <v>2240</v>
      </c>
      <c r="AC44" s="62">
        <f t="shared" si="44"/>
        <v>2240</v>
      </c>
    </row>
    <row r="45" spans="1:53" x14ac:dyDescent="0.25">
      <c r="A45" s="30" t="str">
        <f t="shared" si="11"/>
        <v>Market failure (av. utilization)</v>
      </c>
      <c r="B45" s="62">
        <f t="shared" ref="B45:K46" si="45">($B25+($C25-$B25)*(1-Q25))*B$44</f>
        <v>1433.6000000000001</v>
      </c>
      <c r="C45" s="62">
        <f t="shared" si="45"/>
        <v>1433.6000000000001</v>
      </c>
      <c r="D45" s="62">
        <f t="shared" si="45"/>
        <v>1433.6000000000001</v>
      </c>
      <c r="E45" s="62">
        <f t="shared" si="45"/>
        <v>1433.6000000000001</v>
      </c>
      <c r="F45" s="62">
        <f t="shared" si="45"/>
        <v>1433.6000000000001</v>
      </c>
      <c r="G45" s="62">
        <f t="shared" si="45"/>
        <v>1433.6000000000001</v>
      </c>
      <c r="H45" s="62">
        <f t="shared" si="45"/>
        <v>1433.6000000000001</v>
      </c>
      <c r="I45" s="62">
        <f t="shared" si="45"/>
        <v>1433.6000000000001</v>
      </c>
      <c r="J45" s="62">
        <f t="shared" si="45"/>
        <v>1433.6000000000001</v>
      </c>
      <c r="K45" s="62">
        <f t="shared" si="45"/>
        <v>1433.6000000000001</v>
      </c>
      <c r="L45" s="62">
        <f t="shared" ref="L45:U46" si="46">($B25+($C25-$B25)*(1-AA25))*L$44</f>
        <v>1433.6000000000001</v>
      </c>
      <c r="M45" s="62">
        <f t="shared" si="46"/>
        <v>1433.6000000000001</v>
      </c>
      <c r="N45" s="62">
        <f t="shared" si="46"/>
        <v>1433.6000000000001</v>
      </c>
      <c r="O45" s="62">
        <f t="shared" si="46"/>
        <v>1433.6000000000001</v>
      </c>
      <c r="P45" s="62">
        <f t="shared" si="46"/>
        <v>1433.6000000000001</v>
      </c>
      <c r="Q45" s="62">
        <f t="shared" si="46"/>
        <v>1433.6000000000001</v>
      </c>
      <c r="R45" s="62">
        <f t="shared" si="46"/>
        <v>1433.6000000000001</v>
      </c>
      <c r="S45" s="62">
        <f t="shared" si="46"/>
        <v>1433.6000000000001</v>
      </c>
      <c r="T45" s="62">
        <f t="shared" si="46"/>
        <v>1433.6000000000001</v>
      </c>
      <c r="U45" s="62">
        <f t="shared" si="46"/>
        <v>1433.6000000000001</v>
      </c>
      <c r="V45" s="62">
        <f t="shared" ref="V45:AC46" si="47">($B25+($C25-$B25)*(1-AK25))*V$44</f>
        <v>1433.6000000000001</v>
      </c>
      <c r="W45" s="62">
        <f t="shared" si="47"/>
        <v>1433.6000000000001</v>
      </c>
      <c r="X45" s="62">
        <f t="shared" si="47"/>
        <v>1433.6000000000001</v>
      </c>
      <c r="Y45" s="62">
        <f t="shared" si="47"/>
        <v>1433.6000000000001</v>
      </c>
      <c r="Z45" s="62">
        <f t="shared" si="47"/>
        <v>1433.6000000000001</v>
      </c>
      <c r="AA45" s="62">
        <f t="shared" si="47"/>
        <v>1433.6000000000001</v>
      </c>
      <c r="AB45" s="62">
        <f t="shared" si="47"/>
        <v>1433.6000000000001</v>
      </c>
      <c r="AC45" s="62">
        <f t="shared" si="47"/>
        <v>1433.6000000000001</v>
      </c>
    </row>
    <row r="46" spans="1:53" x14ac:dyDescent="0.25">
      <c r="A46" s="30" t="s">
        <v>73</v>
      </c>
      <c r="B46" s="62">
        <f t="shared" si="45"/>
        <v>0</v>
      </c>
      <c r="C46" s="62">
        <f t="shared" si="45"/>
        <v>0</v>
      </c>
      <c r="D46" s="62">
        <f t="shared" si="45"/>
        <v>0</v>
      </c>
      <c r="E46" s="62">
        <f t="shared" si="45"/>
        <v>0</v>
      </c>
      <c r="F46" s="62">
        <f t="shared" si="45"/>
        <v>0</v>
      </c>
      <c r="G46" s="62">
        <f t="shared" si="45"/>
        <v>0</v>
      </c>
      <c r="H46" s="62">
        <f t="shared" si="45"/>
        <v>0</v>
      </c>
      <c r="I46" s="62">
        <f t="shared" si="45"/>
        <v>0</v>
      </c>
      <c r="J46" s="62">
        <f t="shared" si="45"/>
        <v>0</v>
      </c>
      <c r="K46" s="62">
        <f t="shared" si="45"/>
        <v>0</v>
      </c>
      <c r="L46" s="62">
        <f t="shared" si="46"/>
        <v>0</v>
      </c>
      <c r="M46" s="62">
        <f t="shared" si="46"/>
        <v>0</v>
      </c>
      <c r="N46" s="62">
        <f t="shared" si="46"/>
        <v>0</v>
      </c>
      <c r="O46" s="62">
        <f t="shared" si="46"/>
        <v>0</v>
      </c>
      <c r="P46" s="62">
        <f t="shared" si="46"/>
        <v>0</v>
      </c>
      <c r="Q46" s="62">
        <f t="shared" si="46"/>
        <v>0</v>
      </c>
      <c r="R46" s="62">
        <f t="shared" si="46"/>
        <v>0</v>
      </c>
      <c r="S46" s="62">
        <f t="shared" si="46"/>
        <v>0</v>
      </c>
      <c r="T46" s="62">
        <f t="shared" si="46"/>
        <v>0</v>
      </c>
      <c r="U46" s="62">
        <f t="shared" si="46"/>
        <v>0</v>
      </c>
      <c r="V46" s="62">
        <f t="shared" si="47"/>
        <v>0</v>
      </c>
      <c r="W46" s="62">
        <f t="shared" si="47"/>
        <v>0</v>
      </c>
      <c r="X46" s="62">
        <f t="shared" si="47"/>
        <v>0</v>
      </c>
      <c r="Y46" s="62">
        <f t="shared" si="47"/>
        <v>0</v>
      </c>
      <c r="Z46" s="62">
        <f t="shared" si="47"/>
        <v>0</v>
      </c>
      <c r="AA46" s="62">
        <f t="shared" si="47"/>
        <v>0</v>
      </c>
      <c r="AB46" s="62">
        <f t="shared" si="47"/>
        <v>0</v>
      </c>
      <c r="AC46" s="62">
        <f t="shared" si="47"/>
        <v>0</v>
      </c>
    </row>
    <row r="47" spans="1:53" x14ac:dyDescent="0.25">
      <c r="A47" s="30" t="str">
        <f>A27</f>
        <v>Annual Mileage</v>
      </c>
      <c r="B47" s="62">
        <f t="shared" ref="B47:AC47" si="48">$B27+($C27-$B27)*(1-Q27)</f>
        <v>178500</v>
      </c>
      <c r="C47" s="62">
        <f t="shared" si="48"/>
        <v>178500</v>
      </c>
      <c r="D47" s="62">
        <f t="shared" si="48"/>
        <v>178500</v>
      </c>
      <c r="E47" s="62">
        <f t="shared" si="48"/>
        <v>178500</v>
      </c>
      <c r="F47" s="62">
        <f t="shared" si="48"/>
        <v>178500</v>
      </c>
      <c r="G47" s="62">
        <f t="shared" si="48"/>
        <v>178500</v>
      </c>
      <c r="H47" s="62">
        <f t="shared" si="48"/>
        <v>178500</v>
      </c>
      <c r="I47" s="62">
        <f t="shared" si="48"/>
        <v>178500</v>
      </c>
      <c r="J47" s="62">
        <f t="shared" si="48"/>
        <v>178500</v>
      </c>
      <c r="K47" s="62">
        <f t="shared" si="48"/>
        <v>178500</v>
      </c>
      <c r="L47" s="62">
        <f t="shared" si="48"/>
        <v>178500</v>
      </c>
      <c r="M47" s="62">
        <f t="shared" si="48"/>
        <v>178500</v>
      </c>
      <c r="N47" s="62">
        <f t="shared" si="48"/>
        <v>178500</v>
      </c>
      <c r="O47" s="62">
        <f t="shared" si="48"/>
        <v>178500</v>
      </c>
      <c r="P47" s="62">
        <f t="shared" si="48"/>
        <v>178500</v>
      </c>
      <c r="Q47" s="62">
        <f t="shared" si="48"/>
        <v>178500</v>
      </c>
      <c r="R47" s="62">
        <f t="shared" si="48"/>
        <v>178500</v>
      </c>
      <c r="S47" s="62">
        <f t="shared" si="48"/>
        <v>178500</v>
      </c>
      <c r="T47" s="62">
        <f t="shared" si="48"/>
        <v>178500</v>
      </c>
      <c r="U47" s="62">
        <f t="shared" si="48"/>
        <v>178500</v>
      </c>
      <c r="V47" s="62">
        <f t="shared" si="48"/>
        <v>178500</v>
      </c>
      <c r="W47" s="62">
        <f t="shared" si="48"/>
        <v>178500</v>
      </c>
      <c r="X47" s="62">
        <f t="shared" si="48"/>
        <v>178500</v>
      </c>
      <c r="Y47" s="62">
        <f t="shared" si="48"/>
        <v>178500</v>
      </c>
      <c r="Z47" s="62">
        <f t="shared" si="48"/>
        <v>178500</v>
      </c>
      <c r="AA47" s="62">
        <f t="shared" si="48"/>
        <v>178500</v>
      </c>
      <c r="AB47" s="62">
        <f t="shared" si="48"/>
        <v>178500</v>
      </c>
      <c r="AC47" s="62">
        <f t="shared" si="48"/>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49">((1+C35)^C42)*C35/(((1+C35)^C42)-1)*(C31)</f>
        <v>305145.94941897993</v>
      </c>
      <c r="D50" s="63">
        <f t="shared" si="49"/>
        <v>305145.94941897993</v>
      </c>
      <c r="E50" s="63">
        <f t="shared" si="49"/>
        <v>305145.94941897993</v>
      </c>
      <c r="F50" s="63">
        <f t="shared" si="49"/>
        <v>305145.94941897993</v>
      </c>
      <c r="G50" s="63">
        <f t="shared" si="49"/>
        <v>305145.94941897993</v>
      </c>
      <c r="H50" s="63">
        <f t="shared" si="49"/>
        <v>305145.94941897993</v>
      </c>
      <c r="I50" s="63">
        <f t="shared" si="49"/>
        <v>305145.94941897993</v>
      </c>
      <c r="J50" s="63">
        <f t="shared" si="49"/>
        <v>305145.94941897993</v>
      </c>
      <c r="K50" s="63">
        <f t="shared" si="49"/>
        <v>305145.94941897993</v>
      </c>
      <c r="L50" s="63">
        <f t="shared" si="49"/>
        <v>305145.94941897993</v>
      </c>
      <c r="M50" s="63">
        <f t="shared" si="49"/>
        <v>305145.94941897993</v>
      </c>
      <c r="N50" s="63">
        <f t="shared" si="49"/>
        <v>305145.94941897993</v>
      </c>
      <c r="O50" s="63">
        <f t="shared" si="49"/>
        <v>305145.94941897993</v>
      </c>
      <c r="P50" s="63">
        <f t="shared" si="49"/>
        <v>305145.94941897993</v>
      </c>
      <c r="Q50" s="63">
        <f t="shared" si="49"/>
        <v>305145.94941897993</v>
      </c>
      <c r="R50" s="63">
        <f t="shared" si="49"/>
        <v>305145.94941897993</v>
      </c>
      <c r="S50" s="63">
        <f t="shared" si="49"/>
        <v>305145.94941897993</v>
      </c>
      <c r="T50" s="63">
        <f t="shared" si="49"/>
        <v>305145.94941897993</v>
      </c>
      <c r="U50" s="63">
        <f t="shared" si="49"/>
        <v>305145.94941897993</v>
      </c>
      <c r="V50" s="63">
        <f t="shared" si="49"/>
        <v>305145.94941897993</v>
      </c>
      <c r="W50" s="63">
        <f t="shared" si="49"/>
        <v>305145.94941897993</v>
      </c>
      <c r="X50" s="63">
        <f t="shared" si="49"/>
        <v>305145.94941897993</v>
      </c>
      <c r="Y50" s="63">
        <f t="shared" si="49"/>
        <v>305145.94941897993</v>
      </c>
      <c r="Z50" s="63">
        <f t="shared" si="49"/>
        <v>305145.94941897993</v>
      </c>
      <c r="AA50" s="63">
        <f t="shared" si="49"/>
        <v>305145.94941897993</v>
      </c>
      <c r="AB50" s="63">
        <f t="shared" si="49"/>
        <v>305145.94941897993</v>
      </c>
      <c r="AC50" s="63">
        <f t="shared" si="49"/>
        <v>305145.94941897993</v>
      </c>
    </row>
    <row r="51" spans="1:29" x14ac:dyDescent="0.25">
      <c r="A51" s="30" t="str">
        <f>A32</f>
        <v>Residual value (vehicle)</v>
      </c>
      <c r="B51" s="62">
        <f>((1+B35)^B42)*B35/(((1+B35)^B42)-1)*(B32)</f>
        <v>-45369.034506436277</v>
      </c>
      <c r="C51" s="62">
        <f t="shared" ref="C51:AC51" si="50">((1+C35)^C42)*C35/(((1+C35)^C42)-1)*(C32)</f>
        <v>-45196.542704314146</v>
      </c>
      <c r="D51" s="62">
        <f t="shared" si="50"/>
        <v>-44951.629072308999</v>
      </c>
      <c r="E51" s="62">
        <f t="shared" si="50"/>
        <v>-44605.467188167124</v>
      </c>
      <c r="F51" s="62">
        <f t="shared" si="50"/>
        <v>-44119.462148109647</v>
      </c>
      <c r="G51" s="62">
        <f t="shared" si="50"/>
        <v>-43443.738717137028</v>
      </c>
      <c r="H51" s="62">
        <f t="shared" si="50"/>
        <v>-42517.347172137401</v>
      </c>
      <c r="I51" s="62">
        <f t="shared" si="50"/>
        <v>-41272.376203762586</v>
      </c>
      <c r="J51" s="62">
        <f t="shared" si="50"/>
        <v>-39644.958637393647</v>
      </c>
      <c r="K51" s="62">
        <f t="shared" si="50"/>
        <v>-37595.501281822799</v>
      </c>
      <c r="L51" s="62">
        <f t="shared" si="50"/>
        <v>-35136.211284820376</v>
      </c>
      <c r="M51" s="62">
        <f t="shared" si="50"/>
        <v>-32355.310948630464</v>
      </c>
      <c r="N51" s="62">
        <f t="shared" si="50"/>
        <v>-29419.525873461753</v>
      </c>
      <c r="O51" s="62">
        <f t="shared" si="50"/>
        <v>-26541.511557340396</v>
      </c>
      <c r="P51" s="62">
        <f t="shared" si="50"/>
        <v>-23921.595885610663</v>
      </c>
      <c r="Q51" s="62">
        <f t="shared" si="50"/>
        <v>-21695.040647806538</v>
      </c>
      <c r="R51" s="62">
        <f t="shared" si="50"/>
        <v>-19911.968655776182</v>
      </c>
      <c r="S51" s="62">
        <f t="shared" si="50"/>
        <v>-18551.40558747459</v>
      </c>
      <c r="T51" s="62">
        <f t="shared" si="50"/>
        <v>-17551.282614957105</v>
      </c>
      <c r="U51" s="62">
        <f t="shared" si="50"/>
        <v>-16836.209158050464</v>
      </c>
      <c r="V51" s="62">
        <f t="shared" si="50"/>
        <v>-16335.048266557109</v>
      </c>
      <c r="W51" s="62">
        <f t="shared" si="50"/>
        <v>-15988.715286779448</v>
      </c>
      <c r="X51" s="62">
        <f t="shared" si="50"/>
        <v>-15751.702370283236</v>
      </c>
      <c r="Y51" s="62">
        <f t="shared" si="50"/>
        <v>-15590.58521762073</v>
      </c>
      <c r="Z51" s="62">
        <f t="shared" si="50"/>
        <v>-15481.559033229796</v>
      </c>
      <c r="AA51" s="62">
        <f t="shared" si="50"/>
        <v>-15408.009855414111</v>
      </c>
      <c r="AB51" s="62">
        <f t="shared" si="50"/>
        <v>-15358.496914269901</v>
      </c>
      <c r="AC51" s="62">
        <f t="shared" si="50"/>
        <v>-15325.211858527608</v>
      </c>
    </row>
    <row r="52" spans="1:29" x14ac:dyDescent="0.25">
      <c r="A52" s="30" t="str">
        <f>A33</f>
        <v>Capex costumization</v>
      </c>
      <c r="B52" s="62">
        <f>((1+B35)^B43)*B35/(((1+B35)^B43)-1)*(B33)</f>
        <v>305125.4282581982</v>
      </c>
      <c r="C52" s="62">
        <f t="shared" ref="C52:AC52" si="51">((1+C35)^C43)*C35/(((1+C35)^C43)-1)*(C33)</f>
        <v>305125.4282581982</v>
      </c>
      <c r="D52" s="62">
        <f t="shared" si="51"/>
        <v>305125.4282581982</v>
      </c>
      <c r="E52" s="62">
        <f t="shared" si="51"/>
        <v>305125.4282581982</v>
      </c>
      <c r="F52" s="62">
        <f t="shared" si="51"/>
        <v>305125.4282581982</v>
      </c>
      <c r="G52" s="62">
        <f t="shared" si="51"/>
        <v>305125.4282581982</v>
      </c>
      <c r="H52" s="62">
        <f t="shared" si="51"/>
        <v>305125.4282581982</v>
      </c>
      <c r="I52" s="62">
        <f t="shared" si="51"/>
        <v>305125.4282581982</v>
      </c>
      <c r="J52" s="62">
        <f t="shared" si="51"/>
        <v>305125.4282581982</v>
      </c>
      <c r="K52" s="62">
        <f t="shared" si="51"/>
        <v>305125.4282581982</v>
      </c>
      <c r="L52" s="62">
        <f t="shared" si="51"/>
        <v>305125.4282581982</v>
      </c>
      <c r="M52" s="62">
        <f t="shared" si="51"/>
        <v>305125.4282581982</v>
      </c>
      <c r="N52" s="62">
        <f t="shared" si="51"/>
        <v>305125.4282581982</v>
      </c>
      <c r="O52" s="62">
        <f t="shared" si="51"/>
        <v>305125.4282581982</v>
      </c>
      <c r="P52" s="62">
        <f t="shared" si="51"/>
        <v>305125.4282581982</v>
      </c>
      <c r="Q52" s="62">
        <f t="shared" si="51"/>
        <v>305125.4282581982</v>
      </c>
      <c r="R52" s="62">
        <f t="shared" si="51"/>
        <v>305125.4282581982</v>
      </c>
      <c r="S52" s="62">
        <f t="shared" si="51"/>
        <v>305125.4282581982</v>
      </c>
      <c r="T52" s="62">
        <f t="shared" si="51"/>
        <v>305125.4282581982</v>
      </c>
      <c r="U52" s="62">
        <f t="shared" si="51"/>
        <v>305125.4282581982</v>
      </c>
      <c r="V52" s="62">
        <f t="shared" si="51"/>
        <v>305125.4282581982</v>
      </c>
      <c r="W52" s="62">
        <f t="shared" si="51"/>
        <v>305125.4282581982</v>
      </c>
      <c r="X52" s="62">
        <f t="shared" si="51"/>
        <v>305125.4282581982</v>
      </c>
      <c r="Y52" s="62">
        <f t="shared" si="51"/>
        <v>305125.4282581982</v>
      </c>
      <c r="Z52" s="62">
        <f t="shared" si="51"/>
        <v>305125.4282581982</v>
      </c>
      <c r="AA52" s="62">
        <f t="shared" si="51"/>
        <v>305125.4282581982</v>
      </c>
      <c r="AB52" s="62">
        <f t="shared" si="51"/>
        <v>305125.4282581982</v>
      </c>
      <c r="AC52" s="62">
        <f t="shared" si="51"/>
        <v>305125.4282581982</v>
      </c>
    </row>
    <row r="53" spans="1:29" x14ac:dyDescent="0.25">
      <c r="A53" s="30" t="str">
        <f>A34</f>
        <v>Residual value (costumization)</v>
      </c>
      <c r="B53" s="62">
        <f>((1+B35)^B43)*B35/(((1+B35)^B43)-1)*(B34)</f>
        <v>-15256.271412909911</v>
      </c>
      <c r="C53" s="62">
        <f t="shared" ref="C53:AC53" si="52">((1+C35)^C43)*C35/(((1+C35)^C43)-1)*(C34)</f>
        <v>-15256.271412909911</v>
      </c>
      <c r="D53" s="62">
        <f t="shared" si="52"/>
        <v>-15256.271412909911</v>
      </c>
      <c r="E53" s="62">
        <f t="shared" si="52"/>
        <v>-15256.271412909911</v>
      </c>
      <c r="F53" s="62">
        <f t="shared" si="52"/>
        <v>-15256.271412909911</v>
      </c>
      <c r="G53" s="62">
        <f t="shared" si="52"/>
        <v>-15256.271412909911</v>
      </c>
      <c r="H53" s="62">
        <f t="shared" si="52"/>
        <v>-15256.271412909911</v>
      </c>
      <c r="I53" s="62">
        <f t="shared" si="52"/>
        <v>-15256.271412909911</v>
      </c>
      <c r="J53" s="62">
        <f t="shared" si="52"/>
        <v>-15256.271412909911</v>
      </c>
      <c r="K53" s="62">
        <f t="shared" si="52"/>
        <v>-15256.271412909911</v>
      </c>
      <c r="L53" s="62">
        <f t="shared" si="52"/>
        <v>-15256.271412909911</v>
      </c>
      <c r="M53" s="62">
        <f t="shared" si="52"/>
        <v>-15256.271412909911</v>
      </c>
      <c r="N53" s="62">
        <f t="shared" si="52"/>
        <v>-15256.271412909911</v>
      </c>
      <c r="O53" s="62">
        <f t="shared" si="52"/>
        <v>-15256.271412909911</v>
      </c>
      <c r="P53" s="62">
        <f t="shared" si="52"/>
        <v>-15256.271412909911</v>
      </c>
      <c r="Q53" s="62">
        <f t="shared" si="52"/>
        <v>-15256.271412909911</v>
      </c>
      <c r="R53" s="62">
        <f t="shared" si="52"/>
        <v>-15256.271412909911</v>
      </c>
      <c r="S53" s="62">
        <f t="shared" si="52"/>
        <v>-15256.271412909911</v>
      </c>
      <c r="T53" s="62">
        <f t="shared" si="52"/>
        <v>-15256.271412909911</v>
      </c>
      <c r="U53" s="62">
        <f t="shared" si="52"/>
        <v>-15256.271412909911</v>
      </c>
      <c r="V53" s="62">
        <f t="shared" si="52"/>
        <v>-15256.271412909911</v>
      </c>
      <c r="W53" s="62">
        <f t="shared" si="52"/>
        <v>-15256.271412909911</v>
      </c>
      <c r="X53" s="62">
        <f t="shared" si="52"/>
        <v>-15256.271412909911</v>
      </c>
      <c r="Y53" s="62">
        <f t="shared" si="52"/>
        <v>-15256.271412909911</v>
      </c>
      <c r="Z53" s="62">
        <f t="shared" si="52"/>
        <v>-15256.271412909911</v>
      </c>
      <c r="AA53" s="62">
        <f t="shared" si="52"/>
        <v>-15256.271412909911</v>
      </c>
      <c r="AB53" s="62">
        <f t="shared" si="52"/>
        <v>-15256.271412909911</v>
      </c>
      <c r="AC53" s="62">
        <f t="shared" si="52"/>
        <v>-15256.271412909911</v>
      </c>
    </row>
    <row r="54" spans="1:29" x14ac:dyDescent="0.25">
      <c r="A54" s="30" t="str">
        <f t="shared" ref="A54:AC54" si="53">A36</f>
        <v>Opex fix (admin, crew, insurance)</v>
      </c>
      <c r="B54" s="62">
        <f t="shared" si="53"/>
        <v>650000</v>
      </c>
      <c r="C54" s="62">
        <f t="shared" si="53"/>
        <v>650000</v>
      </c>
      <c r="D54" s="62">
        <f t="shared" si="53"/>
        <v>650000</v>
      </c>
      <c r="E54" s="62">
        <f t="shared" si="53"/>
        <v>650000</v>
      </c>
      <c r="F54" s="62">
        <f t="shared" si="53"/>
        <v>650000</v>
      </c>
      <c r="G54" s="62">
        <f t="shared" si="53"/>
        <v>650000</v>
      </c>
      <c r="H54" s="62">
        <f t="shared" si="53"/>
        <v>650000</v>
      </c>
      <c r="I54" s="62">
        <f t="shared" si="53"/>
        <v>650000</v>
      </c>
      <c r="J54" s="62">
        <f t="shared" si="53"/>
        <v>650000</v>
      </c>
      <c r="K54" s="62">
        <f t="shared" si="53"/>
        <v>650000</v>
      </c>
      <c r="L54" s="62">
        <f t="shared" si="53"/>
        <v>650000</v>
      </c>
      <c r="M54" s="62">
        <f t="shared" si="53"/>
        <v>650000</v>
      </c>
      <c r="N54" s="62">
        <f t="shared" si="53"/>
        <v>650000</v>
      </c>
      <c r="O54" s="62">
        <f t="shared" si="53"/>
        <v>650000</v>
      </c>
      <c r="P54" s="62">
        <f t="shared" si="53"/>
        <v>650000</v>
      </c>
      <c r="Q54" s="62">
        <f t="shared" si="53"/>
        <v>650000</v>
      </c>
      <c r="R54" s="62">
        <f t="shared" si="53"/>
        <v>650000</v>
      </c>
      <c r="S54" s="62">
        <f t="shared" si="53"/>
        <v>650000</v>
      </c>
      <c r="T54" s="62">
        <f t="shared" si="53"/>
        <v>650000</v>
      </c>
      <c r="U54" s="62">
        <f t="shared" si="53"/>
        <v>650000</v>
      </c>
      <c r="V54" s="62">
        <f t="shared" si="53"/>
        <v>650000</v>
      </c>
      <c r="W54" s="62">
        <f t="shared" si="53"/>
        <v>650000</v>
      </c>
      <c r="X54" s="62">
        <f t="shared" si="53"/>
        <v>650000</v>
      </c>
      <c r="Y54" s="62">
        <f t="shared" si="53"/>
        <v>650000</v>
      </c>
      <c r="Z54" s="62">
        <f t="shared" si="53"/>
        <v>650000</v>
      </c>
      <c r="AA54" s="62">
        <f t="shared" si="53"/>
        <v>650000</v>
      </c>
      <c r="AB54" s="62">
        <f t="shared" si="53"/>
        <v>650000</v>
      </c>
      <c r="AC54" s="62">
        <f t="shared" si="53"/>
        <v>650000</v>
      </c>
    </row>
    <row r="55" spans="1:29" x14ac:dyDescent="0.25">
      <c r="A55" s="30" t="str">
        <f t="shared" ref="A55:AC55" si="54">A37</f>
        <v>Opex maintenance &amp; repair</v>
      </c>
      <c r="B55" s="62">
        <f t="shared" si="54"/>
        <v>1050000</v>
      </c>
      <c r="C55" s="62">
        <f t="shared" si="54"/>
        <v>1050000</v>
      </c>
      <c r="D55" s="62">
        <f t="shared" si="54"/>
        <v>1050000</v>
      </c>
      <c r="E55" s="62">
        <f t="shared" si="54"/>
        <v>1050000</v>
      </c>
      <c r="F55" s="62">
        <f t="shared" si="54"/>
        <v>1050000</v>
      </c>
      <c r="G55" s="62">
        <f t="shared" si="54"/>
        <v>1050000</v>
      </c>
      <c r="H55" s="62">
        <f t="shared" si="54"/>
        <v>1050000</v>
      </c>
      <c r="I55" s="62">
        <f t="shared" si="54"/>
        <v>1050000</v>
      </c>
      <c r="J55" s="62">
        <f t="shared" si="54"/>
        <v>1050000</v>
      </c>
      <c r="K55" s="62">
        <f t="shared" si="54"/>
        <v>1050000</v>
      </c>
      <c r="L55" s="62">
        <f t="shared" si="54"/>
        <v>1050000</v>
      </c>
      <c r="M55" s="62">
        <f t="shared" si="54"/>
        <v>1050000</v>
      </c>
      <c r="N55" s="62">
        <f t="shared" si="54"/>
        <v>1050000</v>
      </c>
      <c r="O55" s="62">
        <f t="shared" si="54"/>
        <v>1050000</v>
      </c>
      <c r="P55" s="62">
        <f t="shared" si="54"/>
        <v>1050000</v>
      </c>
      <c r="Q55" s="62">
        <f t="shared" si="54"/>
        <v>1050000</v>
      </c>
      <c r="R55" s="62">
        <f t="shared" si="54"/>
        <v>1050000</v>
      </c>
      <c r="S55" s="62">
        <f t="shared" si="54"/>
        <v>1050000</v>
      </c>
      <c r="T55" s="62">
        <f t="shared" si="54"/>
        <v>1050000</v>
      </c>
      <c r="U55" s="62">
        <f t="shared" si="54"/>
        <v>1050000</v>
      </c>
      <c r="V55" s="62">
        <f t="shared" si="54"/>
        <v>1050000</v>
      </c>
      <c r="W55" s="62">
        <f t="shared" si="54"/>
        <v>1050000</v>
      </c>
      <c r="X55" s="62">
        <f t="shared" si="54"/>
        <v>1050000</v>
      </c>
      <c r="Y55" s="62">
        <f t="shared" si="54"/>
        <v>1050000</v>
      </c>
      <c r="Z55" s="62">
        <f t="shared" si="54"/>
        <v>1050000</v>
      </c>
      <c r="AA55" s="62">
        <f t="shared" si="54"/>
        <v>1050000</v>
      </c>
      <c r="AB55" s="62">
        <f t="shared" si="54"/>
        <v>1050000</v>
      </c>
      <c r="AC55" s="62">
        <f t="shared" si="54"/>
        <v>1050000</v>
      </c>
    </row>
    <row r="56" spans="1:29" x14ac:dyDescent="0.25">
      <c r="A56" s="30" t="str">
        <f>A38</f>
        <v>Opex var (mode-fees, shunting)</v>
      </c>
      <c r="B56" s="62">
        <f>B38*B47</f>
        <v>700000</v>
      </c>
      <c r="C56" s="62">
        <f t="shared" ref="C56:AC56" si="55">C38*C47</f>
        <v>700000</v>
      </c>
      <c r="D56" s="62">
        <f t="shared" si="55"/>
        <v>700000</v>
      </c>
      <c r="E56" s="62">
        <f t="shared" si="55"/>
        <v>700000</v>
      </c>
      <c r="F56" s="62">
        <f t="shared" si="55"/>
        <v>700000</v>
      </c>
      <c r="G56" s="62">
        <f t="shared" si="55"/>
        <v>700000</v>
      </c>
      <c r="H56" s="62">
        <f t="shared" si="55"/>
        <v>700000</v>
      </c>
      <c r="I56" s="62">
        <f t="shared" si="55"/>
        <v>700000</v>
      </c>
      <c r="J56" s="62">
        <f t="shared" si="55"/>
        <v>700000</v>
      </c>
      <c r="K56" s="62">
        <f t="shared" si="55"/>
        <v>700000</v>
      </c>
      <c r="L56" s="62">
        <f t="shared" si="55"/>
        <v>700000</v>
      </c>
      <c r="M56" s="62">
        <f t="shared" si="55"/>
        <v>700000</v>
      </c>
      <c r="N56" s="62">
        <f t="shared" si="55"/>
        <v>700000</v>
      </c>
      <c r="O56" s="62">
        <f t="shared" si="55"/>
        <v>700000</v>
      </c>
      <c r="P56" s="62">
        <f t="shared" si="55"/>
        <v>700000</v>
      </c>
      <c r="Q56" s="62">
        <f t="shared" si="55"/>
        <v>700000</v>
      </c>
      <c r="R56" s="62">
        <f t="shared" si="55"/>
        <v>700000</v>
      </c>
      <c r="S56" s="62">
        <f t="shared" si="55"/>
        <v>700000</v>
      </c>
      <c r="T56" s="62">
        <f t="shared" si="55"/>
        <v>700000</v>
      </c>
      <c r="U56" s="62">
        <f t="shared" si="55"/>
        <v>700000</v>
      </c>
      <c r="V56" s="62">
        <f t="shared" si="55"/>
        <v>700000</v>
      </c>
      <c r="W56" s="62">
        <f t="shared" si="55"/>
        <v>700000</v>
      </c>
      <c r="X56" s="62">
        <f t="shared" si="55"/>
        <v>700000</v>
      </c>
      <c r="Y56" s="62">
        <f t="shared" si="55"/>
        <v>700000</v>
      </c>
      <c r="Z56" s="62">
        <f t="shared" si="55"/>
        <v>700000</v>
      </c>
      <c r="AA56" s="62">
        <f t="shared" si="55"/>
        <v>700000</v>
      </c>
      <c r="AB56" s="62">
        <f t="shared" si="55"/>
        <v>700000</v>
      </c>
      <c r="AC56" s="62">
        <f t="shared" si="55"/>
        <v>700000</v>
      </c>
    </row>
    <row r="57" spans="1:29" x14ac:dyDescent="0.25">
      <c r="A57" s="30" t="str">
        <f>A40</f>
        <v>Fuel Cost</v>
      </c>
      <c r="B57" s="62">
        <f>B39*B40*B47</f>
        <v>794210.52768000006</v>
      </c>
      <c r="C57" s="62">
        <f t="shared" ref="C57:AC57" si="56">C39*C40*C47</f>
        <v>739437.38783999986</v>
      </c>
      <c r="D57" s="62">
        <f t="shared" si="56"/>
        <v>684664.24800000002</v>
      </c>
      <c r="E57" s="62">
        <f t="shared" si="56"/>
        <v>629891.10815999995</v>
      </c>
      <c r="F57" s="62">
        <f t="shared" si="56"/>
        <v>575117.96831999999</v>
      </c>
      <c r="G57" s="62">
        <f t="shared" si="56"/>
        <v>520344.82848000008</v>
      </c>
      <c r="H57" s="62">
        <f t="shared" si="56"/>
        <v>465571.68864000007</v>
      </c>
      <c r="I57" s="62">
        <f t="shared" si="56"/>
        <v>410798.54879999999</v>
      </c>
      <c r="J57" s="62">
        <f t="shared" si="56"/>
        <v>402484.76864571427</v>
      </c>
      <c r="K57" s="62">
        <f t="shared" si="56"/>
        <v>394170.98849142861</v>
      </c>
      <c r="L57" s="62">
        <f t="shared" si="56"/>
        <v>385857.20833714283</v>
      </c>
      <c r="M57" s="62">
        <f t="shared" si="56"/>
        <v>377543.42818285705</v>
      </c>
      <c r="N57" s="62">
        <f t="shared" si="56"/>
        <v>369229.64802857145</v>
      </c>
      <c r="O57" s="62">
        <f t="shared" si="56"/>
        <v>360915.86787428573</v>
      </c>
      <c r="P57" s="62">
        <f t="shared" si="56"/>
        <v>352602.08772000001</v>
      </c>
      <c r="Q57" s="62">
        <f t="shared" si="56"/>
        <v>344288.30756571429</v>
      </c>
      <c r="R57" s="62">
        <f t="shared" si="56"/>
        <v>335974.52741142851</v>
      </c>
      <c r="S57" s="62">
        <f t="shared" si="56"/>
        <v>327660.74725714285</v>
      </c>
      <c r="T57" s="62">
        <f t="shared" si="56"/>
        <v>319346.96710285713</v>
      </c>
      <c r="U57" s="62">
        <f t="shared" si="56"/>
        <v>311033.18694857141</v>
      </c>
      <c r="V57" s="62">
        <f t="shared" si="56"/>
        <v>302719.40679428569</v>
      </c>
      <c r="W57" s="62">
        <f t="shared" si="56"/>
        <v>294405.62663999997</v>
      </c>
      <c r="X57" s="62">
        <f t="shared" si="56"/>
        <v>286091.84648571431</v>
      </c>
      <c r="Y57" s="62">
        <f t="shared" si="56"/>
        <v>277778.06633142853</v>
      </c>
      <c r="Z57" s="62">
        <f t="shared" si="56"/>
        <v>269464.28617714281</v>
      </c>
      <c r="AA57" s="62">
        <f t="shared" si="56"/>
        <v>261150.50602285712</v>
      </c>
      <c r="AB57" s="62">
        <f t="shared" si="56"/>
        <v>252836.72586857138</v>
      </c>
      <c r="AC57" s="62">
        <f t="shared" si="56"/>
        <v>244522.94571428571</v>
      </c>
    </row>
    <row r="58" spans="1:29" ht="15.75" thickBot="1" x14ac:dyDescent="0.3">
      <c r="A58" s="59" t="str">
        <f>A21</f>
        <v>Emission Cost</v>
      </c>
      <c r="B58" s="62">
        <f>B41*B47</f>
        <v>0</v>
      </c>
      <c r="C58" s="62">
        <f t="shared" ref="C58:AC58" si="57">C41*C47</f>
        <v>0</v>
      </c>
      <c r="D58" s="62">
        <f t="shared" si="57"/>
        <v>0</v>
      </c>
      <c r="E58" s="62">
        <f t="shared" si="57"/>
        <v>0</v>
      </c>
      <c r="F58" s="62">
        <f t="shared" si="57"/>
        <v>0</v>
      </c>
      <c r="G58" s="62">
        <f t="shared" si="57"/>
        <v>0</v>
      </c>
      <c r="H58" s="62">
        <f t="shared" si="57"/>
        <v>0</v>
      </c>
      <c r="I58" s="62">
        <f t="shared" si="57"/>
        <v>0</v>
      </c>
      <c r="J58" s="62">
        <f t="shared" si="57"/>
        <v>0</v>
      </c>
      <c r="K58" s="62">
        <f t="shared" si="57"/>
        <v>0</v>
      </c>
      <c r="L58" s="62">
        <f t="shared" si="57"/>
        <v>0</v>
      </c>
      <c r="M58" s="62">
        <f t="shared" si="57"/>
        <v>0</v>
      </c>
      <c r="N58" s="62">
        <f t="shared" si="57"/>
        <v>0</v>
      </c>
      <c r="O58" s="62">
        <f t="shared" si="57"/>
        <v>0</v>
      </c>
      <c r="P58" s="62">
        <f t="shared" si="57"/>
        <v>0</v>
      </c>
      <c r="Q58" s="62">
        <f t="shared" si="57"/>
        <v>0</v>
      </c>
      <c r="R58" s="62">
        <f t="shared" si="57"/>
        <v>0</v>
      </c>
      <c r="S58" s="62">
        <f t="shared" si="57"/>
        <v>0</v>
      </c>
      <c r="T58" s="62">
        <f t="shared" si="57"/>
        <v>0</v>
      </c>
      <c r="U58" s="62">
        <f t="shared" si="57"/>
        <v>0</v>
      </c>
      <c r="V58" s="62">
        <f t="shared" si="57"/>
        <v>0</v>
      </c>
      <c r="W58" s="62">
        <f t="shared" si="57"/>
        <v>0</v>
      </c>
      <c r="X58" s="62">
        <f t="shared" si="57"/>
        <v>0</v>
      </c>
      <c r="Y58" s="62">
        <f t="shared" si="57"/>
        <v>0</v>
      </c>
      <c r="Z58" s="62">
        <f t="shared" si="57"/>
        <v>0</v>
      </c>
      <c r="AA58" s="62">
        <f t="shared" si="57"/>
        <v>0</v>
      </c>
      <c r="AB58" s="62">
        <f t="shared" si="57"/>
        <v>0</v>
      </c>
      <c r="AC58" s="62">
        <f t="shared" si="57"/>
        <v>0</v>
      </c>
    </row>
    <row r="59" spans="1:29" ht="15.75" thickBot="1" x14ac:dyDescent="0.3">
      <c r="A59" s="31" t="s">
        <v>209</v>
      </c>
      <c r="B59" s="64">
        <f>B50+B51+B52+B53+B54+B55+B56+B57+B58</f>
        <v>3743856.5994378319</v>
      </c>
      <c r="C59" s="64">
        <f t="shared" ref="C59:AC59" si="58">C50+C51+C52+C53+C54+C55+C56+C57+C58</f>
        <v>3689255.951399954</v>
      </c>
      <c r="D59" s="64">
        <f t="shared" si="58"/>
        <v>3634727.7251919592</v>
      </c>
      <c r="E59" s="64">
        <f t="shared" si="58"/>
        <v>3580300.747236101</v>
      </c>
      <c r="F59" s="64">
        <f t="shared" si="58"/>
        <v>3526013.6124361586</v>
      </c>
      <c r="G59" s="64">
        <f t="shared" si="58"/>
        <v>3471916.1960271313</v>
      </c>
      <c r="H59" s="64">
        <f t="shared" si="58"/>
        <v>3418069.447732131</v>
      </c>
      <c r="I59" s="64">
        <f t="shared" si="58"/>
        <v>3364541.2788605057</v>
      </c>
      <c r="J59" s="64">
        <f t="shared" si="58"/>
        <v>3357854.916272589</v>
      </c>
      <c r="K59" s="64">
        <f t="shared" si="58"/>
        <v>3351590.593473874</v>
      </c>
      <c r="L59" s="64">
        <f t="shared" si="58"/>
        <v>3345736.1033165911</v>
      </c>
      <c r="M59" s="64">
        <f t="shared" si="58"/>
        <v>3340203.2234984948</v>
      </c>
      <c r="N59" s="64">
        <f t="shared" si="58"/>
        <v>3334825.2284193779</v>
      </c>
      <c r="O59" s="64">
        <f t="shared" si="58"/>
        <v>3329389.4625812136</v>
      </c>
      <c r="P59" s="64">
        <f t="shared" si="58"/>
        <v>3323695.5980986576</v>
      </c>
      <c r="Q59" s="64">
        <f t="shared" si="58"/>
        <v>3317608.3731821757</v>
      </c>
      <c r="R59" s="64">
        <f t="shared" si="58"/>
        <v>3311077.6650199201</v>
      </c>
      <c r="S59" s="64">
        <f t="shared" si="58"/>
        <v>3304124.4479339365</v>
      </c>
      <c r="T59" s="64">
        <f t="shared" si="58"/>
        <v>3296810.7907521683</v>
      </c>
      <c r="U59" s="64">
        <f t="shared" si="58"/>
        <v>3289212.084054789</v>
      </c>
      <c r="V59" s="64">
        <f t="shared" si="58"/>
        <v>3281399.4647919969</v>
      </c>
      <c r="W59" s="64">
        <f t="shared" si="58"/>
        <v>3273432.0176174887</v>
      </c>
      <c r="X59" s="64">
        <f t="shared" si="58"/>
        <v>3265355.2503796993</v>
      </c>
      <c r="Y59" s="64">
        <f t="shared" si="58"/>
        <v>3257202.5873780758</v>
      </c>
      <c r="Z59" s="64">
        <f t="shared" si="58"/>
        <v>3248997.8334081811</v>
      </c>
      <c r="AA59" s="64">
        <f t="shared" si="58"/>
        <v>3240757.6024317113</v>
      </c>
      <c r="AB59" s="64">
        <f t="shared" si="58"/>
        <v>3232493.3352185697</v>
      </c>
      <c r="AC59" s="64">
        <f t="shared" si="58"/>
        <v>3224212.8401200259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9">A50</f>
        <v>Capex vehicle</v>
      </c>
      <c r="B62" s="65">
        <f>((1+B35)^B42)*B35/(((1+B35)^B42)-1)*(B31)/B47</f>
        <v>1.7095011171931649</v>
      </c>
      <c r="C62" s="65">
        <f t="shared" ref="C62:AC62" si="60">((1+C35)^C42)*C35/(((1+C35)^C42)-1)*(C31)/C47</f>
        <v>1.7095011171931649</v>
      </c>
      <c r="D62" s="65">
        <f t="shared" si="60"/>
        <v>1.7095011171931649</v>
      </c>
      <c r="E62" s="65">
        <f t="shared" si="60"/>
        <v>1.7095011171931649</v>
      </c>
      <c r="F62" s="65">
        <f t="shared" si="60"/>
        <v>1.7095011171931649</v>
      </c>
      <c r="G62" s="65">
        <f t="shared" si="60"/>
        <v>1.7095011171931649</v>
      </c>
      <c r="H62" s="65">
        <f t="shared" si="60"/>
        <v>1.7095011171931649</v>
      </c>
      <c r="I62" s="65">
        <f t="shared" si="60"/>
        <v>1.7095011171931649</v>
      </c>
      <c r="J62" s="65">
        <f t="shared" si="60"/>
        <v>1.7095011171931649</v>
      </c>
      <c r="K62" s="65">
        <f t="shared" si="60"/>
        <v>1.7095011171931649</v>
      </c>
      <c r="L62" s="65">
        <f t="shared" si="60"/>
        <v>1.7095011171931649</v>
      </c>
      <c r="M62" s="65">
        <f t="shared" si="60"/>
        <v>1.7095011171931649</v>
      </c>
      <c r="N62" s="65">
        <f t="shared" si="60"/>
        <v>1.7095011171931649</v>
      </c>
      <c r="O62" s="65">
        <f t="shared" si="60"/>
        <v>1.7095011171931649</v>
      </c>
      <c r="P62" s="65">
        <f t="shared" si="60"/>
        <v>1.7095011171931649</v>
      </c>
      <c r="Q62" s="65">
        <f t="shared" si="60"/>
        <v>1.7095011171931649</v>
      </c>
      <c r="R62" s="65">
        <f t="shared" si="60"/>
        <v>1.7095011171931649</v>
      </c>
      <c r="S62" s="65">
        <f t="shared" si="60"/>
        <v>1.7095011171931649</v>
      </c>
      <c r="T62" s="65">
        <f t="shared" si="60"/>
        <v>1.7095011171931649</v>
      </c>
      <c r="U62" s="65">
        <f t="shared" si="60"/>
        <v>1.7095011171931649</v>
      </c>
      <c r="V62" s="65">
        <f t="shared" si="60"/>
        <v>1.7095011171931649</v>
      </c>
      <c r="W62" s="65">
        <f t="shared" si="60"/>
        <v>1.7095011171931649</v>
      </c>
      <c r="X62" s="65">
        <f t="shared" si="60"/>
        <v>1.7095011171931649</v>
      </c>
      <c r="Y62" s="65">
        <f t="shared" si="60"/>
        <v>1.7095011171931649</v>
      </c>
      <c r="Z62" s="65">
        <f t="shared" si="60"/>
        <v>1.7095011171931649</v>
      </c>
      <c r="AA62" s="65">
        <f t="shared" si="60"/>
        <v>1.7095011171931649</v>
      </c>
      <c r="AB62" s="65">
        <f t="shared" si="60"/>
        <v>1.7095011171931649</v>
      </c>
      <c r="AC62" s="65">
        <f t="shared" si="60"/>
        <v>1.7095011171931649</v>
      </c>
    </row>
    <row r="63" spans="1:29" x14ac:dyDescent="0.25">
      <c r="A63" s="30" t="str">
        <f t="shared" si="59"/>
        <v>Residual value (vehicle)</v>
      </c>
      <c r="B63" s="66">
        <f>((1+B35)^B42)*B35/(((1+B35)^B42)-1)*(B32)/B47</f>
        <v>-0.25416826054025926</v>
      </c>
      <c r="C63" s="66">
        <f t="shared" ref="C63:AC63" si="61">((1+C35)^C42)*C35/(((1+C35)^C42)-1)*(C32)/C47</f>
        <v>-0.2532019199121241</v>
      </c>
      <c r="D63" s="66">
        <f t="shared" si="61"/>
        <v>-0.25182985474682912</v>
      </c>
      <c r="E63" s="66">
        <f t="shared" si="61"/>
        <v>-0.24989057248272897</v>
      </c>
      <c r="F63" s="66">
        <f t="shared" si="61"/>
        <v>-0.24716785517148263</v>
      </c>
      <c r="G63" s="66">
        <f t="shared" si="61"/>
        <v>-0.2433822897318601</v>
      </c>
      <c r="H63" s="66">
        <f t="shared" si="61"/>
        <v>-0.23819242113242242</v>
      </c>
      <c r="I63" s="66">
        <f t="shared" si="61"/>
        <v>-0.23121779385861393</v>
      </c>
      <c r="J63" s="66">
        <f t="shared" si="61"/>
        <v>-0.22210060861284955</v>
      </c>
      <c r="K63" s="66">
        <f t="shared" si="61"/>
        <v>-0.21061905480012771</v>
      </c>
      <c r="L63" s="66">
        <f t="shared" si="61"/>
        <v>-0.19684151980291528</v>
      </c>
      <c r="M63" s="66">
        <f t="shared" si="61"/>
        <v>-0.18126224621081494</v>
      </c>
      <c r="N63" s="66">
        <f t="shared" si="61"/>
        <v>-0.16481527099978574</v>
      </c>
      <c r="O63" s="66">
        <f t="shared" si="61"/>
        <v>-0.14869194149770532</v>
      </c>
      <c r="P63" s="66">
        <f t="shared" si="61"/>
        <v>-0.13401454277653033</v>
      </c>
      <c r="Q63" s="66">
        <f t="shared" si="61"/>
        <v>-0.12154084396530274</v>
      </c>
      <c r="R63" s="66">
        <f t="shared" si="61"/>
        <v>-0.11155164513039878</v>
      </c>
      <c r="S63" s="66">
        <f t="shared" si="61"/>
        <v>-0.10392944306708454</v>
      </c>
      <c r="T63" s="66">
        <f t="shared" si="61"/>
        <v>-9.8326513249059416E-2</v>
      </c>
      <c r="U63" s="66">
        <f t="shared" si="61"/>
        <v>-9.4320499484876544E-2</v>
      </c>
      <c r="V63" s="66">
        <f t="shared" si="61"/>
        <v>-9.1512875442896963E-2</v>
      </c>
      <c r="W63" s="66">
        <f t="shared" si="61"/>
        <v>-8.9572634659828843E-2</v>
      </c>
      <c r="X63" s="66">
        <f t="shared" si="61"/>
        <v>-8.8244831206068547E-2</v>
      </c>
      <c r="Y63" s="66">
        <f t="shared" si="61"/>
        <v>-8.734221410431782E-2</v>
      </c>
      <c r="Z63" s="66">
        <f t="shared" si="61"/>
        <v>-8.6731423155348999E-2</v>
      </c>
      <c r="AA63" s="66">
        <f t="shared" si="61"/>
        <v>-8.631938294349642E-2</v>
      </c>
      <c r="AB63" s="66">
        <f t="shared" si="61"/>
        <v>-8.6041999519719331E-2</v>
      </c>
      <c r="AC63" s="66">
        <f t="shared" si="61"/>
        <v>-8.5855528619202287E-2</v>
      </c>
    </row>
    <row r="64" spans="1:29" x14ac:dyDescent="0.25">
      <c r="A64" s="30" t="str">
        <f t="shared" si="59"/>
        <v>Capex costumization</v>
      </c>
      <c r="B64" s="66">
        <f>((1+B35)^B43)*B35/(((1+B35)^B43)-1)*(B33)/B47</f>
        <v>1.7093861527069927</v>
      </c>
      <c r="C64" s="66">
        <f t="shared" ref="C64:AC64" si="62">((1+C35)^C43)*C35/(((1+C35)^C43)-1)*(C33)/C47</f>
        <v>1.7093861527069927</v>
      </c>
      <c r="D64" s="66">
        <f t="shared" si="62"/>
        <v>1.7093861527069927</v>
      </c>
      <c r="E64" s="66">
        <f t="shared" si="62"/>
        <v>1.7093861527069927</v>
      </c>
      <c r="F64" s="66">
        <f t="shared" si="62"/>
        <v>1.7093861527069927</v>
      </c>
      <c r="G64" s="66">
        <f t="shared" si="62"/>
        <v>1.7093861527069927</v>
      </c>
      <c r="H64" s="66">
        <f t="shared" si="62"/>
        <v>1.7093861527069927</v>
      </c>
      <c r="I64" s="66">
        <f t="shared" si="62"/>
        <v>1.7093861527069927</v>
      </c>
      <c r="J64" s="66">
        <f t="shared" si="62"/>
        <v>1.7093861527069927</v>
      </c>
      <c r="K64" s="66">
        <f t="shared" si="62"/>
        <v>1.7093861527069927</v>
      </c>
      <c r="L64" s="66">
        <f t="shared" si="62"/>
        <v>1.7093861527069927</v>
      </c>
      <c r="M64" s="66">
        <f t="shared" si="62"/>
        <v>1.7093861527069927</v>
      </c>
      <c r="N64" s="66">
        <f t="shared" si="62"/>
        <v>1.7093861527069927</v>
      </c>
      <c r="O64" s="66">
        <f t="shared" si="62"/>
        <v>1.7093861527069927</v>
      </c>
      <c r="P64" s="66">
        <f t="shared" si="62"/>
        <v>1.7093861527069927</v>
      </c>
      <c r="Q64" s="66">
        <f t="shared" si="62"/>
        <v>1.7093861527069927</v>
      </c>
      <c r="R64" s="66">
        <f t="shared" si="62"/>
        <v>1.7093861527069927</v>
      </c>
      <c r="S64" s="66">
        <f t="shared" si="62"/>
        <v>1.7093861527069927</v>
      </c>
      <c r="T64" s="66">
        <f t="shared" si="62"/>
        <v>1.7093861527069927</v>
      </c>
      <c r="U64" s="66">
        <f t="shared" si="62"/>
        <v>1.7093861527069927</v>
      </c>
      <c r="V64" s="66">
        <f t="shared" si="62"/>
        <v>1.7093861527069927</v>
      </c>
      <c r="W64" s="66">
        <f t="shared" si="62"/>
        <v>1.7093861527069927</v>
      </c>
      <c r="X64" s="66">
        <f t="shared" si="62"/>
        <v>1.7093861527069927</v>
      </c>
      <c r="Y64" s="66">
        <f t="shared" si="62"/>
        <v>1.7093861527069927</v>
      </c>
      <c r="Z64" s="66">
        <f t="shared" si="62"/>
        <v>1.7093861527069927</v>
      </c>
      <c r="AA64" s="66">
        <f t="shared" si="62"/>
        <v>1.7093861527069927</v>
      </c>
      <c r="AB64" s="66">
        <f t="shared" si="62"/>
        <v>1.7093861527069927</v>
      </c>
      <c r="AC64" s="66">
        <f t="shared" si="62"/>
        <v>1.7093861527069927</v>
      </c>
    </row>
    <row r="65" spans="1:29" x14ac:dyDescent="0.25">
      <c r="A65" s="30" t="str">
        <f t="shared" si="59"/>
        <v>Residual value (costumization)</v>
      </c>
      <c r="B65" s="66">
        <f>((1+B35)^B43)*B35/(((1+B35)^B43)-1)*(B34)/B47</f>
        <v>-8.5469307635349642E-2</v>
      </c>
      <c r="C65" s="66">
        <f t="shared" ref="C65:AC65" si="63">((1+C35)^C43)*C35/(((1+C35)^C43)-1)*(C34)/C47</f>
        <v>-8.5469307635349642E-2</v>
      </c>
      <c r="D65" s="66">
        <f t="shared" si="63"/>
        <v>-8.5469307635349642E-2</v>
      </c>
      <c r="E65" s="66">
        <f t="shared" si="63"/>
        <v>-8.5469307635349642E-2</v>
      </c>
      <c r="F65" s="66">
        <f t="shared" si="63"/>
        <v>-8.5469307635349642E-2</v>
      </c>
      <c r="G65" s="66">
        <f t="shared" si="63"/>
        <v>-8.5469307635349642E-2</v>
      </c>
      <c r="H65" s="66">
        <f t="shared" si="63"/>
        <v>-8.5469307635349642E-2</v>
      </c>
      <c r="I65" s="66">
        <f t="shared" si="63"/>
        <v>-8.5469307635349642E-2</v>
      </c>
      <c r="J65" s="66">
        <f t="shared" si="63"/>
        <v>-8.5469307635349642E-2</v>
      </c>
      <c r="K65" s="66">
        <f t="shared" si="63"/>
        <v>-8.5469307635349642E-2</v>
      </c>
      <c r="L65" s="66">
        <f t="shared" si="63"/>
        <v>-8.5469307635349642E-2</v>
      </c>
      <c r="M65" s="66">
        <f t="shared" si="63"/>
        <v>-8.5469307635349642E-2</v>
      </c>
      <c r="N65" s="66">
        <f t="shared" si="63"/>
        <v>-8.5469307635349642E-2</v>
      </c>
      <c r="O65" s="66">
        <f t="shared" si="63"/>
        <v>-8.5469307635349642E-2</v>
      </c>
      <c r="P65" s="66">
        <f t="shared" si="63"/>
        <v>-8.5469307635349642E-2</v>
      </c>
      <c r="Q65" s="66">
        <f t="shared" si="63"/>
        <v>-8.5469307635349642E-2</v>
      </c>
      <c r="R65" s="66">
        <f t="shared" si="63"/>
        <v>-8.5469307635349642E-2</v>
      </c>
      <c r="S65" s="66">
        <f t="shared" si="63"/>
        <v>-8.5469307635349642E-2</v>
      </c>
      <c r="T65" s="66">
        <f t="shared" si="63"/>
        <v>-8.5469307635349642E-2</v>
      </c>
      <c r="U65" s="66">
        <f t="shared" si="63"/>
        <v>-8.5469307635349642E-2</v>
      </c>
      <c r="V65" s="66">
        <f t="shared" si="63"/>
        <v>-8.5469307635349642E-2</v>
      </c>
      <c r="W65" s="66">
        <f t="shared" si="63"/>
        <v>-8.5469307635349642E-2</v>
      </c>
      <c r="X65" s="66">
        <f t="shared" si="63"/>
        <v>-8.5469307635349642E-2</v>
      </c>
      <c r="Y65" s="66">
        <f t="shared" si="63"/>
        <v>-8.5469307635349642E-2</v>
      </c>
      <c r="Z65" s="66">
        <f t="shared" si="63"/>
        <v>-8.5469307635349642E-2</v>
      </c>
      <c r="AA65" s="66">
        <f t="shared" si="63"/>
        <v>-8.5469307635349642E-2</v>
      </c>
      <c r="AB65" s="66">
        <f t="shared" si="63"/>
        <v>-8.5469307635349642E-2</v>
      </c>
      <c r="AC65" s="66">
        <f t="shared" si="63"/>
        <v>-8.5469307635349642E-2</v>
      </c>
    </row>
    <row r="66" spans="1:29" x14ac:dyDescent="0.25">
      <c r="A66" s="30" t="str">
        <f t="shared" si="59"/>
        <v>Opex fix (admin, crew, insurance)</v>
      </c>
      <c r="B66" s="66">
        <f>B36/B47</f>
        <v>3.6414565826330532</v>
      </c>
      <c r="C66" s="66">
        <f t="shared" ref="C66:AC66" si="64">C36/C47</f>
        <v>3.6414565826330532</v>
      </c>
      <c r="D66" s="66">
        <f t="shared" si="64"/>
        <v>3.6414565826330532</v>
      </c>
      <c r="E66" s="66">
        <f t="shared" si="64"/>
        <v>3.6414565826330532</v>
      </c>
      <c r="F66" s="66">
        <f t="shared" si="64"/>
        <v>3.6414565826330532</v>
      </c>
      <c r="G66" s="66">
        <f t="shared" si="64"/>
        <v>3.6414565826330532</v>
      </c>
      <c r="H66" s="66">
        <f t="shared" si="64"/>
        <v>3.6414565826330532</v>
      </c>
      <c r="I66" s="66">
        <f t="shared" si="64"/>
        <v>3.6414565826330532</v>
      </c>
      <c r="J66" s="66">
        <f t="shared" si="64"/>
        <v>3.6414565826330532</v>
      </c>
      <c r="K66" s="66">
        <f t="shared" si="64"/>
        <v>3.6414565826330532</v>
      </c>
      <c r="L66" s="66">
        <f t="shared" si="64"/>
        <v>3.6414565826330532</v>
      </c>
      <c r="M66" s="66">
        <f t="shared" si="64"/>
        <v>3.6414565826330532</v>
      </c>
      <c r="N66" s="66">
        <f t="shared" si="64"/>
        <v>3.6414565826330532</v>
      </c>
      <c r="O66" s="66">
        <f t="shared" si="64"/>
        <v>3.6414565826330532</v>
      </c>
      <c r="P66" s="66">
        <f t="shared" si="64"/>
        <v>3.6414565826330532</v>
      </c>
      <c r="Q66" s="66">
        <f t="shared" si="64"/>
        <v>3.6414565826330532</v>
      </c>
      <c r="R66" s="66">
        <f t="shared" si="64"/>
        <v>3.6414565826330532</v>
      </c>
      <c r="S66" s="66">
        <f t="shared" si="64"/>
        <v>3.6414565826330532</v>
      </c>
      <c r="T66" s="66">
        <f t="shared" si="64"/>
        <v>3.6414565826330532</v>
      </c>
      <c r="U66" s="66">
        <f t="shared" si="64"/>
        <v>3.6414565826330532</v>
      </c>
      <c r="V66" s="66">
        <f t="shared" si="64"/>
        <v>3.6414565826330532</v>
      </c>
      <c r="W66" s="66">
        <f t="shared" si="64"/>
        <v>3.6414565826330532</v>
      </c>
      <c r="X66" s="66">
        <f t="shared" si="64"/>
        <v>3.6414565826330532</v>
      </c>
      <c r="Y66" s="66">
        <f t="shared" si="64"/>
        <v>3.6414565826330532</v>
      </c>
      <c r="Z66" s="66">
        <f t="shared" si="64"/>
        <v>3.6414565826330532</v>
      </c>
      <c r="AA66" s="66">
        <f t="shared" si="64"/>
        <v>3.6414565826330532</v>
      </c>
      <c r="AB66" s="66">
        <f t="shared" si="64"/>
        <v>3.6414565826330532</v>
      </c>
      <c r="AC66" s="66">
        <f t="shared" si="64"/>
        <v>3.6414565826330532</v>
      </c>
    </row>
    <row r="67" spans="1:29" x14ac:dyDescent="0.25">
      <c r="A67" s="30" t="str">
        <f t="shared" si="59"/>
        <v>Opex maintenance &amp; repair</v>
      </c>
      <c r="B67" s="66">
        <f>B37/B47</f>
        <v>5.882352941176471</v>
      </c>
      <c r="C67" s="66">
        <f t="shared" ref="C67:AC67" si="65">C37/C47</f>
        <v>5.882352941176471</v>
      </c>
      <c r="D67" s="66">
        <f t="shared" si="65"/>
        <v>5.882352941176471</v>
      </c>
      <c r="E67" s="66">
        <f t="shared" si="65"/>
        <v>5.882352941176471</v>
      </c>
      <c r="F67" s="66">
        <f t="shared" si="65"/>
        <v>5.882352941176471</v>
      </c>
      <c r="G67" s="66">
        <f t="shared" si="65"/>
        <v>5.882352941176471</v>
      </c>
      <c r="H67" s="66">
        <f t="shared" si="65"/>
        <v>5.882352941176471</v>
      </c>
      <c r="I67" s="66">
        <f t="shared" si="65"/>
        <v>5.882352941176471</v>
      </c>
      <c r="J67" s="66">
        <f t="shared" si="65"/>
        <v>5.882352941176471</v>
      </c>
      <c r="K67" s="66">
        <f t="shared" si="65"/>
        <v>5.882352941176471</v>
      </c>
      <c r="L67" s="66">
        <f t="shared" si="65"/>
        <v>5.882352941176471</v>
      </c>
      <c r="M67" s="66">
        <f t="shared" si="65"/>
        <v>5.882352941176471</v>
      </c>
      <c r="N67" s="66">
        <f t="shared" si="65"/>
        <v>5.882352941176471</v>
      </c>
      <c r="O67" s="66">
        <f t="shared" si="65"/>
        <v>5.882352941176471</v>
      </c>
      <c r="P67" s="66">
        <f t="shared" si="65"/>
        <v>5.882352941176471</v>
      </c>
      <c r="Q67" s="66">
        <f t="shared" si="65"/>
        <v>5.882352941176471</v>
      </c>
      <c r="R67" s="66">
        <f t="shared" si="65"/>
        <v>5.882352941176471</v>
      </c>
      <c r="S67" s="66">
        <f t="shared" si="65"/>
        <v>5.882352941176471</v>
      </c>
      <c r="T67" s="66">
        <f t="shared" si="65"/>
        <v>5.882352941176471</v>
      </c>
      <c r="U67" s="66">
        <f t="shared" si="65"/>
        <v>5.882352941176471</v>
      </c>
      <c r="V67" s="66">
        <f t="shared" si="65"/>
        <v>5.882352941176471</v>
      </c>
      <c r="W67" s="66">
        <f t="shared" si="65"/>
        <v>5.882352941176471</v>
      </c>
      <c r="X67" s="66">
        <f t="shared" si="65"/>
        <v>5.882352941176471</v>
      </c>
      <c r="Y67" s="66">
        <f t="shared" si="65"/>
        <v>5.882352941176471</v>
      </c>
      <c r="Z67" s="66">
        <f t="shared" si="65"/>
        <v>5.882352941176471</v>
      </c>
      <c r="AA67" s="66">
        <f t="shared" si="65"/>
        <v>5.882352941176471</v>
      </c>
      <c r="AB67" s="66">
        <f t="shared" si="65"/>
        <v>5.882352941176471</v>
      </c>
      <c r="AC67" s="66">
        <f t="shared" si="65"/>
        <v>5.882352941176471</v>
      </c>
    </row>
    <row r="68" spans="1:29" x14ac:dyDescent="0.25">
      <c r="A68" s="30" t="str">
        <f t="shared" si="59"/>
        <v>Opex var (mode-fees, shunting)</v>
      </c>
      <c r="B68" s="66">
        <f>B38*B47/B47</f>
        <v>3.9215686274509802</v>
      </c>
      <c r="C68" s="66">
        <f t="shared" ref="C68:AC68" si="66">C38*C47/C47</f>
        <v>3.9215686274509802</v>
      </c>
      <c r="D68" s="66">
        <f t="shared" si="66"/>
        <v>3.9215686274509802</v>
      </c>
      <c r="E68" s="66">
        <f t="shared" si="66"/>
        <v>3.9215686274509802</v>
      </c>
      <c r="F68" s="66">
        <f t="shared" si="66"/>
        <v>3.9215686274509802</v>
      </c>
      <c r="G68" s="66">
        <f t="shared" si="66"/>
        <v>3.9215686274509802</v>
      </c>
      <c r="H68" s="66">
        <f t="shared" si="66"/>
        <v>3.9215686274509802</v>
      </c>
      <c r="I68" s="66">
        <f t="shared" si="66"/>
        <v>3.9215686274509802</v>
      </c>
      <c r="J68" s="66">
        <f t="shared" si="66"/>
        <v>3.9215686274509802</v>
      </c>
      <c r="K68" s="66">
        <f t="shared" si="66"/>
        <v>3.9215686274509802</v>
      </c>
      <c r="L68" s="66">
        <f t="shared" si="66"/>
        <v>3.9215686274509802</v>
      </c>
      <c r="M68" s="66">
        <f t="shared" si="66"/>
        <v>3.9215686274509802</v>
      </c>
      <c r="N68" s="66">
        <f t="shared" si="66"/>
        <v>3.9215686274509802</v>
      </c>
      <c r="O68" s="66">
        <f t="shared" si="66"/>
        <v>3.9215686274509802</v>
      </c>
      <c r="P68" s="66">
        <f t="shared" si="66"/>
        <v>3.9215686274509802</v>
      </c>
      <c r="Q68" s="66">
        <f t="shared" si="66"/>
        <v>3.9215686274509802</v>
      </c>
      <c r="R68" s="66">
        <f t="shared" si="66"/>
        <v>3.9215686274509802</v>
      </c>
      <c r="S68" s="66">
        <f t="shared" si="66"/>
        <v>3.9215686274509802</v>
      </c>
      <c r="T68" s="66">
        <f t="shared" si="66"/>
        <v>3.9215686274509802</v>
      </c>
      <c r="U68" s="66">
        <f t="shared" si="66"/>
        <v>3.9215686274509802</v>
      </c>
      <c r="V68" s="66">
        <f t="shared" si="66"/>
        <v>3.9215686274509802</v>
      </c>
      <c r="W68" s="66">
        <f t="shared" si="66"/>
        <v>3.9215686274509802</v>
      </c>
      <c r="X68" s="66">
        <f t="shared" si="66"/>
        <v>3.9215686274509802</v>
      </c>
      <c r="Y68" s="66">
        <f t="shared" si="66"/>
        <v>3.9215686274509802</v>
      </c>
      <c r="Z68" s="66">
        <f t="shared" si="66"/>
        <v>3.9215686274509802</v>
      </c>
      <c r="AA68" s="66">
        <f t="shared" si="66"/>
        <v>3.9215686274509802</v>
      </c>
      <c r="AB68" s="66">
        <f t="shared" si="66"/>
        <v>3.9215686274509802</v>
      </c>
      <c r="AC68" s="66">
        <f t="shared" si="66"/>
        <v>3.9215686274509802</v>
      </c>
    </row>
    <row r="69" spans="1:29" x14ac:dyDescent="0.25">
      <c r="A69" s="30" t="str">
        <f t="shared" si="59"/>
        <v>Fuel Cost</v>
      </c>
      <c r="B69" s="66">
        <f>B39*B40*B47/B47</f>
        <v>4.4493586984873952</v>
      </c>
      <c r="C69" s="66">
        <f t="shared" ref="C69:AC69" si="67">C39*C40*C47/C47</f>
        <v>4.1425063744537809</v>
      </c>
      <c r="D69" s="66">
        <f t="shared" si="67"/>
        <v>3.8356540504201684</v>
      </c>
      <c r="E69" s="66">
        <f t="shared" si="67"/>
        <v>3.5288017263865541</v>
      </c>
      <c r="F69" s="66">
        <f t="shared" si="67"/>
        <v>3.2219494023529411</v>
      </c>
      <c r="G69" s="66">
        <f t="shared" si="67"/>
        <v>2.9150970783193282</v>
      </c>
      <c r="H69" s="66">
        <f t="shared" si="67"/>
        <v>2.6082447542857148</v>
      </c>
      <c r="I69" s="66">
        <f t="shared" si="67"/>
        <v>2.3013924302521009</v>
      </c>
      <c r="J69" s="66">
        <f t="shared" si="67"/>
        <v>2.2548166310684272</v>
      </c>
      <c r="K69" s="66">
        <f t="shared" si="67"/>
        <v>2.208240831884754</v>
      </c>
      <c r="L69" s="66">
        <f t="shared" si="67"/>
        <v>2.1616650327010802</v>
      </c>
      <c r="M69" s="66">
        <f t="shared" si="67"/>
        <v>2.1150892335174065</v>
      </c>
      <c r="N69" s="66">
        <f t="shared" si="67"/>
        <v>2.0685134343337337</v>
      </c>
      <c r="O69" s="66">
        <f t="shared" si="67"/>
        <v>2.02193763515006</v>
      </c>
      <c r="P69" s="66">
        <f t="shared" si="67"/>
        <v>1.9753618359663867</v>
      </c>
      <c r="Q69" s="66">
        <f t="shared" si="67"/>
        <v>1.9287860367827132</v>
      </c>
      <c r="R69" s="66">
        <f t="shared" si="67"/>
        <v>1.8822102375990393</v>
      </c>
      <c r="S69" s="66">
        <f t="shared" si="67"/>
        <v>1.8356344384153662</v>
      </c>
      <c r="T69" s="66">
        <f t="shared" si="67"/>
        <v>1.7890586392316927</v>
      </c>
      <c r="U69" s="66">
        <f t="shared" si="67"/>
        <v>1.742482840048019</v>
      </c>
      <c r="V69" s="66">
        <f t="shared" si="67"/>
        <v>1.6959070408643455</v>
      </c>
      <c r="W69" s="66">
        <f t="shared" si="67"/>
        <v>1.649331241680672</v>
      </c>
      <c r="X69" s="66">
        <f t="shared" si="67"/>
        <v>1.602755442496999</v>
      </c>
      <c r="Y69" s="66">
        <f t="shared" si="67"/>
        <v>1.556179643313325</v>
      </c>
      <c r="Z69" s="66">
        <f t="shared" si="67"/>
        <v>1.5096038441296515</v>
      </c>
      <c r="AA69" s="66">
        <f t="shared" si="67"/>
        <v>1.4630280449459783</v>
      </c>
      <c r="AB69" s="66">
        <f t="shared" si="67"/>
        <v>1.4164522457623046</v>
      </c>
      <c r="AC69" s="66">
        <f t="shared" si="67"/>
        <v>1.3698764465786315</v>
      </c>
    </row>
    <row r="70" spans="1:29" ht="15.75" thickBot="1" x14ac:dyDescent="0.3">
      <c r="A70" s="59" t="str">
        <f>A21</f>
        <v>Emission Cost</v>
      </c>
      <c r="B70" s="66">
        <f>B41</f>
        <v>0</v>
      </c>
      <c r="C70" s="66">
        <f t="shared" ref="C70:AC70" si="68">C41</f>
        <v>0</v>
      </c>
      <c r="D70" s="66">
        <f t="shared" si="68"/>
        <v>0</v>
      </c>
      <c r="E70" s="66">
        <f t="shared" si="68"/>
        <v>0</v>
      </c>
      <c r="F70" s="66">
        <f t="shared" si="68"/>
        <v>0</v>
      </c>
      <c r="G70" s="66">
        <f t="shared" si="68"/>
        <v>0</v>
      </c>
      <c r="H70" s="66">
        <f t="shared" si="68"/>
        <v>0</v>
      </c>
      <c r="I70" s="66">
        <f t="shared" si="68"/>
        <v>0</v>
      </c>
      <c r="J70" s="66">
        <f t="shared" si="68"/>
        <v>0</v>
      </c>
      <c r="K70" s="66">
        <f t="shared" si="68"/>
        <v>0</v>
      </c>
      <c r="L70" s="66">
        <f t="shared" si="68"/>
        <v>0</v>
      </c>
      <c r="M70" s="66">
        <f t="shared" si="68"/>
        <v>0</v>
      </c>
      <c r="N70" s="66">
        <f t="shared" si="68"/>
        <v>0</v>
      </c>
      <c r="O70" s="66">
        <f t="shared" si="68"/>
        <v>0</v>
      </c>
      <c r="P70" s="66">
        <f t="shared" si="68"/>
        <v>0</v>
      </c>
      <c r="Q70" s="66">
        <f t="shared" si="68"/>
        <v>0</v>
      </c>
      <c r="R70" s="66">
        <f t="shared" si="68"/>
        <v>0</v>
      </c>
      <c r="S70" s="66">
        <f t="shared" si="68"/>
        <v>0</v>
      </c>
      <c r="T70" s="66">
        <f t="shared" si="68"/>
        <v>0</v>
      </c>
      <c r="U70" s="66">
        <f t="shared" si="68"/>
        <v>0</v>
      </c>
      <c r="V70" s="66">
        <f t="shared" si="68"/>
        <v>0</v>
      </c>
      <c r="W70" s="66">
        <f t="shared" si="68"/>
        <v>0</v>
      </c>
      <c r="X70" s="66">
        <f t="shared" si="68"/>
        <v>0</v>
      </c>
      <c r="Y70" s="66">
        <f t="shared" si="68"/>
        <v>0</v>
      </c>
      <c r="Z70" s="66">
        <f t="shared" si="68"/>
        <v>0</v>
      </c>
      <c r="AA70" s="66">
        <f t="shared" si="68"/>
        <v>0</v>
      </c>
      <c r="AB70" s="66">
        <f t="shared" si="68"/>
        <v>0</v>
      </c>
      <c r="AC70" s="66">
        <f t="shared" si="68"/>
        <v>0</v>
      </c>
    </row>
    <row r="71" spans="1:29" ht="15.75" thickBot="1" x14ac:dyDescent="0.3">
      <c r="A71" s="31" t="s">
        <v>63</v>
      </c>
      <c r="B71" s="76">
        <f>B62+B63+B64-B65+B66+B67+B68+B69+B70</f>
        <v>21.144925166743146</v>
      </c>
      <c r="C71" s="76">
        <f t="shared" ref="C71:AC71" si="69">C62+C63+C64-C65+C66+C67+C68+C69+C70</f>
        <v>20.839039183337668</v>
      </c>
      <c r="D71" s="76">
        <f t="shared" si="69"/>
        <v>20.53355892446935</v>
      </c>
      <c r="E71" s="76">
        <f t="shared" si="69"/>
        <v>20.228645882699837</v>
      </c>
      <c r="F71" s="76">
        <f t="shared" si="69"/>
        <v>19.924516275977471</v>
      </c>
      <c r="G71" s="76">
        <f t="shared" si="69"/>
        <v>19.621449517383478</v>
      </c>
      <c r="H71" s="76">
        <f t="shared" si="69"/>
        <v>19.319787061949302</v>
      </c>
      <c r="I71" s="76">
        <f t="shared" si="69"/>
        <v>19.019909365189498</v>
      </c>
      <c r="J71" s="76">
        <f t="shared" si="69"/>
        <v>18.982450751251587</v>
      </c>
      <c r="K71" s="76">
        <f t="shared" si="69"/>
        <v>18.947356505880638</v>
      </c>
      <c r="L71" s="76">
        <f t="shared" si="69"/>
        <v>18.914558241694177</v>
      </c>
      <c r="M71" s="76">
        <f t="shared" si="69"/>
        <v>18.883561716102601</v>
      </c>
      <c r="N71" s="76">
        <f t="shared" si="69"/>
        <v>18.853432892129959</v>
      </c>
      <c r="O71" s="76">
        <f t="shared" si="69"/>
        <v>18.822980422448367</v>
      </c>
      <c r="P71" s="76">
        <f t="shared" si="69"/>
        <v>18.791082021985865</v>
      </c>
      <c r="Q71" s="76">
        <f t="shared" si="69"/>
        <v>18.756979921613421</v>
      </c>
      <c r="R71" s="76">
        <f t="shared" si="69"/>
        <v>18.720393321264652</v>
      </c>
      <c r="S71" s="76">
        <f t="shared" si="69"/>
        <v>18.68143972414429</v>
      </c>
      <c r="T71" s="76">
        <f t="shared" si="69"/>
        <v>18.640466854778644</v>
      </c>
      <c r="U71" s="76">
        <f t="shared" si="69"/>
        <v>18.597897069359153</v>
      </c>
      <c r="V71" s="76">
        <f t="shared" si="69"/>
        <v>18.55412889421746</v>
      </c>
      <c r="W71" s="76">
        <f t="shared" si="69"/>
        <v>18.509493335816856</v>
      </c>
      <c r="X71" s="76">
        <f t="shared" si="69"/>
        <v>18.464245340086944</v>
      </c>
      <c r="Y71" s="76">
        <f t="shared" si="69"/>
        <v>18.418572158005016</v>
      </c>
      <c r="Z71" s="76">
        <f t="shared" si="69"/>
        <v>18.372607149770314</v>
      </c>
      <c r="AA71" s="76">
        <f t="shared" si="69"/>
        <v>18.326443390798495</v>
      </c>
      <c r="AB71" s="76">
        <f t="shared" si="69"/>
        <v>18.280144975038596</v>
      </c>
      <c r="AC71" s="76">
        <f t="shared" si="69"/>
        <v>18.233755646755441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0">A50</f>
        <v>Capex vehicle</v>
      </c>
      <c r="B74" s="65">
        <f>((1+B35)^B42)*B35/(((1+B35)^B42)-1)*(B31)/B47/(B44)</f>
        <v>7.6317014160409149E-4</v>
      </c>
      <c r="C74" s="65">
        <f t="shared" ref="C74:AC74" si="71">((1+C35)^C42)*C35/(((1+C35)^C42)-1)*(C31)/C47/(C44)</f>
        <v>7.6317014160409149E-4</v>
      </c>
      <c r="D74" s="65">
        <f t="shared" si="71"/>
        <v>7.6317014160409149E-4</v>
      </c>
      <c r="E74" s="65">
        <f t="shared" si="71"/>
        <v>7.6317014160409149E-4</v>
      </c>
      <c r="F74" s="65">
        <f t="shared" si="71"/>
        <v>7.6317014160409149E-4</v>
      </c>
      <c r="G74" s="65">
        <f t="shared" si="71"/>
        <v>7.6317014160409149E-4</v>
      </c>
      <c r="H74" s="65">
        <f t="shared" si="71"/>
        <v>7.6317014160409149E-4</v>
      </c>
      <c r="I74" s="65">
        <f t="shared" si="71"/>
        <v>7.6317014160409149E-4</v>
      </c>
      <c r="J74" s="65">
        <f t="shared" si="71"/>
        <v>7.6317014160409149E-4</v>
      </c>
      <c r="K74" s="65">
        <f t="shared" si="71"/>
        <v>7.6317014160409149E-4</v>
      </c>
      <c r="L74" s="65">
        <f t="shared" si="71"/>
        <v>7.6317014160409149E-4</v>
      </c>
      <c r="M74" s="65">
        <f t="shared" si="71"/>
        <v>7.6317014160409149E-4</v>
      </c>
      <c r="N74" s="65">
        <f t="shared" si="71"/>
        <v>7.6317014160409149E-4</v>
      </c>
      <c r="O74" s="65">
        <f t="shared" si="71"/>
        <v>7.6317014160409149E-4</v>
      </c>
      <c r="P74" s="65">
        <f t="shared" si="71"/>
        <v>7.6317014160409149E-4</v>
      </c>
      <c r="Q74" s="65">
        <f t="shared" si="71"/>
        <v>7.6317014160409149E-4</v>
      </c>
      <c r="R74" s="65">
        <f t="shared" si="71"/>
        <v>7.6317014160409149E-4</v>
      </c>
      <c r="S74" s="65">
        <f t="shared" si="71"/>
        <v>7.6317014160409149E-4</v>
      </c>
      <c r="T74" s="65">
        <f t="shared" si="71"/>
        <v>7.6317014160409149E-4</v>
      </c>
      <c r="U74" s="65">
        <f t="shared" si="71"/>
        <v>7.6317014160409149E-4</v>
      </c>
      <c r="V74" s="65">
        <f t="shared" si="71"/>
        <v>7.6317014160409149E-4</v>
      </c>
      <c r="W74" s="65">
        <f t="shared" si="71"/>
        <v>7.6317014160409149E-4</v>
      </c>
      <c r="X74" s="65">
        <f t="shared" si="71"/>
        <v>7.6317014160409149E-4</v>
      </c>
      <c r="Y74" s="65">
        <f t="shared" si="71"/>
        <v>7.6317014160409149E-4</v>
      </c>
      <c r="Z74" s="65">
        <f t="shared" si="71"/>
        <v>7.6317014160409149E-4</v>
      </c>
      <c r="AA74" s="65">
        <f t="shared" si="71"/>
        <v>7.6317014160409149E-4</v>
      </c>
      <c r="AB74" s="65">
        <f t="shared" si="71"/>
        <v>7.6317014160409149E-4</v>
      </c>
      <c r="AC74" s="65">
        <f t="shared" si="71"/>
        <v>7.6317014160409149E-4</v>
      </c>
    </row>
    <row r="75" spans="1:29" x14ac:dyDescent="0.25">
      <c r="A75" s="30" t="str">
        <f t="shared" si="70"/>
        <v>Residual value (vehicle)</v>
      </c>
      <c r="B75" s="68">
        <f>((1+B35)^B42)*B35/(((1+B35)^B42)-1)*(B32)/B47/(B44)</f>
        <v>-1.1346797345547289E-4</v>
      </c>
      <c r="C75" s="68">
        <f t="shared" ref="C75:AC75" si="72">((1+C35)^C42)*C35/(((1+C35)^C42)-1)*(C32)/C47/(C44)</f>
        <v>-1.1303657138934111E-4</v>
      </c>
      <c r="D75" s="68">
        <f t="shared" si="72"/>
        <v>-1.1242404229769157E-4</v>
      </c>
      <c r="E75" s="68">
        <f t="shared" si="72"/>
        <v>-1.1155829128693258E-4</v>
      </c>
      <c r="F75" s="68">
        <f t="shared" si="72"/>
        <v>-1.1034279248726903E-4</v>
      </c>
      <c r="G75" s="68">
        <f t="shared" si="72"/>
        <v>-1.0865280791600897E-4</v>
      </c>
      <c r="H75" s="68">
        <f t="shared" si="72"/>
        <v>-1.0633590229126001E-4</v>
      </c>
      <c r="I75" s="68">
        <f t="shared" si="72"/>
        <v>-1.0322222940116694E-4</v>
      </c>
      <c r="J75" s="68">
        <f t="shared" si="72"/>
        <v>-9.9152057416450692E-5</v>
      </c>
      <c r="K75" s="68">
        <f t="shared" si="72"/>
        <v>-9.4026363750057009E-5</v>
      </c>
      <c r="L75" s="68">
        <f t="shared" si="72"/>
        <v>-8.7875678483444322E-5</v>
      </c>
      <c r="M75" s="68">
        <f t="shared" si="72"/>
        <v>-8.0920645629828101E-5</v>
      </c>
      <c r="N75" s="68">
        <f t="shared" si="72"/>
        <v>-7.357824598204721E-5</v>
      </c>
      <c r="O75" s="68">
        <f t="shared" si="72"/>
        <v>-6.6380331025761298E-5</v>
      </c>
      <c r="P75" s="68">
        <f t="shared" si="72"/>
        <v>-5.982792088237961E-5</v>
      </c>
      <c r="Q75" s="68">
        <f t="shared" si="72"/>
        <v>-5.4259305341653007E-5</v>
      </c>
      <c r="R75" s="68">
        <f t="shared" si="72"/>
        <v>-4.9799841576070884E-5</v>
      </c>
      <c r="S75" s="68">
        <f t="shared" si="72"/>
        <v>-4.6397072797805602E-5</v>
      </c>
      <c r="T75" s="68">
        <f t="shared" si="72"/>
        <v>-4.3895764843330094E-5</v>
      </c>
      <c r="U75" s="68">
        <f t="shared" si="72"/>
        <v>-4.2107365841462744E-5</v>
      </c>
      <c r="V75" s="68">
        <f t="shared" si="72"/>
        <v>-4.0853962251293284E-5</v>
      </c>
      <c r="W75" s="68">
        <f t="shared" si="72"/>
        <v>-3.9987783330280735E-5</v>
      </c>
      <c r="X75" s="68">
        <f t="shared" si="72"/>
        <v>-3.93950139312806E-5</v>
      </c>
      <c r="Y75" s="68">
        <f t="shared" si="72"/>
        <v>-3.8992059867999029E-5</v>
      </c>
      <c r="Z75" s="68">
        <f t="shared" si="72"/>
        <v>-3.8719385337209372E-5</v>
      </c>
      <c r="AA75" s="68">
        <f t="shared" si="72"/>
        <v>-3.8535438814060903E-5</v>
      </c>
      <c r="AB75" s="68">
        <f t="shared" si="72"/>
        <v>-3.8411606928446129E-5</v>
      </c>
      <c r="AC75" s="68">
        <f t="shared" si="72"/>
        <v>-3.832836099071531E-5</v>
      </c>
    </row>
    <row r="76" spans="1:29" x14ac:dyDescent="0.25">
      <c r="A76" s="30" t="str">
        <f t="shared" si="70"/>
        <v>Capex costumization</v>
      </c>
      <c r="B76" s="66">
        <f>((1+B35)^B43)*B35/(((1+B35)^B43)-1)*(B33)/B47/(B44)</f>
        <v>7.6311881817276459E-4</v>
      </c>
      <c r="C76" s="66">
        <f t="shared" ref="C76:AC76" si="73">((1+C35)^C43)*C35/(((1+C35)^C43)-1)*(C33)/C47/(C44)</f>
        <v>7.6311881817276459E-4</v>
      </c>
      <c r="D76" s="66">
        <f t="shared" si="73"/>
        <v>7.6311881817276459E-4</v>
      </c>
      <c r="E76" s="66">
        <f t="shared" si="73"/>
        <v>7.6311881817276459E-4</v>
      </c>
      <c r="F76" s="66">
        <f t="shared" si="73"/>
        <v>7.6311881817276459E-4</v>
      </c>
      <c r="G76" s="66">
        <f t="shared" si="73"/>
        <v>7.6311881817276459E-4</v>
      </c>
      <c r="H76" s="66">
        <f t="shared" si="73"/>
        <v>7.6311881817276459E-4</v>
      </c>
      <c r="I76" s="66">
        <f t="shared" si="73"/>
        <v>7.6311881817276459E-4</v>
      </c>
      <c r="J76" s="66">
        <f t="shared" si="73"/>
        <v>7.6311881817276459E-4</v>
      </c>
      <c r="K76" s="66">
        <f t="shared" si="73"/>
        <v>7.6311881817276459E-4</v>
      </c>
      <c r="L76" s="66">
        <f t="shared" si="73"/>
        <v>7.6311881817276459E-4</v>
      </c>
      <c r="M76" s="66">
        <f t="shared" si="73"/>
        <v>7.6311881817276459E-4</v>
      </c>
      <c r="N76" s="66">
        <f t="shared" si="73"/>
        <v>7.6311881817276459E-4</v>
      </c>
      <c r="O76" s="66">
        <f t="shared" si="73"/>
        <v>7.6311881817276459E-4</v>
      </c>
      <c r="P76" s="66">
        <f t="shared" si="73"/>
        <v>7.6311881817276459E-4</v>
      </c>
      <c r="Q76" s="66">
        <f t="shared" si="73"/>
        <v>7.6311881817276459E-4</v>
      </c>
      <c r="R76" s="66">
        <f t="shared" si="73"/>
        <v>7.6311881817276459E-4</v>
      </c>
      <c r="S76" s="66">
        <f t="shared" si="73"/>
        <v>7.6311881817276459E-4</v>
      </c>
      <c r="T76" s="66">
        <f t="shared" si="73"/>
        <v>7.6311881817276459E-4</v>
      </c>
      <c r="U76" s="66">
        <f t="shared" si="73"/>
        <v>7.6311881817276459E-4</v>
      </c>
      <c r="V76" s="66">
        <f t="shared" si="73"/>
        <v>7.6311881817276459E-4</v>
      </c>
      <c r="W76" s="66">
        <f t="shared" si="73"/>
        <v>7.6311881817276459E-4</v>
      </c>
      <c r="X76" s="66">
        <f t="shared" si="73"/>
        <v>7.6311881817276459E-4</v>
      </c>
      <c r="Y76" s="66">
        <f t="shared" si="73"/>
        <v>7.6311881817276459E-4</v>
      </c>
      <c r="Z76" s="66">
        <f t="shared" si="73"/>
        <v>7.6311881817276459E-4</v>
      </c>
      <c r="AA76" s="66">
        <f t="shared" si="73"/>
        <v>7.6311881817276459E-4</v>
      </c>
      <c r="AB76" s="66">
        <f t="shared" si="73"/>
        <v>7.6311881817276459E-4</v>
      </c>
      <c r="AC76" s="66">
        <f t="shared" si="73"/>
        <v>7.6311881817276459E-4</v>
      </c>
    </row>
    <row r="77" spans="1:29" x14ac:dyDescent="0.25">
      <c r="A77" s="30" t="str">
        <f t="shared" si="70"/>
        <v>Residual value (costumization)</v>
      </c>
      <c r="B77" s="69">
        <f>((1+B35)^B43)*B35/(((1+B35)^B43)-1)*(B34)/B47/(B44)</f>
        <v>-3.8155940908638231E-5</v>
      </c>
      <c r="C77" s="69">
        <f t="shared" ref="C77:AC77" si="74">((1+C35)^C43)*C35/(((1+C35)^C43)-1)*(C34)/C47/(C44)</f>
        <v>-3.8155940908638231E-5</v>
      </c>
      <c r="D77" s="69">
        <f t="shared" si="74"/>
        <v>-3.8155940908638231E-5</v>
      </c>
      <c r="E77" s="69">
        <f t="shared" si="74"/>
        <v>-3.8155940908638231E-5</v>
      </c>
      <c r="F77" s="69">
        <f t="shared" si="74"/>
        <v>-3.8155940908638231E-5</v>
      </c>
      <c r="G77" s="69">
        <f t="shared" si="74"/>
        <v>-3.8155940908638231E-5</v>
      </c>
      <c r="H77" s="69">
        <f t="shared" si="74"/>
        <v>-3.8155940908638231E-5</v>
      </c>
      <c r="I77" s="69">
        <f t="shared" si="74"/>
        <v>-3.8155940908638231E-5</v>
      </c>
      <c r="J77" s="69">
        <f t="shared" si="74"/>
        <v>-3.8155940908638231E-5</v>
      </c>
      <c r="K77" s="69">
        <f t="shared" si="74"/>
        <v>-3.8155940908638231E-5</v>
      </c>
      <c r="L77" s="69">
        <f t="shared" si="74"/>
        <v>-3.8155940908638231E-5</v>
      </c>
      <c r="M77" s="69">
        <f t="shared" si="74"/>
        <v>-3.8155940908638231E-5</v>
      </c>
      <c r="N77" s="69">
        <f t="shared" si="74"/>
        <v>-3.8155940908638231E-5</v>
      </c>
      <c r="O77" s="69">
        <f t="shared" si="74"/>
        <v>-3.8155940908638231E-5</v>
      </c>
      <c r="P77" s="69">
        <f t="shared" si="74"/>
        <v>-3.8155940908638231E-5</v>
      </c>
      <c r="Q77" s="69">
        <f t="shared" si="74"/>
        <v>-3.8155940908638231E-5</v>
      </c>
      <c r="R77" s="69">
        <f t="shared" si="74"/>
        <v>-3.8155940908638231E-5</v>
      </c>
      <c r="S77" s="69">
        <f t="shared" si="74"/>
        <v>-3.8155940908638231E-5</v>
      </c>
      <c r="T77" s="69">
        <f t="shared" si="74"/>
        <v>-3.8155940908638231E-5</v>
      </c>
      <c r="U77" s="69">
        <f t="shared" si="74"/>
        <v>-3.8155940908638231E-5</v>
      </c>
      <c r="V77" s="69">
        <f t="shared" si="74"/>
        <v>-3.8155940908638231E-5</v>
      </c>
      <c r="W77" s="69">
        <f t="shared" si="74"/>
        <v>-3.8155940908638231E-5</v>
      </c>
      <c r="X77" s="69">
        <f t="shared" si="74"/>
        <v>-3.8155940908638231E-5</v>
      </c>
      <c r="Y77" s="69">
        <f t="shared" si="74"/>
        <v>-3.8155940908638231E-5</v>
      </c>
      <c r="Z77" s="69">
        <f t="shared" si="74"/>
        <v>-3.8155940908638231E-5</v>
      </c>
      <c r="AA77" s="69">
        <f t="shared" si="74"/>
        <v>-3.8155940908638231E-5</v>
      </c>
      <c r="AB77" s="69">
        <f t="shared" si="74"/>
        <v>-3.8155940908638231E-5</v>
      </c>
      <c r="AC77" s="69">
        <f t="shared" si="74"/>
        <v>-3.8155940908638231E-5</v>
      </c>
    </row>
    <row r="78" spans="1:29" x14ac:dyDescent="0.25">
      <c r="A78" s="30" t="str">
        <f t="shared" si="70"/>
        <v>Opex fix (admin, crew, insurance)</v>
      </c>
      <c r="B78" s="66">
        <f>B36/B47/(B44)</f>
        <v>1.6256502601040416E-3</v>
      </c>
      <c r="C78" s="66">
        <f t="shared" ref="C78:AC78" si="75">C36/C47/(C44)</f>
        <v>1.6256502601040416E-3</v>
      </c>
      <c r="D78" s="66">
        <f t="shared" si="75"/>
        <v>1.6256502601040416E-3</v>
      </c>
      <c r="E78" s="66">
        <f t="shared" si="75"/>
        <v>1.6256502601040416E-3</v>
      </c>
      <c r="F78" s="66">
        <f t="shared" si="75"/>
        <v>1.6256502601040416E-3</v>
      </c>
      <c r="G78" s="66">
        <f t="shared" si="75"/>
        <v>1.6256502601040416E-3</v>
      </c>
      <c r="H78" s="66">
        <f t="shared" si="75"/>
        <v>1.6256502601040416E-3</v>
      </c>
      <c r="I78" s="66">
        <f t="shared" si="75"/>
        <v>1.6256502601040416E-3</v>
      </c>
      <c r="J78" s="66">
        <f t="shared" si="75"/>
        <v>1.6256502601040416E-3</v>
      </c>
      <c r="K78" s="66">
        <f t="shared" si="75"/>
        <v>1.6256502601040416E-3</v>
      </c>
      <c r="L78" s="66">
        <f t="shared" si="75"/>
        <v>1.6256502601040416E-3</v>
      </c>
      <c r="M78" s="66">
        <f t="shared" si="75"/>
        <v>1.6256502601040416E-3</v>
      </c>
      <c r="N78" s="66">
        <f t="shared" si="75"/>
        <v>1.6256502601040416E-3</v>
      </c>
      <c r="O78" s="66">
        <f t="shared" si="75"/>
        <v>1.6256502601040416E-3</v>
      </c>
      <c r="P78" s="66">
        <f t="shared" si="75"/>
        <v>1.6256502601040416E-3</v>
      </c>
      <c r="Q78" s="66">
        <f t="shared" si="75"/>
        <v>1.6256502601040416E-3</v>
      </c>
      <c r="R78" s="66">
        <f t="shared" si="75"/>
        <v>1.6256502601040416E-3</v>
      </c>
      <c r="S78" s="66">
        <f t="shared" si="75"/>
        <v>1.6256502601040416E-3</v>
      </c>
      <c r="T78" s="66">
        <f t="shared" si="75"/>
        <v>1.6256502601040416E-3</v>
      </c>
      <c r="U78" s="66">
        <f t="shared" si="75"/>
        <v>1.6256502601040416E-3</v>
      </c>
      <c r="V78" s="66">
        <f t="shared" si="75"/>
        <v>1.6256502601040416E-3</v>
      </c>
      <c r="W78" s="66">
        <f t="shared" si="75"/>
        <v>1.6256502601040416E-3</v>
      </c>
      <c r="X78" s="66">
        <f t="shared" si="75"/>
        <v>1.6256502601040416E-3</v>
      </c>
      <c r="Y78" s="66">
        <f t="shared" si="75"/>
        <v>1.6256502601040416E-3</v>
      </c>
      <c r="Z78" s="66">
        <f t="shared" si="75"/>
        <v>1.6256502601040416E-3</v>
      </c>
      <c r="AA78" s="66">
        <f t="shared" si="75"/>
        <v>1.6256502601040416E-3</v>
      </c>
      <c r="AB78" s="66">
        <f t="shared" si="75"/>
        <v>1.6256502601040416E-3</v>
      </c>
      <c r="AC78" s="66">
        <f t="shared" si="75"/>
        <v>1.6256502601040416E-3</v>
      </c>
    </row>
    <row r="79" spans="1:29" x14ac:dyDescent="0.25">
      <c r="A79" s="30" t="str">
        <f t="shared" si="70"/>
        <v>Opex maintenance &amp; repair</v>
      </c>
      <c r="B79" s="66">
        <f>B37/B47/(B44)</f>
        <v>2.6260504201680674E-3</v>
      </c>
      <c r="C79" s="66">
        <f t="shared" ref="C79:AC79" si="76">C37/C47/(C44)</f>
        <v>2.6260504201680674E-3</v>
      </c>
      <c r="D79" s="66">
        <f t="shared" si="76"/>
        <v>2.6260504201680674E-3</v>
      </c>
      <c r="E79" s="66">
        <f t="shared" si="76"/>
        <v>2.6260504201680674E-3</v>
      </c>
      <c r="F79" s="66">
        <f t="shared" si="76"/>
        <v>2.6260504201680674E-3</v>
      </c>
      <c r="G79" s="66">
        <f t="shared" si="76"/>
        <v>2.6260504201680674E-3</v>
      </c>
      <c r="H79" s="66">
        <f t="shared" si="76"/>
        <v>2.6260504201680674E-3</v>
      </c>
      <c r="I79" s="66">
        <f t="shared" si="76"/>
        <v>2.6260504201680674E-3</v>
      </c>
      <c r="J79" s="66">
        <f t="shared" si="76"/>
        <v>2.6260504201680674E-3</v>
      </c>
      <c r="K79" s="66">
        <f t="shared" si="76"/>
        <v>2.6260504201680674E-3</v>
      </c>
      <c r="L79" s="66">
        <f t="shared" si="76"/>
        <v>2.6260504201680674E-3</v>
      </c>
      <c r="M79" s="66">
        <f t="shared" si="76"/>
        <v>2.6260504201680674E-3</v>
      </c>
      <c r="N79" s="66">
        <f t="shared" si="76"/>
        <v>2.6260504201680674E-3</v>
      </c>
      <c r="O79" s="66">
        <f t="shared" si="76"/>
        <v>2.6260504201680674E-3</v>
      </c>
      <c r="P79" s="66">
        <f t="shared" si="76"/>
        <v>2.6260504201680674E-3</v>
      </c>
      <c r="Q79" s="66">
        <f t="shared" si="76"/>
        <v>2.6260504201680674E-3</v>
      </c>
      <c r="R79" s="66">
        <f t="shared" si="76"/>
        <v>2.6260504201680674E-3</v>
      </c>
      <c r="S79" s="66">
        <f t="shared" si="76"/>
        <v>2.6260504201680674E-3</v>
      </c>
      <c r="T79" s="66">
        <f t="shared" si="76"/>
        <v>2.6260504201680674E-3</v>
      </c>
      <c r="U79" s="66">
        <f t="shared" si="76"/>
        <v>2.6260504201680674E-3</v>
      </c>
      <c r="V79" s="66">
        <f t="shared" si="76"/>
        <v>2.6260504201680674E-3</v>
      </c>
      <c r="W79" s="66">
        <f t="shared" si="76"/>
        <v>2.6260504201680674E-3</v>
      </c>
      <c r="X79" s="66">
        <f t="shared" si="76"/>
        <v>2.6260504201680674E-3</v>
      </c>
      <c r="Y79" s="66">
        <f t="shared" si="76"/>
        <v>2.6260504201680674E-3</v>
      </c>
      <c r="Z79" s="66">
        <f t="shared" si="76"/>
        <v>2.6260504201680674E-3</v>
      </c>
      <c r="AA79" s="66">
        <f t="shared" si="76"/>
        <v>2.6260504201680674E-3</v>
      </c>
      <c r="AB79" s="66">
        <f t="shared" si="76"/>
        <v>2.6260504201680674E-3</v>
      </c>
      <c r="AC79" s="66">
        <f t="shared" si="76"/>
        <v>2.6260504201680674E-3</v>
      </c>
    </row>
    <row r="80" spans="1:29" x14ac:dyDescent="0.25">
      <c r="A80" s="30" t="str">
        <f t="shared" si="70"/>
        <v>Opex var (mode-fees, shunting)</v>
      </c>
      <c r="B80" s="66">
        <f>B38*B47/B47/(B44)</f>
        <v>1.7507002801120447E-3</v>
      </c>
      <c r="C80" s="66">
        <f t="shared" ref="C80:AC80" si="77">C38*C47/C47/(C44)</f>
        <v>1.7507002801120447E-3</v>
      </c>
      <c r="D80" s="66">
        <f t="shared" si="77"/>
        <v>1.7507002801120447E-3</v>
      </c>
      <c r="E80" s="66">
        <f t="shared" si="77"/>
        <v>1.7507002801120447E-3</v>
      </c>
      <c r="F80" s="66">
        <f t="shared" si="77"/>
        <v>1.7507002801120447E-3</v>
      </c>
      <c r="G80" s="66">
        <f t="shared" si="77"/>
        <v>1.7507002801120447E-3</v>
      </c>
      <c r="H80" s="66">
        <f t="shared" si="77"/>
        <v>1.7507002801120447E-3</v>
      </c>
      <c r="I80" s="66">
        <f t="shared" si="77"/>
        <v>1.7507002801120447E-3</v>
      </c>
      <c r="J80" s="66">
        <f t="shared" si="77"/>
        <v>1.7507002801120447E-3</v>
      </c>
      <c r="K80" s="66">
        <f t="shared" si="77"/>
        <v>1.7507002801120447E-3</v>
      </c>
      <c r="L80" s="66">
        <f t="shared" si="77"/>
        <v>1.7507002801120447E-3</v>
      </c>
      <c r="M80" s="66">
        <f t="shared" si="77"/>
        <v>1.7507002801120447E-3</v>
      </c>
      <c r="N80" s="66">
        <f t="shared" si="77"/>
        <v>1.7507002801120447E-3</v>
      </c>
      <c r="O80" s="66">
        <f t="shared" si="77"/>
        <v>1.7507002801120447E-3</v>
      </c>
      <c r="P80" s="66">
        <f t="shared" si="77"/>
        <v>1.7507002801120447E-3</v>
      </c>
      <c r="Q80" s="66">
        <f t="shared" si="77"/>
        <v>1.7507002801120447E-3</v>
      </c>
      <c r="R80" s="66">
        <f t="shared" si="77"/>
        <v>1.7507002801120447E-3</v>
      </c>
      <c r="S80" s="66">
        <f t="shared" si="77"/>
        <v>1.7507002801120447E-3</v>
      </c>
      <c r="T80" s="66">
        <f t="shared" si="77"/>
        <v>1.7507002801120447E-3</v>
      </c>
      <c r="U80" s="66">
        <f t="shared" si="77"/>
        <v>1.7507002801120447E-3</v>
      </c>
      <c r="V80" s="66">
        <f t="shared" si="77"/>
        <v>1.7507002801120447E-3</v>
      </c>
      <c r="W80" s="66">
        <f t="shared" si="77"/>
        <v>1.7507002801120447E-3</v>
      </c>
      <c r="X80" s="66">
        <f t="shared" si="77"/>
        <v>1.7507002801120447E-3</v>
      </c>
      <c r="Y80" s="66">
        <f t="shared" si="77"/>
        <v>1.7507002801120447E-3</v>
      </c>
      <c r="Z80" s="66">
        <f t="shared" si="77"/>
        <v>1.7507002801120447E-3</v>
      </c>
      <c r="AA80" s="66">
        <f t="shared" si="77"/>
        <v>1.7507002801120447E-3</v>
      </c>
      <c r="AB80" s="66">
        <f t="shared" si="77"/>
        <v>1.7507002801120447E-3</v>
      </c>
      <c r="AC80" s="66">
        <f t="shared" si="77"/>
        <v>1.7507002801120447E-3</v>
      </c>
    </row>
    <row r="81" spans="1:29" x14ac:dyDescent="0.25">
      <c r="A81" s="30" t="str">
        <f t="shared" si="70"/>
        <v>Fuel Cost</v>
      </c>
      <c r="B81" s="66">
        <f>B39*B40*B47/B47/(B44)</f>
        <v>1.9863208475390157E-3</v>
      </c>
      <c r="C81" s="66">
        <f t="shared" ref="C81:AC81" si="78">C39*C40*C47/C47/(C44)</f>
        <v>1.8493332028811521E-3</v>
      </c>
      <c r="D81" s="66">
        <f t="shared" si="78"/>
        <v>1.7123455582232895E-3</v>
      </c>
      <c r="E81" s="66">
        <f t="shared" si="78"/>
        <v>1.5753579135654259E-3</v>
      </c>
      <c r="F81" s="66">
        <f t="shared" si="78"/>
        <v>1.4383702689075631E-3</v>
      </c>
      <c r="G81" s="66">
        <f t="shared" si="78"/>
        <v>1.3013826242497001E-3</v>
      </c>
      <c r="H81" s="66">
        <f t="shared" si="78"/>
        <v>1.1643949795918369E-3</v>
      </c>
      <c r="I81" s="66">
        <f t="shared" si="78"/>
        <v>1.0274073349339737E-3</v>
      </c>
      <c r="J81" s="66">
        <f t="shared" si="78"/>
        <v>1.0066145674412622E-3</v>
      </c>
      <c r="K81" s="66">
        <f t="shared" si="78"/>
        <v>9.8582179994855077E-4</v>
      </c>
      <c r="L81" s="66">
        <f t="shared" si="78"/>
        <v>9.650290324558394E-4</v>
      </c>
      <c r="M81" s="66">
        <f t="shared" si="78"/>
        <v>9.4423626496312793E-4</v>
      </c>
      <c r="N81" s="66">
        <f t="shared" si="78"/>
        <v>9.2344349747041678E-4</v>
      </c>
      <c r="O81" s="66">
        <f t="shared" si="78"/>
        <v>9.026507299777053E-4</v>
      </c>
      <c r="P81" s="66">
        <f t="shared" si="78"/>
        <v>8.8185796248499405E-4</v>
      </c>
      <c r="Q81" s="66">
        <f t="shared" si="78"/>
        <v>8.6106519499228268E-4</v>
      </c>
      <c r="R81" s="66">
        <f t="shared" si="78"/>
        <v>8.402724274995711E-4</v>
      </c>
      <c r="S81" s="66">
        <f t="shared" si="78"/>
        <v>8.1947966000685995E-4</v>
      </c>
      <c r="T81" s="66">
        <f t="shared" si="78"/>
        <v>7.9868689251414858E-4</v>
      </c>
      <c r="U81" s="66">
        <f t="shared" si="78"/>
        <v>7.7789412502143711E-4</v>
      </c>
      <c r="V81" s="66">
        <f t="shared" si="78"/>
        <v>7.5710135752872563E-4</v>
      </c>
      <c r="W81" s="66">
        <f t="shared" si="78"/>
        <v>7.3630859003601427E-4</v>
      </c>
      <c r="X81" s="66">
        <f t="shared" si="78"/>
        <v>7.1551582254330312E-4</v>
      </c>
      <c r="Y81" s="66">
        <f t="shared" si="78"/>
        <v>6.9472305505059154E-4</v>
      </c>
      <c r="Z81" s="66">
        <f t="shared" si="78"/>
        <v>6.7393028755788017E-4</v>
      </c>
      <c r="AA81" s="66">
        <f t="shared" si="78"/>
        <v>6.5313752006516891E-4</v>
      </c>
      <c r="AB81" s="66">
        <f t="shared" si="78"/>
        <v>6.3234475257245744E-4</v>
      </c>
      <c r="AC81" s="66">
        <f t="shared" si="78"/>
        <v>6.1155198507974618E-4</v>
      </c>
    </row>
    <row r="82" spans="1:29" x14ac:dyDescent="0.25">
      <c r="A82" s="59" t="str">
        <f>A45</f>
        <v>Market failure (av. utilization)</v>
      </c>
      <c r="B82" s="66">
        <f t="shared" ref="B82:AC82" si="79">B71/B45-B71/B44</f>
        <v>5.3098305385236681E-3</v>
      </c>
      <c r="C82" s="66">
        <f t="shared" si="79"/>
        <v>5.2330176520658193E-3</v>
      </c>
      <c r="D82" s="66">
        <f t="shared" si="79"/>
        <v>5.1563066495598255E-3</v>
      </c>
      <c r="E82" s="66">
        <f t="shared" si="79"/>
        <v>5.0797380843833288E-3</v>
      </c>
      <c r="F82" s="66">
        <f t="shared" si="79"/>
        <v>5.0033662523380918E-3</v>
      </c>
      <c r="G82" s="66">
        <f t="shared" si="79"/>
        <v>4.9272613185393759E-3</v>
      </c>
      <c r="H82" s="66">
        <f t="shared" si="79"/>
        <v>4.85150902783325E-3</v>
      </c>
      <c r="I82" s="66">
        <f t="shared" si="79"/>
        <v>4.7762049187138802E-3</v>
      </c>
      <c r="J82" s="66">
        <f t="shared" si="79"/>
        <v>4.7667984587406315E-3</v>
      </c>
      <c r="K82" s="66">
        <f t="shared" si="79"/>
        <v>4.757985729713329E-3</v>
      </c>
      <c r="L82" s="66">
        <f t="shared" si="79"/>
        <v>4.7497495584611481E-3</v>
      </c>
      <c r="M82" s="66">
        <f t="shared" si="79"/>
        <v>4.7419658327266575E-3</v>
      </c>
      <c r="N82" s="66">
        <f t="shared" si="79"/>
        <v>4.7344000008138834E-3</v>
      </c>
      <c r="O82" s="66">
        <f t="shared" si="79"/>
        <v>4.7267528962621434E-3</v>
      </c>
      <c r="P82" s="66">
        <f t="shared" si="79"/>
        <v>4.7187426952531464E-3</v>
      </c>
      <c r="Q82" s="66">
        <f t="shared" si="79"/>
        <v>4.7101791097801556E-3</v>
      </c>
      <c r="R82" s="66">
        <f t="shared" si="79"/>
        <v>4.7009916264336444E-3</v>
      </c>
      <c r="S82" s="66">
        <f t="shared" si="79"/>
        <v>4.6912097521567692E-3</v>
      </c>
      <c r="T82" s="66">
        <f t="shared" si="79"/>
        <v>4.6809208061665102E-3</v>
      </c>
      <c r="U82" s="66">
        <f t="shared" si="79"/>
        <v>4.670230848890412E-3</v>
      </c>
      <c r="V82" s="66">
        <f t="shared" si="79"/>
        <v>4.6592399566952308E-3</v>
      </c>
      <c r="W82" s="66">
        <f t="shared" si="79"/>
        <v>4.6480312506236507E-3</v>
      </c>
      <c r="X82" s="66">
        <f t="shared" si="79"/>
        <v>4.6366687516959399E-3</v>
      </c>
      <c r="Y82" s="66">
        <f t="shared" si="79"/>
        <v>4.6251994816418826E-3</v>
      </c>
      <c r="Z82" s="66">
        <f t="shared" si="79"/>
        <v>4.6136569293508019E-3</v>
      </c>
      <c r="AA82" s="66">
        <f t="shared" si="79"/>
        <v>4.6020644675554244E-3</v>
      </c>
      <c r="AB82" s="66">
        <f t="shared" si="79"/>
        <v>4.590438191276431E-3</v>
      </c>
      <c r="AC82" s="66">
        <f t="shared" si="79"/>
        <v>4.5787890854017566E-3</v>
      </c>
    </row>
    <row r="83" spans="1:29" x14ac:dyDescent="0.25">
      <c r="A83" s="59" t="str">
        <f>A46</f>
        <v>Payload loss (fuel)</v>
      </c>
      <c r="B83" s="66">
        <f>B71/(B44-B46)-B71/B44</f>
        <v>0</v>
      </c>
      <c r="C83" s="66">
        <f t="shared" ref="C83:AC83" si="80">C71/(C44-C46)-C71/C44</f>
        <v>0</v>
      </c>
      <c r="D83" s="66">
        <f t="shared" si="80"/>
        <v>0</v>
      </c>
      <c r="E83" s="66">
        <f t="shared" si="80"/>
        <v>0</v>
      </c>
      <c r="F83" s="66">
        <f t="shared" si="80"/>
        <v>0</v>
      </c>
      <c r="G83" s="66">
        <f t="shared" si="80"/>
        <v>0</v>
      </c>
      <c r="H83" s="66">
        <f t="shared" si="80"/>
        <v>0</v>
      </c>
      <c r="I83" s="66">
        <f t="shared" si="80"/>
        <v>0</v>
      </c>
      <c r="J83" s="66">
        <f t="shared" si="80"/>
        <v>0</v>
      </c>
      <c r="K83" s="66">
        <f t="shared" si="80"/>
        <v>0</v>
      </c>
      <c r="L83" s="66">
        <f t="shared" si="80"/>
        <v>0</v>
      </c>
      <c r="M83" s="66">
        <f t="shared" si="80"/>
        <v>0</v>
      </c>
      <c r="N83" s="66">
        <f t="shared" si="80"/>
        <v>0</v>
      </c>
      <c r="O83" s="66">
        <f t="shared" si="80"/>
        <v>0</v>
      </c>
      <c r="P83" s="66">
        <f t="shared" si="80"/>
        <v>0</v>
      </c>
      <c r="Q83" s="66">
        <f t="shared" si="80"/>
        <v>0</v>
      </c>
      <c r="R83" s="66">
        <f t="shared" si="80"/>
        <v>0</v>
      </c>
      <c r="S83" s="66">
        <f t="shared" si="80"/>
        <v>0</v>
      </c>
      <c r="T83" s="66">
        <f t="shared" si="80"/>
        <v>0</v>
      </c>
      <c r="U83" s="66">
        <f t="shared" si="80"/>
        <v>0</v>
      </c>
      <c r="V83" s="66">
        <f t="shared" si="80"/>
        <v>0</v>
      </c>
      <c r="W83" s="66">
        <f t="shared" si="80"/>
        <v>0</v>
      </c>
      <c r="X83" s="66">
        <f t="shared" si="80"/>
        <v>0</v>
      </c>
      <c r="Y83" s="66">
        <f t="shared" si="80"/>
        <v>0</v>
      </c>
      <c r="Z83" s="66">
        <f t="shared" si="80"/>
        <v>0</v>
      </c>
      <c r="AA83" s="66">
        <f t="shared" si="80"/>
        <v>0</v>
      </c>
      <c r="AB83" s="66">
        <f t="shared" si="80"/>
        <v>0</v>
      </c>
      <c r="AC83" s="66">
        <f t="shared" si="80"/>
        <v>0</v>
      </c>
    </row>
    <row r="84" spans="1:29" ht="15.75" thickBot="1" x14ac:dyDescent="0.3">
      <c r="A84" s="59" t="str">
        <f>A21</f>
        <v>Emission Cost</v>
      </c>
      <c r="B84" s="69">
        <f>B41*B47/B47/(B44)</f>
        <v>0</v>
      </c>
      <c r="C84" s="69">
        <f t="shared" ref="C84:AC84" si="81">C41*C47/C47/(C44)</f>
        <v>0</v>
      </c>
      <c r="D84" s="69">
        <f t="shared" si="81"/>
        <v>0</v>
      </c>
      <c r="E84" s="69">
        <f t="shared" si="81"/>
        <v>0</v>
      </c>
      <c r="F84" s="69">
        <f t="shared" si="81"/>
        <v>0</v>
      </c>
      <c r="G84" s="69">
        <f t="shared" si="81"/>
        <v>0</v>
      </c>
      <c r="H84" s="69">
        <f t="shared" si="81"/>
        <v>0</v>
      </c>
      <c r="I84" s="69">
        <f t="shared" si="81"/>
        <v>0</v>
      </c>
      <c r="J84" s="69">
        <f t="shared" si="81"/>
        <v>0</v>
      </c>
      <c r="K84" s="69">
        <f t="shared" si="81"/>
        <v>0</v>
      </c>
      <c r="L84" s="69">
        <f t="shared" si="81"/>
        <v>0</v>
      </c>
      <c r="M84" s="69">
        <f t="shared" si="81"/>
        <v>0</v>
      </c>
      <c r="N84" s="69">
        <f t="shared" si="81"/>
        <v>0</v>
      </c>
      <c r="O84" s="69">
        <f t="shared" si="81"/>
        <v>0</v>
      </c>
      <c r="P84" s="69">
        <f t="shared" si="81"/>
        <v>0</v>
      </c>
      <c r="Q84" s="69">
        <f t="shared" si="81"/>
        <v>0</v>
      </c>
      <c r="R84" s="69">
        <f t="shared" si="81"/>
        <v>0</v>
      </c>
      <c r="S84" s="69">
        <f t="shared" si="81"/>
        <v>0</v>
      </c>
      <c r="T84" s="69">
        <f t="shared" si="81"/>
        <v>0</v>
      </c>
      <c r="U84" s="69">
        <f t="shared" si="81"/>
        <v>0</v>
      </c>
      <c r="V84" s="69">
        <f t="shared" si="81"/>
        <v>0</v>
      </c>
      <c r="W84" s="69">
        <f t="shared" si="81"/>
        <v>0</v>
      </c>
      <c r="X84" s="69">
        <f t="shared" si="81"/>
        <v>0</v>
      </c>
      <c r="Y84" s="69">
        <f t="shared" si="81"/>
        <v>0</v>
      </c>
      <c r="Z84" s="69">
        <f t="shared" si="81"/>
        <v>0</v>
      </c>
      <c r="AA84" s="69">
        <f t="shared" si="81"/>
        <v>0</v>
      </c>
      <c r="AB84" s="69">
        <f t="shared" si="81"/>
        <v>0</v>
      </c>
      <c r="AC84" s="69">
        <f t="shared" si="81"/>
        <v>0</v>
      </c>
    </row>
    <row r="85" spans="1:29" ht="15.75" thickBot="1" x14ac:dyDescent="0.3">
      <c r="A85" s="31" t="s">
        <v>210</v>
      </c>
      <c r="B85" s="97">
        <f>B74+B75+B76+B77+B78+B79+B80+B81+B82+B83+B84</f>
        <v>1.4673217391859582E-2</v>
      </c>
      <c r="C85" s="97">
        <f t="shared" ref="C85:AC85" si="82">C74+C75+C76+C77+C78+C79+C80+C81+C82+C83+C84</f>
        <v>1.4459848262810002E-2</v>
      </c>
      <c r="D85" s="97">
        <f t="shared" si="82"/>
        <v>1.4246762144737796E-2</v>
      </c>
      <c r="E85" s="97">
        <f t="shared" si="82"/>
        <v>1.4034071685914194E-2</v>
      </c>
      <c r="F85" s="97">
        <f t="shared" si="82"/>
        <v>1.3821927708010757E-2</v>
      </c>
      <c r="G85" s="97">
        <f t="shared" si="82"/>
        <v>1.3610525114125438E-2</v>
      </c>
      <c r="H85" s="97">
        <f t="shared" si="82"/>
        <v>1.3400102084386198E-2</v>
      </c>
      <c r="I85" s="97">
        <f t="shared" si="82"/>
        <v>1.3190924003499058E-2</v>
      </c>
      <c r="J85" s="97">
        <f t="shared" si="82"/>
        <v>1.3164794948017814E-2</v>
      </c>
      <c r="K85" s="97">
        <f t="shared" si="82"/>
        <v>1.3140315145164195E-2</v>
      </c>
      <c r="L85" s="97">
        <f t="shared" si="82"/>
        <v>1.3117436891685916E-2</v>
      </c>
      <c r="M85" s="97">
        <f t="shared" si="82"/>
        <v>1.3095815431312328E-2</v>
      </c>
      <c r="N85" s="97">
        <f t="shared" si="82"/>
        <v>1.3074799231554624E-2</v>
      </c>
      <c r="O85" s="97">
        <f t="shared" si="82"/>
        <v>1.3053557274466459E-2</v>
      </c>
      <c r="P85" s="97">
        <f t="shared" si="82"/>
        <v>1.3031306716108132E-2</v>
      </c>
      <c r="Q85" s="97">
        <f t="shared" si="82"/>
        <v>1.3007518978683156E-2</v>
      </c>
      <c r="R85" s="97">
        <f t="shared" si="82"/>
        <v>1.2981998191609516E-2</v>
      </c>
      <c r="S85" s="97">
        <f t="shared" si="82"/>
        <v>1.2954826318618195E-2</v>
      </c>
      <c r="T85" s="97">
        <f t="shared" si="82"/>
        <v>1.29262459130897E-2</v>
      </c>
      <c r="U85" s="97">
        <f t="shared" si="82"/>
        <v>1.2896551587322757E-2</v>
      </c>
      <c r="V85" s="97">
        <f t="shared" si="82"/>
        <v>1.2866021331225035E-2</v>
      </c>
      <c r="W85" s="97">
        <f t="shared" si="82"/>
        <v>1.2834886036581755E-2</v>
      </c>
      <c r="X85" s="97">
        <f t="shared" si="82"/>
        <v>1.2803323539560334E-2</v>
      </c>
      <c r="Y85" s="97">
        <f t="shared" si="82"/>
        <v>1.2771464456076846E-2</v>
      </c>
      <c r="Z85" s="97">
        <f t="shared" si="82"/>
        <v>1.2739401810823845E-2</v>
      </c>
      <c r="AA85" s="97">
        <f t="shared" si="82"/>
        <v>1.2707200528058904E-2</v>
      </c>
      <c r="AB85" s="97">
        <f t="shared" si="82"/>
        <v>1.2674905316172814E-2</v>
      </c>
      <c r="AC85" s="97">
        <f t="shared" si="82"/>
        <v>1.2642546688743159E-2</v>
      </c>
    </row>
    <row r="87" spans="1:29" x14ac:dyDescent="0.25">
      <c r="B87" s="40"/>
    </row>
    <row r="107" spans="1:2" s="3" customFormat="1" ht="21" x14ac:dyDescent="0.35">
      <c r="A107" s="2" t="str">
        <f>'Parameter Input'!A158</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Input'!$L$147</f>
        <v>3500000</v>
      </c>
      <c r="C117" s="42">
        <f>'Parameter Input'!$M$147</f>
        <v>3500000</v>
      </c>
      <c r="D117" s="1" t="s">
        <v>15</v>
      </c>
      <c r="L117" s="51">
        <f>'Parameter Input'!$O$147</f>
        <v>12</v>
      </c>
      <c r="M117" s="52">
        <v>0</v>
      </c>
      <c r="N117" s="52">
        <v>1</v>
      </c>
      <c r="O117" s="52">
        <f>'Parameter Input'!$P$147</f>
        <v>0.9</v>
      </c>
      <c r="P117" s="53">
        <f>'Parameter Input'!$Q$147</f>
        <v>0.4</v>
      </c>
      <c r="Q117" s="4">
        <f t="shared" ref="Q117:AR126" si="83">$N117+($M117-$N117)*((1/(1+EXP(-$P117*(Q$9-$L117)))^$O117))</f>
        <v>0.9867978615748374</v>
      </c>
      <c r="R117" s="4">
        <f t="shared" si="83"/>
        <v>0.98114509762858249</v>
      </c>
      <c r="S117" s="4">
        <f t="shared" si="83"/>
        <v>0.97311898315872036</v>
      </c>
      <c r="T117" s="4">
        <f t="shared" si="83"/>
        <v>0.96177484161592774</v>
      </c>
      <c r="U117" s="4">
        <f t="shared" si="83"/>
        <v>0.94584787155511363</v>
      </c>
      <c r="V117" s="4">
        <f t="shared" si="83"/>
        <v>0.92370360150141495</v>
      </c>
      <c r="W117" s="4">
        <f t="shared" si="83"/>
        <v>0.89334463567658451</v>
      </c>
      <c r="X117" s="4">
        <f t="shared" si="83"/>
        <v>0.85254543874327005</v>
      </c>
      <c r="Y117" s="4">
        <f t="shared" si="83"/>
        <v>0.79921300652623883</v>
      </c>
      <c r="Z117" s="4">
        <f t="shared" si="83"/>
        <v>0.73204982249993378</v>
      </c>
      <c r="AA117" s="4">
        <f t="shared" si="83"/>
        <v>0.65145592958786691</v>
      </c>
      <c r="AB117" s="4">
        <f t="shared" si="83"/>
        <v>0.56032247880849573</v>
      </c>
      <c r="AC117" s="4">
        <f t="shared" si="83"/>
        <v>0.46411326873185343</v>
      </c>
      <c r="AD117" s="4">
        <f t="shared" si="83"/>
        <v>0.36979727595523937</v>
      </c>
      <c r="AE117" s="4">
        <f t="shared" si="83"/>
        <v>0.28393948637231203</v>
      </c>
      <c r="AF117" s="4">
        <f t="shared" si="83"/>
        <v>0.21097259161117732</v>
      </c>
      <c r="AG117" s="4">
        <f t="shared" si="83"/>
        <v>0.15253917653798199</v>
      </c>
      <c r="AH117" s="4">
        <f t="shared" si="83"/>
        <v>0.10795188737709993</v>
      </c>
      <c r="AI117" s="4">
        <f t="shared" si="83"/>
        <v>7.5176653938091809E-2</v>
      </c>
      <c r="AJ117" s="4">
        <f t="shared" si="83"/>
        <v>5.1742836177502194E-2</v>
      </c>
      <c r="AK117" s="4">
        <f t="shared" si="83"/>
        <v>3.5319190625345942E-2</v>
      </c>
      <c r="AL117" s="4">
        <f t="shared" si="83"/>
        <v>2.3969442072658165E-2</v>
      </c>
      <c r="AM117" s="4">
        <f t="shared" si="83"/>
        <v>1.6202243558389728E-2</v>
      </c>
      <c r="AN117" s="4">
        <f t="shared" si="83"/>
        <v>1.0922240564108399E-2</v>
      </c>
      <c r="AO117" s="4">
        <f t="shared" si="83"/>
        <v>7.3493212906090566E-3</v>
      </c>
      <c r="AP117" s="4">
        <f t="shared" si="83"/>
        <v>4.9390262185057265E-3</v>
      </c>
      <c r="AQ117" s="4">
        <f t="shared" si="83"/>
        <v>3.3164275492956197E-3</v>
      </c>
      <c r="AR117" s="4">
        <f t="shared" si="83"/>
        <v>2.2256362146679809E-3</v>
      </c>
    </row>
    <row r="118" spans="1:44" x14ac:dyDescent="0.25">
      <c r="A118" s="24" t="s">
        <v>28</v>
      </c>
      <c r="B118" s="60">
        <f>'Parameter Input'!$L$148</f>
        <v>-525000</v>
      </c>
      <c r="C118" s="61">
        <f>'Parameter Input'!$M$148</f>
        <v>-175000</v>
      </c>
      <c r="D118" s="1" t="s">
        <v>15</v>
      </c>
      <c r="L118" s="54">
        <f>'Parameter Input'!$O$148</f>
        <v>12</v>
      </c>
      <c r="M118" s="37">
        <v>0</v>
      </c>
      <c r="N118" s="37">
        <v>1</v>
      </c>
      <c r="O118" s="37">
        <f>'Parameter Input'!$P$148</f>
        <v>0.9</v>
      </c>
      <c r="P118" s="55">
        <f>'Parameter Input'!$Q$148</f>
        <v>0.4</v>
      </c>
      <c r="Q118" s="4">
        <f t="shared" si="83"/>
        <v>0.9867978615748374</v>
      </c>
      <c r="R118" s="4">
        <f t="shared" si="83"/>
        <v>0.98114509762858249</v>
      </c>
      <c r="S118" s="4">
        <f t="shared" si="83"/>
        <v>0.97311898315872036</v>
      </c>
      <c r="T118" s="4">
        <f t="shared" si="83"/>
        <v>0.96177484161592774</v>
      </c>
      <c r="U118" s="4">
        <f t="shared" si="83"/>
        <v>0.94584787155511363</v>
      </c>
      <c r="V118" s="4">
        <f t="shared" si="83"/>
        <v>0.92370360150141495</v>
      </c>
      <c r="W118" s="4">
        <f t="shared" si="83"/>
        <v>0.89334463567658451</v>
      </c>
      <c r="X118" s="4">
        <f t="shared" si="83"/>
        <v>0.85254543874327005</v>
      </c>
      <c r="Y118" s="4">
        <f t="shared" si="83"/>
        <v>0.79921300652623883</v>
      </c>
      <c r="Z118" s="4">
        <f t="shared" si="83"/>
        <v>0.73204982249993378</v>
      </c>
      <c r="AA118" s="4">
        <f t="shared" si="83"/>
        <v>0.65145592958786691</v>
      </c>
      <c r="AB118" s="4">
        <f t="shared" si="83"/>
        <v>0.56032247880849573</v>
      </c>
      <c r="AC118" s="4">
        <f t="shared" si="83"/>
        <v>0.46411326873185343</v>
      </c>
      <c r="AD118" s="4">
        <f t="shared" si="83"/>
        <v>0.36979727595523937</v>
      </c>
      <c r="AE118" s="4">
        <f t="shared" si="83"/>
        <v>0.28393948637231203</v>
      </c>
      <c r="AF118" s="4">
        <f t="shared" si="83"/>
        <v>0.21097259161117732</v>
      </c>
      <c r="AG118" s="4">
        <f t="shared" si="83"/>
        <v>0.15253917653798199</v>
      </c>
      <c r="AH118" s="4">
        <f t="shared" si="83"/>
        <v>0.10795188737709993</v>
      </c>
      <c r="AI118" s="4">
        <f t="shared" si="83"/>
        <v>7.5176653938091809E-2</v>
      </c>
      <c r="AJ118" s="4">
        <f t="shared" si="83"/>
        <v>5.1742836177502194E-2</v>
      </c>
      <c r="AK118" s="4">
        <f t="shared" si="83"/>
        <v>3.5319190625345942E-2</v>
      </c>
      <c r="AL118" s="4">
        <f t="shared" si="83"/>
        <v>2.3969442072658165E-2</v>
      </c>
      <c r="AM118" s="4">
        <f t="shared" si="83"/>
        <v>1.6202243558389728E-2</v>
      </c>
      <c r="AN118" s="4">
        <f t="shared" si="83"/>
        <v>1.0922240564108399E-2</v>
      </c>
      <c r="AO118" s="4">
        <f t="shared" si="83"/>
        <v>7.3493212906090566E-3</v>
      </c>
      <c r="AP118" s="4">
        <f t="shared" si="83"/>
        <v>4.9390262185057265E-3</v>
      </c>
      <c r="AQ118" s="4">
        <f t="shared" si="83"/>
        <v>3.3164275492956197E-3</v>
      </c>
      <c r="AR118" s="4">
        <f t="shared" si="83"/>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3"/>
        <v>0.9867978615748374</v>
      </c>
      <c r="R119" s="4">
        <f t="shared" si="83"/>
        <v>0.98114509762858249</v>
      </c>
      <c r="S119" s="4">
        <f t="shared" si="83"/>
        <v>0.97311898315872036</v>
      </c>
      <c r="T119" s="4">
        <f t="shared" si="83"/>
        <v>0.96177484161592774</v>
      </c>
      <c r="U119" s="4">
        <f t="shared" si="83"/>
        <v>0.94584787155511363</v>
      </c>
      <c r="V119" s="4">
        <f t="shared" si="83"/>
        <v>0.92370360150141495</v>
      </c>
      <c r="W119" s="4">
        <f t="shared" si="83"/>
        <v>0.89334463567658451</v>
      </c>
      <c r="X119" s="4">
        <f t="shared" si="83"/>
        <v>0.85254543874327005</v>
      </c>
      <c r="Y119" s="4">
        <f t="shared" si="83"/>
        <v>0.79921300652623883</v>
      </c>
      <c r="Z119" s="4">
        <f t="shared" si="83"/>
        <v>0.73204982249993378</v>
      </c>
      <c r="AA119" s="4">
        <f t="shared" si="83"/>
        <v>0.65145592958786691</v>
      </c>
      <c r="AB119" s="4">
        <f t="shared" si="83"/>
        <v>0.56032247880849573</v>
      </c>
      <c r="AC119" s="4">
        <f t="shared" si="83"/>
        <v>0.46411326873185343</v>
      </c>
      <c r="AD119" s="4">
        <f t="shared" si="83"/>
        <v>0.36979727595523937</v>
      </c>
      <c r="AE119" s="4">
        <f t="shared" si="83"/>
        <v>0.28393948637231203</v>
      </c>
      <c r="AF119" s="4">
        <f t="shared" si="83"/>
        <v>0.21097259161117732</v>
      </c>
      <c r="AG119" s="4">
        <f t="shared" si="83"/>
        <v>0.15253917653798199</v>
      </c>
      <c r="AH119" s="4">
        <f t="shared" si="83"/>
        <v>0.10795188737709993</v>
      </c>
      <c r="AI119" s="4">
        <f t="shared" si="83"/>
        <v>7.5176653938091809E-2</v>
      </c>
      <c r="AJ119" s="4">
        <f t="shared" si="83"/>
        <v>5.1742836177502194E-2</v>
      </c>
      <c r="AK119" s="4">
        <f t="shared" si="83"/>
        <v>3.5319190625345942E-2</v>
      </c>
      <c r="AL119" s="4">
        <f t="shared" si="83"/>
        <v>2.3969442072658165E-2</v>
      </c>
      <c r="AM119" s="4">
        <f t="shared" si="83"/>
        <v>1.6202243558389728E-2</v>
      </c>
      <c r="AN119" s="4">
        <f t="shared" si="83"/>
        <v>1.0922240564108399E-2</v>
      </c>
      <c r="AO119" s="4">
        <f t="shared" si="83"/>
        <v>7.3493212906090566E-3</v>
      </c>
      <c r="AP119" s="4">
        <f t="shared" si="83"/>
        <v>4.9390262185057265E-3</v>
      </c>
      <c r="AQ119" s="4">
        <f t="shared" si="83"/>
        <v>3.3164275492956197E-3</v>
      </c>
      <c r="AR119" s="4">
        <f t="shared" si="83"/>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3"/>
        <v>0.9867978615748374</v>
      </c>
      <c r="R120" s="4">
        <f t="shared" si="83"/>
        <v>0.98114509762858249</v>
      </c>
      <c r="S120" s="4">
        <f t="shared" si="83"/>
        <v>0.97311898315872036</v>
      </c>
      <c r="T120" s="4">
        <f t="shared" si="83"/>
        <v>0.96177484161592774</v>
      </c>
      <c r="U120" s="4">
        <f t="shared" si="83"/>
        <v>0.94584787155511363</v>
      </c>
      <c r="V120" s="4">
        <f t="shared" si="83"/>
        <v>0.92370360150141495</v>
      </c>
      <c r="W120" s="4">
        <f t="shared" si="83"/>
        <v>0.89334463567658451</v>
      </c>
      <c r="X120" s="4">
        <f t="shared" si="83"/>
        <v>0.85254543874327005</v>
      </c>
      <c r="Y120" s="4">
        <f t="shared" si="83"/>
        <v>0.79921300652623883</v>
      </c>
      <c r="Z120" s="4">
        <f t="shared" si="83"/>
        <v>0.73204982249993378</v>
      </c>
      <c r="AA120" s="4">
        <f t="shared" si="83"/>
        <v>0.65145592958786691</v>
      </c>
      <c r="AB120" s="4">
        <f t="shared" si="83"/>
        <v>0.56032247880849573</v>
      </c>
      <c r="AC120" s="4">
        <f t="shared" si="83"/>
        <v>0.46411326873185343</v>
      </c>
      <c r="AD120" s="4">
        <f t="shared" si="83"/>
        <v>0.36979727595523937</v>
      </c>
      <c r="AE120" s="4">
        <f t="shared" si="83"/>
        <v>0.28393948637231203</v>
      </c>
      <c r="AF120" s="4">
        <f t="shared" si="83"/>
        <v>0.21097259161117732</v>
      </c>
      <c r="AG120" s="4">
        <f t="shared" si="83"/>
        <v>0.15253917653798199</v>
      </c>
      <c r="AH120" s="4">
        <f t="shared" si="83"/>
        <v>0.10795188737709993</v>
      </c>
      <c r="AI120" s="4">
        <f t="shared" si="83"/>
        <v>7.5176653938091809E-2</v>
      </c>
      <c r="AJ120" s="4">
        <f t="shared" si="83"/>
        <v>5.1742836177502194E-2</v>
      </c>
      <c r="AK120" s="4">
        <f t="shared" si="83"/>
        <v>3.5319190625345942E-2</v>
      </c>
      <c r="AL120" s="4">
        <f t="shared" si="83"/>
        <v>2.3969442072658165E-2</v>
      </c>
      <c r="AM120" s="4">
        <f t="shared" si="83"/>
        <v>1.6202243558389728E-2</v>
      </c>
      <c r="AN120" s="4">
        <f t="shared" si="83"/>
        <v>1.0922240564108399E-2</v>
      </c>
      <c r="AO120" s="4">
        <f t="shared" si="83"/>
        <v>7.3493212906090566E-3</v>
      </c>
      <c r="AP120" s="4">
        <f t="shared" si="83"/>
        <v>4.9390262185057265E-3</v>
      </c>
      <c r="AQ120" s="4">
        <f t="shared" si="83"/>
        <v>3.3164275492956197E-3</v>
      </c>
      <c r="AR120" s="4">
        <f t="shared" si="83"/>
        <v>2.2256362146679809E-3</v>
      </c>
    </row>
    <row r="121" spans="1:44" x14ac:dyDescent="0.25">
      <c r="A121" s="24" t="s">
        <v>79</v>
      </c>
      <c r="B121" s="45">
        <f>'Parameter Input'!$L$154</f>
        <v>0.06</v>
      </c>
      <c r="C121" s="46">
        <f>'Parameter Input'!$M$154</f>
        <v>0.06</v>
      </c>
      <c r="D121" s="1" t="s">
        <v>57</v>
      </c>
      <c r="L121" s="54">
        <f>'Parameter Input'!$O$154</f>
        <v>12</v>
      </c>
      <c r="M121" s="37">
        <v>0</v>
      </c>
      <c r="N121" s="37">
        <v>1</v>
      </c>
      <c r="O121" s="37">
        <f>'Parameter Input'!$P$154</f>
        <v>0.9</v>
      </c>
      <c r="P121" s="55">
        <f>'Parameter Input'!$Q$154</f>
        <v>0.4</v>
      </c>
      <c r="Q121" s="4">
        <f t="shared" si="83"/>
        <v>0.9867978615748374</v>
      </c>
      <c r="R121" s="4">
        <f t="shared" si="83"/>
        <v>0.98114509762858249</v>
      </c>
      <c r="S121" s="4">
        <f t="shared" si="83"/>
        <v>0.97311898315872036</v>
      </c>
      <c r="T121" s="4">
        <f t="shared" si="83"/>
        <v>0.96177484161592774</v>
      </c>
      <c r="U121" s="4">
        <f t="shared" si="83"/>
        <v>0.94584787155511363</v>
      </c>
      <c r="V121" s="4">
        <f t="shared" si="83"/>
        <v>0.92370360150141495</v>
      </c>
      <c r="W121" s="4">
        <f t="shared" si="83"/>
        <v>0.89334463567658451</v>
      </c>
      <c r="X121" s="4">
        <f t="shared" si="83"/>
        <v>0.85254543874327005</v>
      </c>
      <c r="Y121" s="4">
        <f t="shared" si="83"/>
        <v>0.79921300652623883</v>
      </c>
      <c r="Z121" s="4">
        <f t="shared" si="83"/>
        <v>0.73204982249993378</v>
      </c>
      <c r="AA121" s="4">
        <f t="shared" si="83"/>
        <v>0.65145592958786691</v>
      </c>
      <c r="AB121" s="4">
        <f t="shared" si="83"/>
        <v>0.56032247880849573</v>
      </c>
      <c r="AC121" s="4">
        <f t="shared" si="83"/>
        <v>0.46411326873185343</v>
      </c>
      <c r="AD121" s="4">
        <f t="shared" si="83"/>
        <v>0.36979727595523937</v>
      </c>
      <c r="AE121" s="4">
        <f t="shared" si="83"/>
        <v>0.28393948637231203</v>
      </c>
      <c r="AF121" s="4">
        <f t="shared" si="83"/>
        <v>0.21097259161117732</v>
      </c>
      <c r="AG121" s="4">
        <f t="shared" si="83"/>
        <v>0.15253917653798199</v>
      </c>
      <c r="AH121" s="4">
        <f t="shared" si="83"/>
        <v>0.10795188737709993</v>
      </c>
      <c r="AI121" s="4">
        <f t="shared" si="83"/>
        <v>7.5176653938091809E-2</v>
      </c>
      <c r="AJ121" s="4">
        <f t="shared" si="83"/>
        <v>5.1742836177502194E-2</v>
      </c>
      <c r="AK121" s="4">
        <f t="shared" si="83"/>
        <v>3.5319190625345942E-2</v>
      </c>
      <c r="AL121" s="4">
        <f t="shared" si="83"/>
        <v>2.3969442072658165E-2</v>
      </c>
      <c r="AM121" s="4">
        <f t="shared" si="83"/>
        <v>1.6202243558389728E-2</v>
      </c>
      <c r="AN121" s="4">
        <f t="shared" si="83"/>
        <v>1.0922240564108399E-2</v>
      </c>
      <c r="AO121" s="4">
        <f t="shared" si="83"/>
        <v>7.3493212906090566E-3</v>
      </c>
      <c r="AP121" s="4">
        <f t="shared" si="83"/>
        <v>4.9390262185057265E-3</v>
      </c>
      <c r="AQ121" s="4">
        <f t="shared" si="83"/>
        <v>3.3164275492956197E-3</v>
      </c>
      <c r="AR121" s="4">
        <f t="shared" si="83"/>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3"/>
        <v>0.9867978615748374</v>
      </c>
      <c r="R122" s="4">
        <f t="shared" si="83"/>
        <v>0.98114509762858249</v>
      </c>
      <c r="S122" s="4">
        <f t="shared" si="83"/>
        <v>0.97311898315872036</v>
      </c>
      <c r="T122" s="4">
        <f t="shared" si="83"/>
        <v>0.96177484161592774</v>
      </c>
      <c r="U122" s="4">
        <f t="shared" si="83"/>
        <v>0.94584787155511363</v>
      </c>
      <c r="V122" s="4">
        <f t="shared" si="83"/>
        <v>0.92370360150141495</v>
      </c>
      <c r="W122" s="4">
        <f t="shared" si="83"/>
        <v>0.89334463567658451</v>
      </c>
      <c r="X122" s="4">
        <f t="shared" si="83"/>
        <v>0.85254543874327005</v>
      </c>
      <c r="Y122" s="4">
        <f t="shared" si="83"/>
        <v>0.79921300652623883</v>
      </c>
      <c r="Z122" s="4">
        <f t="shared" si="83"/>
        <v>0.73204982249993378</v>
      </c>
      <c r="AA122" s="4">
        <f t="shared" si="83"/>
        <v>0.65145592958786691</v>
      </c>
      <c r="AB122" s="4">
        <f t="shared" si="83"/>
        <v>0.56032247880849573</v>
      </c>
      <c r="AC122" s="4">
        <f t="shared" si="83"/>
        <v>0.46411326873185343</v>
      </c>
      <c r="AD122" s="4">
        <f t="shared" si="83"/>
        <v>0.36979727595523937</v>
      </c>
      <c r="AE122" s="4">
        <f t="shared" si="83"/>
        <v>0.28393948637231203</v>
      </c>
      <c r="AF122" s="4">
        <f t="shared" si="83"/>
        <v>0.21097259161117732</v>
      </c>
      <c r="AG122" s="4">
        <f t="shared" si="83"/>
        <v>0.15253917653798199</v>
      </c>
      <c r="AH122" s="4">
        <f t="shared" si="83"/>
        <v>0.10795188737709993</v>
      </c>
      <c r="AI122" s="4">
        <f t="shared" si="83"/>
        <v>7.5176653938091809E-2</v>
      </c>
      <c r="AJ122" s="4">
        <f t="shared" si="83"/>
        <v>5.1742836177502194E-2</v>
      </c>
      <c r="AK122" s="4">
        <f t="shared" si="83"/>
        <v>3.5319190625345942E-2</v>
      </c>
      <c r="AL122" s="4">
        <f t="shared" si="83"/>
        <v>2.3969442072658165E-2</v>
      </c>
      <c r="AM122" s="4">
        <f t="shared" si="83"/>
        <v>1.6202243558389728E-2</v>
      </c>
      <c r="AN122" s="4">
        <f t="shared" si="83"/>
        <v>1.0922240564108399E-2</v>
      </c>
      <c r="AO122" s="4">
        <f t="shared" si="83"/>
        <v>7.3493212906090566E-3</v>
      </c>
      <c r="AP122" s="4">
        <f t="shared" si="83"/>
        <v>4.9390262185057265E-3</v>
      </c>
      <c r="AQ122" s="4">
        <f t="shared" si="83"/>
        <v>3.3164275492956197E-3</v>
      </c>
      <c r="AR122" s="4">
        <f t="shared" si="83"/>
        <v>2.2256362146679809E-3</v>
      </c>
    </row>
    <row r="123" spans="1:44" x14ac:dyDescent="0.25">
      <c r="A123" s="24" t="s">
        <v>52</v>
      </c>
      <c r="B123" s="43">
        <f>'Parameter Input'!$L$150</f>
        <v>1050000</v>
      </c>
      <c r="C123" s="44">
        <f>'Parameter Input'!$M$150</f>
        <v>1050000</v>
      </c>
      <c r="D123" s="1" t="s">
        <v>38</v>
      </c>
      <c r="L123" s="54">
        <f>'Parameter Input'!$O$150</f>
        <v>12</v>
      </c>
      <c r="M123" s="37">
        <v>0</v>
      </c>
      <c r="N123" s="37">
        <v>1</v>
      </c>
      <c r="O123" s="37">
        <f>'Parameter Input'!$P$150</f>
        <v>0.9</v>
      </c>
      <c r="P123" s="55">
        <f>'Parameter Input'!$Q$150</f>
        <v>0.4</v>
      </c>
      <c r="Q123" s="4">
        <f t="shared" si="83"/>
        <v>0.9867978615748374</v>
      </c>
      <c r="R123" s="4">
        <f t="shared" si="83"/>
        <v>0.98114509762858249</v>
      </c>
      <c r="S123" s="4">
        <f t="shared" si="83"/>
        <v>0.97311898315872036</v>
      </c>
      <c r="T123" s="4">
        <f t="shared" si="83"/>
        <v>0.96177484161592774</v>
      </c>
      <c r="U123" s="4">
        <f t="shared" si="83"/>
        <v>0.94584787155511363</v>
      </c>
      <c r="V123" s="4">
        <f t="shared" si="83"/>
        <v>0.92370360150141495</v>
      </c>
      <c r="W123" s="4">
        <f t="shared" si="83"/>
        <v>0.89334463567658451</v>
      </c>
      <c r="X123" s="4">
        <f t="shared" si="83"/>
        <v>0.85254543874327005</v>
      </c>
      <c r="Y123" s="4">
        <f t="shared" si="83"/>
        <v>0.79921300652623883</v>
      </c>
      <c r="Z123" s="4">
        <f t="shared" si="83"/>
        <v>0.73204982249993378</v>
      </c>
      <c r="AA123" s="4">
        <f t="shared" si="83"/>
        <v>0.65145592958786691</v>
      </c>
      <c r="AB123" s="4">
        <f t="shared" si="83"/>
        <v>0.56032247880849573</v>
      </c>
      <c r="AC123" s="4">
        <f t="shared" si="83"/>
        <v>0.46411326873185343</v>
      </c>
      <c r="AD123" s="4">
        <f t="shared" si="83"/>
        <v>0.36979727595523937</v>
      </c>
      <c r="AE123" s="4">
        <f t="shared" si="83"/>
        <v>0.28393948637231203</v>
      </c>
      <c r="AF123" s="4">
        <f t="shared" si="83"/>
        <v>0.21097259161117732</v>
      </c>
      <c r="AG123" s="4">
        <f t="shared" si="83"/>
        <v>0.15253917653798199</v>
      </c>
      <c r="AH123" s="4">
        <f t="shared" si="83"/>
        <v>0.10795188737709993</v>
      </c>
      <c r="AI123" s="4">
        <f t="shared" si="83"/>
        <v>7.5176653938091809E-2</v>
      </c>
      <c r="AJ123" s="4">
        <f t="shared" si="83"/>
        <v>5.1742836177502194E-2</v>
      </c>
      <c r="AK123" s="4">
        <f t="shared" si="83"/>
        <v>3.5319190625345942E-2</v>
      </c>
      <c r="AL123" s="4">
        <f t="shared" si="83"/>
        <v>2.3969442072658165E-2</v>
      </c>
      <c r="AM123" s="4">
        <f t="shared" si="83"/>
        <v>1.6202243558389728E-2</v>
      </c>
      <c r="AN123" s="4">
        <f t="shared" si="83"/>
        <v>1.0922240564108399E-2</v>
      </c>
      <c r="AO123" s="4">
        <f t="shared" si="83"/>
        <v>7.3493212906090566E-3</v>
      </c>
      <c r="AP123" s="4">
        <f t="shared" si="83"/>
        <v>4.9390262185057265E-3</v>
      </c>
      <c r="AQ123" s="4">
        <f t="shared" si="83"/>
        <v>3.3164275492956197E-3</v>
      </c>
      <c r="AR123" s="4">
        <f t="shared" si="83"/>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3"/>
        <v>0.9867978615748374</v>
      </c>
      <c r="R124" s="4">
        <f t="shared" si="83"/>
        <v>0.98114509762858249</v>
      </c>
      <c r="S124" s="4">
        <f t="shared" si="83"/>
        <v>0.97311898315872036</v>
      </c>
      <c r="T124" s="4">
        <f t="shared" si="83"/>
        <v>0.96177484161592774</v>
      </c>
      <c r="U124" s="4">
        <f t="shared" si="83"/>
        <v>0.94584787155511363</v>
      </c>
      <c r="V124" s="4">
        <f t="shared" si="83"/>
        <v>0.92370360150141495</v>
      </c>
      <c r="W124" s="4">
        <f t="shared" si="83"/>
        <v>0.89334463567658451</v>
      </c>
      <c r="X124" s="4">
        <f t="shared" si="83"/>
        <v>0.85254543874327005</v>
      </c>
      <c r="Y124" s="4">
        <f t="shared" si="83"/>
        <v>0.79921300652623883</v>
      </c>
      <c r="Z124" s="4">
        <f t="shared" si="83"/>
        <v>0.73204982249993378</v>
      </c>
      <c r="AA124" s="4">
        <f t="shared" si="83"/>
        <v>0.65145592958786691</v>
      </c>
      <c r="AB124" s="4">
        <f t="shared" si="83"/>
        <v>0.56032247880849573</v>
      </c>
      <c r="AC124" s="4">
        <f t="shared" si="83"/>
        <v>0.46411326873185343</v>
      </c>
      <c r="AD124" s="4">
        <f t="shared" si="83"/>
        <v>0.36979727595523937</v>
      </c>
      <c r="AE124" s="4">
        <f t="shared" si="83"/>
        <v>0.28393948637231203</v>
      </c>
      <c r="AF124" s="4">
        <f t="shared" si="83"/>
        <v>0.21097259161117732</v>
      </c>
      <c r="AG124" s="4">
        <f t="shared" si="83"/>
        <v>0.15253917653798199</v>
      </c>
      <c r="AH124" s="4">
        <f t="shared" si="83"/>
        <v>0.10795188737709993</v>
      </c>
      <c r="AI124" s="4">
        <f t="shared" si="83"/>
        <v>7.5176653938091809E-2</v>
      </c>
      <c r="AJ124" s="4">
        <f t="shared" si="83"/>
        <v>5.1742836177502194E-2</v>
      </c>
      <c r="AK124" s="4">
        <f t="shared" si="83"/>
        <v>3.5319190625345942E-2</v>
      </c>
      <c r="AL124" s="4">
        <f t="shared" si="83"/>
        <v>2.3969442072658165E-2</v>
      </c>
      <c r="AM124" s="4">
        <f t="shared" si="83"/>
        <v>1.6202243558389728E-2</v>
      </c>
      <c r="AN124" s="4">
        <f t="shared" si="83"/>
        <v>1.0922240564108399E-2</v>
      </c>
      <c r="AO124" s="4">
        <f t="shared" si="83"/>
        <v>7.3493212906090566E-3</v>
      </c>
      <c r="AP124" s="4">
        <f t="shared" si="83"/>
        <v>4.9390262185057265E-3</v>
      </c>
      <c r="AQ124" s="4">
        <f t="shared" si="83"/>
        <v>3.3164275492956197E-3</v>
      </c>
      <c r="AR124" s="4">
        <f t="shared" si="83"/>
        <v>2.2256362146679809E-3</v>
      </c>
    </row>
    <row r="125" spans="1:44" x14ac:dyDescent="0.25">
      <c r="A125" s="24" t="s">
        <v>59</v>
      </c>
      <c r="B125" s="47">
        <f>'Parameter Input'!$L$151</f>
        <v>76.777599999999993</v>
      </c>
      <c r="C125" s="48">
        <f>'Parameter Input'!$M$151</f>
        <v>76.777599999999993</v>
      </c>
      <c r="D125" s="1" t="s">
        <v>60</v>
      </c>
      <c r="L125" s="54">
        <f>'Parameter Input'!$O$151</f>
        <v>12</v>
      </c>
      <c r="M125" s="37">
        <v>0</v>
      </c>
      <c r="N125" s="37">
        <v>1</v>
      </c>
      <c r="O125" s="37">
        <f>'Parameter Input'!$P$151</f>
        <v>0.9</v>
      </c>
      <c r="P125" s="55">
        <f>'Parameter Input'!$Q$151</f>
        <v>0.4</v>
      </c>
      <c r="Q125" s="4">
        <f t="shared" si="83"/>
        <v>0.9867978615748374</v>
      </c>
      <c r="R125" s="4">
        <f t="shared" si="83"/>
        <v>0.98114509762858249</v>
      </c>
      <c r="S125" s="4">
        <f t="shared" si="83"/>
        <v>0.97311898315872036</v>
      </c>
      <c r="T125" s="4">
        <f t="shared" si="83"/>
        <v>0.96177484161592774</v>
      </c>
      <c r="U125" s="4">
        <f t="shared" si="83"/>
        <v>0.94584787155511363</v>
      </c>
      <c r="V125" s="4">
        <f t="shared" si="83"/>
        <v>0.92370360150141495</v>
      </c>
      <c r="W125" s="4">
        <f t="shared" si="83"/>
        <v>0.89334463567658451</v>
      </c>
      <c r="X125" s="4">
        <f t="shared" si="83"/>
        <v>0.85254543874327005</v>
      </c>
      <c r="Y125" s="4">
        <f t="shared" si="83"/>
        <v>0.79921300652623883</v>
      </c>
      <c r="Z125" s="4">
        <f t="shared" si="83"/>
        <v>0.73204982249993378</v>
      </c>
      <c r="AA125" s="4">
        <f t="shared" si="83"/>
        <v>0.65145592958786691</v>
      </c>
      <c r="AB125" s="4">
        <f t="shared" si="83"/>
        <v>0.56032247880849573</v>
      </c>
      <c r="AC125" s="4">
        <f t="shared" si="83"/>
        <v>0.46411326873185343</v>
      </c>
      <c r="AD125" s="4">
        <f t="shared" si="83"/>
        <v>0.36979727595523937</v>
      </c>
      <c r="AE125" s="4">
        <f t="shared" si="83"/>
        <v>0.28393948637231203</v>
      </c>
      <c r="AF125" s="4">
        <f t="shared" si="83"/>
        <v>0.21097259161117732</v>
      </c>
      <c r="AG125" s="4">
        <f t="shared" si="83"/>
        <v>0.15253917653798199</v>
      </c>
      <c r="AH125" s="4">
        <f t="shared" si="83"/>
        <v>0.10795188737709993</v>
      </c>
      <c r="AI125" s="4">
        <f t="shared" si="83"/>
        <v>7.5176653938091809E-2</v>
      </c>
      <c r="AJ125" s="4">
        <f t="shared" si="83"/>
        <v>5.1742836177502194E-2</v>
      </c>
      <c r="AK125" s="4">
        <f t="shared" si="83"/>
        <v>3.5319190625345942E-2</v>
      </c>
      <c r="AL125" s="4">
        <f t="shared" si="83"/>
        <v>2.3969442072658165E-2</v>
      </c>
      <c r="AM125" s="4">
        <f t="shared" si="83"/>
        <v>1.6202243558389728E-2</v>
      </c>
      <c r="AN125" s="4">
        <f t="shared" si="83"/>
        <v>1.0922240564108399E-2</v>
      </c>
      <c r="AO125" s="4">
        <f t="shared" si="83"/>
        <v>7.3493212906090566E-3</v>
      </c>
      <c r="AP125" s="4">
        <f t="shared" si="83"/>
        <v>4.9390262185057265E-3</v>
      </c>
      <c r="AQ125" s="4">
        <f t="shared" si="83"/>
        <v>3.3164275492956197E-3</v>
      </c>
      <c r="AR125" s="4">
        <f t="shared" si="83"/>
        <v>2.2256362146679809E-3</v>
      </c>
    </row>
    <row r="126" spans="1:44" x14ac:dyDescent="0.25">
      <c r="A126" s="24" t="s">
        <v>67</v>
      </c>
      <c r="B126" s="45">
        <f>'Parameter Input'!$L$152</f>
        <v>0.1</v>
      </c>
      <c r="C126" s="46">
        <f>'Parameter Input'!$M$152</f>
        <v>0.1</v>
      </c>
      <c r="D126" s="1" t="s">
        <v>68</v>
      </c>
      <c r="L126" s="54">
        <f>'Parameter Input'!$O$152</f>
        <v>12</v>
      </c>
      <c r="M126" s="37">
        <v>0</v>
      </c>
      <c r="N126" s="37">
        <v>1</v>
      </c>
      <c r="O126" s="37">
        <f>'Parameter Input'!$P$152</f>
        <v>0.9</v>
      </c>
      <c r="P126" s="55">
        <f>'Parameter Input'!$Q$152</f>
        <v>0.4</v>
      </c>
      <c r="Q126" s="4">
        <f t="shared" si="83"/>
        <v>0.9867978615748374</v>
      </c>
      <c r="R126" s="4">
        <f t="shared" si="83"/>
        <v>0.98114509762858249</v>
      </c>
      <c r="S126" s="4">
        <f t="shared" si="83"/>
        <v>0.97311898315872036</v>
      </c>
      <c r="T126" s="4">
        <f t="shared" ref="T126:AI133" si="84">$N126+($M126-$N126)*((1/(1+EXP(-$P126*(T$9-$L126)))^$O126))</f>
        <v>0.96177484161592774</v>
      </c>
      <c r="U126" s="4">
        <f t="shared" si="84"/>
        <v>0.94584787155511363</v>
      </c>
      <c r="V126" s="4">
        <f t="shared" si="84"/>
        <v>0.92370360150141495</v>
      </c>
      <c r="W126" s="4">
        <f t="shared" si="84"/>
        <v>0.89334463567658451</v>
      </c>
      <c r="X126" s="4">
        <f t="shared" si="84"/>
        <v>0.85254543874327005</v>
      </c>
      <c r="Y126" s="4">
        <f t="shared" si="84"/>
        <v>0.79921300652623883</v>
      </c>
      <c r="Z126" s="4">
        <f t="shared" si="84"/>
        <v>0.73204982249993378</v>
      </c>
      <c r="AA126" s="4">
        <f t="shared" si="84"/>
        <v>0.65145592958786691</v>
      </c>
      <c r="AB126" s="4">
        <f t="shared" si="84"/>
        <v>0.56032247880849573</v>
      </c>
      <c r="AC126" s="4">
        <f t="shared" si="84"/>
        <v>0.46411326873185343</v>
      </c>
      <c r="AD126" s="4">
        <f t="shared" si="84"/>
        <v>0.36979727595523937</v>
      </c>
      <c r="AE126" s="4">
        <f t="shared" si="84"/>
        <v>0.28393948637231203</v>
      </c>
      <c r="AF126" s="4">
        <f t="shared" si="84"/>
        <v>0.21097259161117732</v>
      </c>
      <c r="AG126" s="4">
        <f t="shared" si="84"/>
        <v>0.15253917653798199</v>
      </c>
      <c r="AH126" s="4">
        <f t="shared" si="84"/>
        <v>0.10795188737709993</v>
      </c>
      <c r="AI126" s="4">
        <f t="shared" si="84"/>
        <v>7.5176653938091809E-2</v>
      </c>
      <c r="AJ126" s="4">
        <f t="shared" ref="AJ126:AR133" si="85">$N126+($M126-$N126)*((1/(1+EXP(-$P126*(AJ$9-$L126)))^$O126))</f>
        <v>5.1742836177502194E-2</v>
      </c>
      <c r="AK126" s="4">
        <f t="shared" si="85"/>
        <v>3.5319190625345942E-2</v>
      </c>
      <c r="AL126" s="4">
        <f t="shared" si="85"/>
        <v>2.3969442072658165E-2</v>
      </c>
      <c r="AM126" s="4">
        <f t="shared" si="85"/>
        <v>1.6202243558389728E-2</v>
      </c>
      <c r="AN126" s="4">
        <f t="shared" si="85"/>
        <v>1.0922240564108399E-2</v>
      </c>
      <c r="AO126" s="4">
        <f t="shared" si="85"/>
        <v>7.3493212906090566E-3</v>
      </c>
      <c r="AP126" s="4">
        <f t="shared" si="85"/>
        <v>4.9390262185057265E-3</v>
      </c>
      <c r="AQ126" s="4">
        <f t="shared" si="85"/>
        <v>3.3164275492956197E-3</v>
      </c>
      <c r="AR126" s="4">
        <f t="shared" si="85"/>
        <v>2.2256362146679809E-3</v>
      </c>
    </row>
    <row r="127" spans="1:44" x14ac:dyDescent="0.25">
      <c r="A127" s="24" t="s">
        <v>206</v>
      </c>
      <c r="B127" s="45">
        <f>'Parameter Input'!L155</f>
        <v>0</v>
      </c>
      <c r="C127" s="46">
        <f>'Parameter Input'!M155</f>
        <v>0</v>
      </c>
      <c r="D127" s="1"/>
      <c r="L127" s="54">
        <f>'Parameter Input'!O155</f>
        <v>17</v>
      </c>
      <c r="M127" s="37">
        <v>0</v>
      </c>
      <c r="N127" s="37">
        <v>1</v>
      </c>
      <c r="O127" s="37">
        <f>'Parameter Input'!P155</f>
        <v>0.9</v>
      </c>
      <c r="P127" s="55">
        <f>'Parameter Input'!Q155</f>
        <v>0.4</v>
      </c>
      <c r="Q127" s="4">
        <f t="shared" ref="Q127:AR127" si="86">$N127+($M127-$N127)*((1/(1+EXP(-$P127*(Q$9-$L127)))^$O127))</f>
        <v>0.99780374543478534</v>
      </c>
      <c r="R127" s="4">
        <f t="shared" si="86"/>
        <v>0.99685359315256394</v>
      </c>
      <c r="S127" s="4">
        <f t="shared" si="86"/>
        <v>0.99549347132349975</v>
      </c>
      <c r="T127" s="4">
        <f t="shared" si="86"/>
        <v>0.99354772139898062</v>
      </c>
      <c r="U127" s="4">
        <f t="shared" si="86"/>
        <v>0.99076681540580536</v>
      </c>
      <c r="V127" s="4">
        <f t="shared" si="86"/>
        <v>0.9867978615748374</v>
      </c>
      <c r="W127" s="4">
        <f t="shared" si="86"/>
        <v>0.98114509762858249</v>
      </c>
      <c r="X127" s="4">
        <f t="shared" si="86"/>
        <v>0.97311898315872036</v>
      </c>
      <c r="Y127" s="4">
        <f t="shared" si="86"/>
        <v>0.96177484161592774</v>
      </c>
      <c r="Z127" s="4">
        <f t="shared" si="86"/>
        <v>0.94584787155511363</v>
      </c>
      <c r="AA127" s="4">
        <f t="shared" si="86"/>
        <v>0.92370360150141495</v>
      </c>
      <c r="AB127" s="4">
        <f t="shared" si="86"/>
        <v>0.89334463567658451</v>
      </c>
      <c r="AC127" s="4">
        <f t="shared" si="86"/>
        <v>0.85254543874327005</v>
      </c>
      <c r="AD127" s="4">
        <f t="shared" si="86"/>
        <v>0.79921300652623883</v>
      </c>
      <c r="AE127" s="4">
        <f t="shared" si="86"/>
        <v>0.73204982249993378</v>
      </c>
      <c r="AF127" s="4">
        <f t="shared" si="86"/>
        <v>0.65145592958786691</v>
      </c>
      <c r="AG127" s="4">
        <f t="shared" si="86"/>
        <v>0.56032247880849573</v>
      </c>
      <c r="AH127" s="4">
        <f t="shared" si="86"/>
        <v>0.46411326873185343</v>
      </c>
      <c r="AI127" s="4">
        <f t="shared" si="86"/>
        <v>0.36979727595523937</v>
      </c>
      <c r="AJ127" s="4">
        <f t="shared" si="86"/>
        <v>0.28393948637231203</v>
      </c>
      <c r="AK127" s="4">
        <f t="shared" si="86"/>
        <v>0.21097259161117732</v>
      </c>
      <c r="AL127" s="4">
        <f t="shared" si="86"/>
        <v>0.15253917653798199</v>
      </c>
      <c r="AM127" s="4">
        <f t="shared" si="86"/>
        <v>0.10795188737709993</v>
      </c>
      <c r="AN127" s="4">
        <f t="shared" si="86"/>
        <v>7.5176653938091809E-2</v>
      </c>
      <c r="AO127" s="4">
        <f t="shared" si="86"/>
        <v>5.1742836177502194E-2</v>
      </c>
      <c r="AP127" s="4">
        <f t="shared" si="86"/>
        <v>3.5319190625345942E-2</v>
      </c>
      <c r="AQ127" s="4">
        <f t="shared" si="86"/>
        <v>2.3969442072658165E-2</v>
      </c>
      <c r="AR127" s="4">
        <f t="shared" si="86"/>
        <v>1.6202243558389728E-2</v>
      </c>
    </row>
    <row r="128" spans="1:44" x14ac:dyDescent="0.25">
      <c r="A128" s="24" t="s">
        <v>41</v>
      </c>
      <c r="B128" s="43">
        <f>'Parameter Input'!$L$149</f>
        <v>20</v>
      </c>
      <c r="C128" s="44">
        <f>'Parameter Input'!$M$149</f>
        <v>20</v>
      </c>
      <c r="D128" s="1" t="s">
        <v>42</v>
      </c>
      <c r="L128" s="54">
        <f>'Parameter Input'!$O$149</f>
        <v>12</v>
      </c>
      <c r="M128" s="37">
        <v>0</v>
      </c>
      <c r="N128" s="37">
        <v>1</v>
      </c>
      <c r="O128" s="37">
        <f>'Parameter Input'!$P$149</f>
        <v>0.9</v>
      </c>
      <c r="P128" s="55">
        <f>'Parameter Input'!$Q$149</f>
        <v>0.4</v>
      </c>
      <c r="Q128" s="4">
        <f t="shared" ref="Q128:AF133" si="87">$N128+($M128-$N128)*((1/(1+EXP(-$P128*(Q$9-$L128)))^$O128))</f>
        <v>0.9867978615748374</v>
      </c>
      <c r="R128" s="4">
        <f t="shared" si="87"/>
        <v>0.98114509762858249</v>
      </c>
      <c r="S128" s="4">
        <f t="shared" si="87"/>
        <v>0.97311898315872036</v>
      </c>
      <c r="T128" s="4">
        <f t="shared" si="87"/>
        <v>0.96177484161592774</v>
      </c>
      <c r="U128" s="4">
        <f t="shared" si="87"/>
        <v>0.94584787155511363</v>
      </c>
      <c r="V128" s="4">
        <f t="shared" si="87"/>
        <v>0.92370360150141495</v>
      </c>
      <c r="W128" s="4">
        <f t="shared" si="87"/>
        <v>0.89334463567658451</v>
      </c>
      <c r="X128" s="4">
        <f t="shared" si="87"/>
        <v>0.85254543874327005</v>
      </c>
      <c r="Y128" s="4">
        <f t="shared" si="87"/>
        <v>0.79921300652623883</v>
      </c>
      <c r="Z128" s="4">
        <f t="shared" si="87"/>
        <v>0.73204982249993378</v>
      </c>
      <c r="AA128" s="4">
        <f t="shared" si="87"/>
        <v>0.65145592958786691</v>
      </c>
      <c r="AB128" s="4">
        <f t="shared" si="87"/>
        <v>0.56032247880849573</v>
      </c>
      <c r="AC128" s="4">
        <f t="shared" si="87"/>
        <v>0.46411326873185343</v>
      </c>
      <c r="AD128" s="4">
        <f t="shared" si="87"/>
        <v>0.36979727595523937</v>
      </c>
      <c r="AE128" s="4">
        <f t="shared" si="87"/>
        <v>0.28393948637231203</v>
      </c>
      <c r="AF128" s="4">
        <f t="shared" si="87"/>
        <v>0.21097259161117732</v>
      </c>
      <c r="AG128" s="4">
        <f t="shared" si="84"/>
        <v>0.15253917653798199</v>
      </c>
      <c r="AH128" s="4">
        <f t="shared" si="84"/>
        <v>0.10795188737709993</v>
      </c>
      <c r="AI128" s="4">
        <f t="shared" si="84"/>
        <v>7.5176653938091809E-2</v>
      </c>
      <c r="AJ128" s="4">
        <f t="shared" si="85"/>
        <v>5.1742836177502194E-2</v>
      </c>
      <c r="AK128" s="4">
        <f t="shared" si="85"/>
        <v>3.5319190625345942E-2</v>
      </c>
      <c r="AL128" s="4">
        <f t="shared" si="85"/>
        <v>2.3969442072658165E-2</v>
      </c>
      <c r="AM128" s="4">
        <f t="shared" si="85"/>
        <v>1.6202243558389728E-2</v>
      </c>
      <c r="AN128" s="4">
        <f t="shared" si="85"/>
        <v>1.0922240564108399E-2</v>
      </c>
      <c r="AO128" s="4">
        <f t="shared" si="85"/>
        <v>7.3493212906090566E-3</v>
      </c>
      <c r="AP128" s="4">
        <f t="shared" si="85"/>
        <v>4.9390262185057265E-3</v>
      </c>
      <c r="AQ128" s="4">
        <f t="shared" si="85"/>
        <v>3.3164275492956197E-3</v>
      </c>
      <c r="AR128" s="4">
        <f t="shared" si="85"/>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7"/>
        <v>0.9867978615748374</v>
      </c>
      <c r="R129" s="4">
        <f t="shared" si="87"/>
        <v>0.98114509762858249</v>
      </c>
      <c r="S129" s="4">
        <f t="shared" si="87"/>
        <v>0.97311898315872036</v>
      </c>
      <c r="T129" s="4">
        <f t="shared" si="87"/>
        <v>0.96177484161592774</v>
      </c>
      <c r="U129" s="4">
        <f t="shared" si="87"/>
        <v>0.94584787155511363</v>
      </c>
      <c r="V129" s="4">
        <f t="shared" si="87"/>
        <v>0.92370360150141495</v>
      </c>
      <c r="W129" s="4">
        <f t="shared" si="87"/>
        <v>0.89334463567658451</v>
      </c>
      <c r="X129" s="4">
        <f t="shared" si="87"/>
        <v>0.85254543874327005</v>
      </c>
      <c r="Y129" s="4">
        <f t="shared" si="87"/>
        <v>0.79921300652623883</v>
      </c>
      <c r="Z129" s="4">
        <f t="shared" si="87"/>
        <v>0.73204982249993378</v>
      </c>
      <c r="AA129" s="4">
        <f t="shared" si="87"/>
        <v>0.65145592958786691</v>
      </c>
      <c r="AB129" s="4">
        <f t="shared" si="87"/>
        <v>0.56032247880849573</v>
      </c>
      <c r="AC129" s="4">
        <f t="shared" si="87"/>
        <v>0.46411326873185343</v>
      </c>
      <c r="AD129" s="4">
        <f t="shared" si="87"/>
        <v>0.36979727595523937</v>
      </c>
      <c r="AE129" s="4">
        <f t="shared" si="87"/>
        <v>0.28393948637231203</v>
      </c>
      <c r="AF129" s="4">
        <f t="shared" si="87"/>
        <v>0.21097259161117732</v>
      </c>
      <c r="AG129" s="4">
        <f t="shared" si="84"/>
        <v>0.15253917653798199</v>
      </c>
      <c r="AH129" s="4">
        <f t="shared" si="84"/>
        <v>0.10795188737709993</v>
      </c>
      <c r="AI129" s="4">
        <f t="shared" si="84"/>
        <v>7.5176653938091809E-2</v>
      </c>
      <c r="AJ129" s="4">
        <f t="shared" si="85"/>
        <v>5.1742836177502194E-2</v>
      </c>
      <c r="AK129" s="4">
        <f t="shared" si="85"/>
        <v>3.5319190625345942E-2</v>
      </c>
      <c r="AL129" s="4">
        <f t="shared" si="85"/>
        <v>2.3969442072658165E-2</v>
      </c>
      <c r="AM129" s="4">
        <f t="shared" si="85"/>
        <v>1.6202243558389728E-2</v>
      </c>
      <c r="AN129" s="4">
        <f t="shared" si="85"/>
        <v>1.0922240564108399E-2</v>
      </c>
      <c r="AO129" s="4">
        <f t="shared" si="85"/>
        <v>7.3493212906090566E-3</v>
      </c>
      <c r="AP129" s="4">
        <f t="shared" si="85"/>
        <v>4.9390262185057265E-3</v>
      </c>
      <c r="AQ129" s="4">
        <f t="shared" si="85"/>
        <v>3.3164275492956197E-3</v>
      </c>
      <c r="AR129" s="4">
        <f t="shared" si="85"/>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7"/>
        <v>0.9867978615748374</v>
      </c>
      <c r="R130" s="4">
        <f t="shared" si="87"/>
        <v>0.98114509762858249</v>
      </c>
      <c r="S130" s="4">
        <f t="shared" si="87"/>
        <v>0.97311898315872036</v>
      </c>
      <c r="T130" s="4">
        <f t="shared" si="87"/>
        <v>0.96177484161592774</v>
      </c>
      <c r="U130" s="4">
        <f t="shared" si="87"/>
        <v>0.94584787155511363</v>
      </c>
      <c r="V130" s="4">
        <f t="shared" si="87"/>
        <v>0.92370360150141495</v>
      </c>
      <c r="W130" s="4">
        <f t="shared" si="87"/>
        <v>0.89334463567658451</v>
      </c>
      <c r="X130" s="4">
        <f t="shared" si="87"/>
        <v>0.85254543874327005</v>
      </c>
      <c r="Y130" s="4">
        <f t="shared" si="87"/>
        <v>0.79921300652623883</v>
      </c>
      <c r="Z130" s="4">
        <f t="shared" si="87"/>
        <v>0.73204982249993378</v>
      </c>
      <c r="AA130" s="4">
        <f t="shared" si="87"/>
        <v>0.65145592958786691</v>
      </c>
      <c r="AB130" s="4">
        <f t="shared" si="87"/>
        <v>0.56032247880849573</v>
      </c>
      <c r="AC130" s="4">
        <f t="shared" si="87"/>
        <v>0.46411326873185343</v>
      </c>
      <c r="AD130" s="4">
        <f t="shared" si="87"/>
        <v>0.36979727595523937</v>
      </c>
      <c r="AE130" s="4">
        <f t="shared" si="87"/>
        <v>0.28393948637231203</v>
      </c>
      <c r="AF130" s="4">
        <f t="shared" si="87"/>
        <v>0.21097259161117732</v>
      </c>
      <c r="AG130" s="4">
        <f t="shared" si="84"/>
        <v>0.15253917653798199</v>
      </c>
      <c r="AH130" s="4">
        <f t="shared" si="84"/>
        <v>0.10795188737709993</v>
      </c>
      <c r="AI130" s="4">
        <f t="shared" si="84"/>
        <v>7.5176653938091809E-2</v>
      </c>
      <c r="AJ130" s="4">
        <f t="shared" si="85"/>
        <v>5.1742836177502194E-2</v>
      </c>
      <c r="AK130" s="4">
        <f t="shared" si="85"/>
        <v>3.5319190625345942E-2</v>
      </c>
      <c r="AL130" s="4">
        <f t="shared" si="85"/>
        <v>2.3969442072658165E-2</v>
      </c>
      <c r="AM130" s="4">
        <f t="shared" si="85"/>
        <v>1.6202243558389728E-2</v>
      </c>
      <c r="AN130" s="4">
        <f t="shared" si="85"/>
        <v>1.0922240564108399E-2</v>
      </c>
      <c r="AO130" s="4">
        <f t="shared" si="85"/>
        <v>7.3493212906090566E-3</v>
      </c>
      <c r="AP130" s="4">
        <f t="shared" si="85"/>
        <v>4.9390262185057265E-3</v>
      </c>
      <c r="AQ130" s="4">
        <f t="shared" si="85"/>
        <v>3.3164275492956197E-3</v>
      </c>
      <c r="AR130" s="4">
        <f t="shared" si="85"/>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7"/>
        <v>0.9867978615748374</v>
      </c>
      <c r="R131" s="4">
        <f t="shared" si="87"/>
        <v>0.98114509762858249</v>
      </c>
      <c r="S131" s="4">
        <f t="shared" si="87"/>
        <v>0.97311898315872036</v>
      </c>
      <c r="T131" s="4">
        <f t="shared" si="87"/>
        <v>0.96177484161592774</v>
      </c>
      <c r="U131" s="4">
        <f t="shared" si="87"/>
        <v>0.94584787155511363</v>
      </c>
      <c r="V131" s="4">
        <f t="shared" si="87"/>
        <v>0.92370360150141495</v>
      </c>
      <c r="W131" s="4">
        <f t="shared" si="87"/>
        <v>0.89334463567658451</v>
      </c>
      <c r="X131" s="4">
        <f t="shared" si="87"/>
        <v>0.85254543874327005</v>
      </c>
      <c r="Y131" s="4">
        <f t="shared" si="87"/>
        <v>0.79921300652623883</v>
      </c>
      <c r="Z131" s="4">
        <f t="shared" si="87"/>
        <v>0.73204982249993378</v>
      </c>
      <c r="AA131" s="4">
        <f t="shared" si="87"/>
        <v>0.65145592958786691</v>
      </c>
      <c r="AB131" s="4">
        <f t="shared" si="87"/>
        <v>0.56032247880849573</v>
      </c>
      <c r="AC131" s="4">
        <f t="shared" si="87"/>
        <v>0.46411326873185343</v>
      </c>
      <c r="AD131" s="4">
        <f t="shared" si="87"/>
        <v>0.36979727595523937</v>
      </c>
      <c r="AE131" s="4">
        <f t="shared" si="87"/>
        <v>0.28393948637231203</v>
      </c>
      <c r="AF131" s="4">
        <f t="shared" si="87"/>
        <v>0.21097259161117732</v>
      </c>
      <c r="AG131" s="4">
        <f t="shared" si="84"/>
        <v>0.15253917653798199</v>
      </c>
      <c r="AH131" s="4">
        <f t="shared" si="84"/>
        <v>0.10795188737709993</v>
      </c>
      <c r="AI131" s="4">
        <f t="shared" si="84"/>
        <v>7.5176653938091809E-2</v>
      </c>
      <c r="AJ131" s="4">
        <f t="shared" si="85"/>
        <v>5.1742836177502194E-2</v>
      </c>
      <c r="AK131" s="4">
        <f t="shared" si="85"/>
        <v>3.5319190625345942E-2</v>
      </c>
      <c r="AL131" s="4">
        <f t="shared" si="85"/>
        <v>2.3969442072658165E-2</v>
      </c>
      <c r="AM131" s="4">
        <f t="shared" si="85"/>
        <v>1.6202243558389728E-2</v>
      </c>
      <c r="AN131" s="4">
        <f t="shared" si="85"/>
        <v>1.0922240564108399E-2</v>
      </c>
      <c r="AO131" s="4">
        <f t="shared" si="85"/>
        <v>7.3493212906090566E-3</v>
      </c>
      <c r="AP131" s="4">
        <f t="shared" si="85"/>
        <v>4.9390262185057265E-3</v>
      </c>
      <c r="AQ131" s="4">
        <f t="shared" si="85"/>
        <v>3.3164275492956197E-3</v>
      </c>
      <c r="AR131" s="4">
        <f t="shared" si="85"/>
        <v>2.2256362146679809E-3</v>
      </c>
    </row>
    <row r="132" spans="1:44" x14ac:dyDescent="0.25">
      <c r="A132" s="24" t="s">
        <v>73</v>
      </c>
      <c r="B132" s="72">
        <f>'Parameter Input'!$L$153</f>
        <v>0</v>
      </c>
      <c r="C132" s="73">
        <f>'Parameter Input'!$M$153</f>
        <v>0</v>
      </c>
      <c r="D132" s="1" t="s">
        <v>57</v>
      </c>
      <c r="L132" s="54">
        <f>'Parameter Input'!$O$153</f>
        <v>12</v>
      </c>
      <c r="M132" s="37">
        <v>0</v>
      </c>
      <c r="N132" s="37">
        <v>1</v>
      </c>
      <c r="O132" s="37">
        <f>'Parameter Input'!$P$153</f>
        <v>0.9</v>
      </c>
      <c r="P132" s="55">
        <f>'Parameter Input'!$Q$153</f>
        <v>0.4</v>
      </c>
      <c r="Q132" s="4">
        <f t="shared" si="87"/>
        <v>0.9867978615748374</v>
      </c>
      <c r="R132" s="4">
        <f t="shared" si="87"/>
        <v>0.98114509762858249</v>
      </c>
      <c r="S132" s="4">
        <f t="shared" si="87"/>
        <v>0.97311898315872036</v>
      </c>
      <c r="T132" s="4">
        <f t="shared" si="87"/>
        <v>0.96177484161592774</v>
      </c>
      <c r="U132" s="4">
        <f t="shared" si="87"/>
        <v>0.94584787155511363</v>
      </c>
      <c r="V132" s="4">
        <f t="shared" si="87"/>
        <v>0.92370360150141495</v>
      </c>
      <c r="W132" s="4">
        <f t="shared" si="87"/>
        <v>0.89334463567658451</v>
      </c>
      <c r="X132" s="4">
        <f t="shared" si="87"/>
        <v>0.85254543874327005</v>
      </c>
      <c r="Y132" s="4">
        <f t="shared" si="87"/>
        <v>0.79921300652623883</v>
      </c>
      <c r="Z132" s="4">
        <f t="shared" si="87"/>
        <v>0.73204982249993378</v>
      </c>
      <c r="AA132" s="4">
        <f t="shared" si="87"/>
        <v>0.65145592958786691</v>
      </c>
      <c r="AB132" s="4">
        <f t="shared" si="87"/>
        <v>0.56032247880849573</v>
      </c>
      <c r="AC132" s="4">
        <f t="shared" si="87"/>
        <v>0.46411326873185343</v>
      </c>
      <c r="AD132" s="4">
        <f t="shared" si="87"/>
        <v>0.36979727595523937</v>
      </c>
      <c r="AE132" s="4">
        <f t="shared" si="87"/>
        <v>0.28393948637231203</v>
      </c>
      <c r="AF132" s="4">
        <f t="shared" si="87"/>
        <v>0.21097259161117732</v>
      </c>
      <c r="AG132" s="4">
        <f t="shared" si="84"/>
        <v>0.15253917653798199</v>
      </c>
      <c r="AH132" s="4">
        <f t="shared" si="84"/>
        <v>0.10795188737709993</v>
      </c>
      <c r="AI132" s="4">
        <f t="shared" si="84"/>
        <v>7.5176653938091809E-2</v>
      </c>
      <c r="AJ132" s="4">
        <f t="shared" si="85"/>
        <v>5.1742836177502194E-2</v>
      </c>
      <c r="AK132" s="4">
        <f t="shared" si="85"/>
        <v>3.5319190625345942E-2</v>
      </c>
      <c r="AL132" s="4">
        <f t="shared" si="85"/>
        <v>2.3969442072658165E-2</v>
      </c>
      <c r="AM132" s="4">
        <f t="shared" si="85"/>
        <v>1.6202243558389728E-2</v>
      </c>
      <c r="AN132" s="4">
        <f t="shared" si="85"/>
        <v>1.0922240564108399E-2</v>
      </c>
      <c r="AO132" s="4">
        <f t="shared" si="85"/>
        <v>7.3493212906090566E-3</v>
      </c>
      <c r="AP132" s="4">
        <f t="shared" si="85"/>
        <v>4.9390262185057265E-3</v>
      </c>
      <c r="AQ132" s="4">
        <f t="shared" si="85"/>
        <v>3.3164275492956197E-3</v>
      </c>
      <c r="AR132" s="4">
        <f t="shared" si="85"/>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7"/>
        <v>0.9867978615748374</v>
      </c>
      <c r="R133" s="4">
        <f t="shared" si="87"/>
        <v>0.98114509762858249</v>
      </c>
      <c r="S133" s="4">
        <f t="shared" si="87"/>
        <v>0.97311898315872036</v>
      </c>
      <c r="T133" s="4">
        <f t="shared" si="87"/>
        <v>0.96177484161592774</v>
      </c>
      <c r="U133" s="4">
        <f t="shared" si="87"/>
        <v>0.94584787155511363</v>
      </c>
      <c r="V133" s="4">
        <f t="shared" si="87"/>
        <v>0.92370360150141495</v>
      </c>
      <c r="W133" s="4">
        <f t="shared" si="87"/>
        <v>0.89334463567658451</v>
      </c>
      <c r="X133" s="4">
        <f t="shared" si="87"/>
        <v>0.85254543874327005</v>
      </c>
      <c r="Y133" s="4">
        <f t="shared" si="87"/>
        <v>0.79921300652623883</v>
      </c>
      <c r="Z133" s="4">
        <f t="shared" si="87"/>
        <v>0.73204982249993378</v>
      </c>
      <c r="AA133" s="4">
        <f t="shared" si="87"/>
        <v>0.65145592958786691</v>
      </c>
      <c r="AB133" s="4">
        <f t="shared" si="87"/>
        <v>0.56032247880849573</v>
      </c>
      <c r="AC133" s="4">
        <f t="shared" si="87"/>
        <v>0.46411326873185343</v>
      </c>
      <c r="AD133" s="4">
        <f t="shared" si="87"/>
        <v>0.36979727595523937</v>
      </c>
      <c r="AE133" s="4">
        <f t="shared" si="87"/>
        <v>0.28393948637231203</v>
      </c>
      <c r="AF133" s="4">
        <f t="shared" si="87"/>
        <v>0.21097259161117732</v>
      </c>
      <c r="AG133" s="4">
        <f t="shared" si="84"/>
        <v>0.15253917653798199</v>
      </c>
      <c r="AH133" s="4">
        <f t="shared" si="84"/>
        <v>0.10795188737709993</v>
      </c>
      <c r="AI133" s="4">
        <f t="shared" si="84"/>
        <v>7.5176653938091809E-2</v>
      </c>
      <c r="AJ133" s="4">
        <f t="shared" si="85"/>
        <v>5.1742836177502194E-2</v>
      </c>
      <c r="AK133" s="4">
        <f t="shared" si="85"/>
        <v>3.5319190625345942E-2</v>
      </c>
      <c r="AL133" s="4">
        <f t="shared" si="85"/>
        <v>2.3969442072658165E-2</v>
      </c>
      <c r="AM133" s="4">
        <f t="shared" si="85"/>
        <v>1.6202243558389728E-2</v>
      </c>
      <c r="AN133" s="4">
        <f t="shared" si="85"/>
        <v>1.0922240564108399E-2</v>
      </c>
      <c r="AO133" s="4">
        <f t="shared" si="85"/>
        <v>7.3493212906090566E-3</v>
      </c>
      <c r="AP133" s="4">
        <f t="shared" si="85"/>
        <v>4.9390262185057265E-3</v>
      </c>
      <c r="AQ133" s="4">
        <f t="shared" si="85"/>
        <v>3.3164275492956197E-3</v>
      </c>
      <c r="AR133" s="4">
        <f t="shared" si="85"/>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8">A117</f>
        <v>Capex vehicle</v>
      </c>
      <c r="B137" s="62">
        <f t="shared" ref="B137:B145" si="89">$B117+($C117-$B117)*(1-Q117)</f>
        <v>3500000</v>
      </c>
      <c r="C137" s="62">
        <f t="shared" ref="C137:C145" si="90">$B117+($C117-$B117)*(1-R117)</f>
        <v>3500000</v>
      </c>
      <c r="D137" s="62">
        <f t="shared" ref="D137:D145" si="91">$B117+($C117-$B117)*(1-S117)</f>
        <v>3500000</v>
      </c>
      <c r="E137" s="62">
        <f t="shared" ref="E137:E145" si="92">$B117+($C117-$B117)*(1-T117)</f>
        <v>3500000</v>
      </c>
      <c r="F137" s="62">
        <f t="shared" ref="F137:F145" si="93">$B117+($C117-$B117)*(1-U117)</f>
        <v>3500000</v>
      </c>
      <c r="G137" s="62">
        <f t="shared" ref="G137:G145" si="94">$B117+($C117-$B117)*(1-V117)</f>
        <v>3500000</v>
      </c>
      <c r="H137" s="62">
        <f t="shared" ref="H137:H145" si="95">$B117+($C117-$B117)*(1-W117)</f>
        <v>3500000</v>
      </c>
      <c r="I137" s="62">
        <f t="shared" ref="I137:I145" si="96">$B117+($C117-$B117)*(1-X117)</f>
        <v>3500000</v>
      </c>
      <c r="J137" s="62">
        <f t="shared" ref="J137:J145" si="97">$B117+($C117-$B117)*(1-Y117)</f>
        <v>3500000</v>
      </c>
      <c r="K137" s="62">
        <f t="shared" ref="K137:K145" si="98">$B117+($C117-$B117)*(1-Z117)</f>
        <v>3500000</v>
      </c>
      <c r="L137" s="62">
        <f t="shared" ref="L137:L145" si="99">$B117+($C117-$B117)*(1-AA117)</f>
        <v>3500000</v>
      </c>
      <c r="M137" s="62">
        <f t="shared" ref="M137:M145" si="100">$B117+($C117-$B117)*(1-AB117)</f>
        <v>3500000</v>
      </c>
      <c r="N137" s="62">
        <f t="shared" ref="N137:N145" si="101">$B117+($C117-$B117)*(1-AC117)</f>
        <v>3500000</v>
      </c>
      <c r="O137" s="62">
        <f t="shared" ref="O137:O145" si="102">$B117+($C117-$B117)*(1-AD117)</f>
        <v>3500000</v>
      </c>
      <c r="P137" s="62">
        <f t="shared" ref="P137:P145" si="103">$B117+($C117-$B117)*(1-AE117)</f>
        <v>3500000</v>
      </c>
      <c r="Q137" s="62">
        <f t="shared" ref="Q137:Q145" si="104">$B117+($C117-$B117)*(1-AF117)</f>
        <v>3500000</v>
      </c>
      <c r="R137" s="62">
        <f t="shared" ref="R137:R145" si="105">$B117+($C117-$B117)*(1-AG117)</f>
        <v>3500000</v>
      </c>
      <c r="S137" s="62">
        <f t="shared" ref="S137:S145" si="106">$B117+($C117-$B117)*(1-AH117)</f>
        <v>3500000</v>
      </c>
      <c r="T137" s="62">
        <f t="shared" ref="T137:T145" si="107">$B117+($C117-$B117)*(1-AI117)</f>
        <v>3500000</v>
      </c>
      <c r="U137" s="62">
        <f t="shared" ref="U137:U145" si="108">$B117+($C117-$B117)*(1-AJ117)</f>
        <v>3500000</v>
      </c>
      <c r="V137" s="62">
        <f t="shared" ref="V137:V145" si="109">$B117+($C117-$B117)*(1-AK117)</f>
        <v>3500000</v>
      </c>
      <c r="W137" s="62">
        <f t="shared" ref="W137:W145" si="110">$B117+($C117-$B117)*(1-AL117)</f>
        <v>3500000</v>
      </c>
      <c r="X137" s="62">
        <f t="shared" ref="X137:X145" si="111">$B117+($C117-$B117)*(1-AM117)</f>
        <v>3500000</v>
      </c>
      <c r="Y137" s="62">
        <f t="shared" ref="Y137:Y145" si="112">$B117+($C117-$B117)*(1-AN117)</f>
        <v>3500000</v>
      </c>
      <c r="Z137" s="62">
        <f t="shared" ref="Z137:Z145" si="113">$B117+($C117-$B117)*(1-AO117)</f>
        <v>3500000</v>
      </c>
      <c r="AA137" s="62">
        <f t="shared" ref="AA137:AA145" si="114">$B117+($C117-$B117)*(1-AP117)</f>
        <v>3500000</v>
      </c>
      <c r="AB137" s="62">
        <f t="shared" ref="AB137:AB145" si="115">$B117+($C117-$B117)*(1-AQ117)</f>
        <v>3500000</v>
      </c>
      <c r="AC137" s="62">
        <f t="shared" ref="AC137:AC145" si="116">$B117+($C117-$B117)*(1-AR117)</f>
        <v>3500000</v>
      </c>
    </row>
    <row r="138" spans="1:44" x14ac:dyDescent="0.25">
      <c r="A138" s="30" t="str">
        <f t="shared" si="88"/>
        <v>Residual value (vehicle)</v>
      </c>
      <c r="B138" s="62">
        <f t="shared" si="89"/>
        <v>-520379.25155119307</v>
      </c>
      <c r="C138" s="62">
        <f t="shared" si="90"/>
        <v>-518400.78417000384</v>
      </c>
      <c r="D138" s="62">
        <f t="shared" si="91"/>
        <v>-515591.64410555211</v>
      </c>
      <c r="E138" s="62">
        <f t="shared" si="92"/>
        <v>-511621.1945655747</v>
      </c>
      <c r="F138" s="62">
        <f t="shared" si="93"/>
        <v>-506046.75504428975</v>
      </c>
      <c r="G138" s="62">
        <f t="shared" si="94"/>
        <v>-498296.26052549522</v>
      </c>
      <c r="H138" s="62">
        <f t="shared" si="95"/>
        <v>-487670.62248680455</v>
      </c>
      <c r="I138" s="62">
        <f t="shared" si="96"/>
        <v>-473390.90356014454</v>
      </c>
      <c r="J138" s="62">
        <f t="shared" si="97"/>
        <v>-454724.55228418356</v>
      </c>
      <c r="K138" s="62">
        <f t="shared" si="98"/>
        <v>-431217.43787497684</v>
      </c>
      <c r="L138" s="62">
        <f t="shared" si="99"/>
        <v>-403009.57535575342</v>
      </c>
      <c r="M138" s="62">
        <f t="shared" si="100"/>
        <v>-371112.8675829735</v>
      </c>
      <c r="N138" s="62">
        <f t="shared" si="101"/>
        <v>-337439.64405614871</v>
      </c>
      <c r="O138" s="62">
        <f t="shared" si="102"/>
        <v>-304429.04658433376</v>
      </c>
      <c r="P138" s="62">
        <f t="shared" si="103"/>
        <v>-274378.82023030921</v>
      </c>
      <c r="Q138" s="62">
        <f t="shared" si="104"/>
        <v>-248840.40706391208</v>
      </c>
      <c r="R138" s="62">
        <f t="shared" si="105"/>
        <v>-228388.71178829367</v>
      </c>
      <c r="S138" s="62">
        <f t="shared" si="106"/>
        <v>-212783.16058198496</v>
      </c>
      <c r="T138" s="62">
        <f t="shared" si="107"/>
        <v>-201311.8288783321</v>
      </c>
      <c r="U138" s="62">
        <f t="shared" si="108"/>
        <v>-193109.99266212579</v>
      </c>
      <c r="V138" s="62">
        <f t="shared" si="109"/>
        <v>-187361.71671887109</v>
      </c>
      <c r="W138" s="62">
        <f t="shared" si="110"/>
        <v>-183389.30472543038</v>
      </c>
      <c r="X138" s="62">
        <f t="shared" si="111"/>
        <v>-180670.78524543642</v>
      </c>
      <c r="Y138" s="62">
        <f t="shared" si="112"/>
        <v>-178822.78419743793</v>
      </c>
      <c r="Z138" s="62">
        <f t="shared" si="113"/>
        <v>-177572.26245171315</v>
      </c>
      <c r="AA138" s="62">
        <f t="shared" si="114"/>
        <v>-176728.659176477</v>
      </c>
      <c r="AB138" s="62">
        <f t="shared" si="115"/>
        <v>-176160.74964225345</v>
      </c>
      <c r="AC138" s="62">
        <f t="shared" si="116"/>
        <v>-175778.97267513379</v>
      </c>
    </row>
    <row r="139" spans="1:44" x14ac:dyDescent="0.25">
      <c r="A139" s="30" t="str">
        <f t="shared" si="88"/>
        <v>Capex costumization</v>
      </c>
      <c r="B139" s="62">
        <f t="shared" si="89"/>
        <v>5600000</v>
      </c>
      <c r="C139" s="62">
        <f t="shared" si="90"/>
        <v>5600000</v>
      </c>
      <c r="D139" s="62">
        <f t="shared" si="91"/>
        <v>5600000</v>
      </c>
      <c r="E139" s="62">
        <f t="shared" si="92"/>
        <v>5600000</v>
      </c>
      <c r="F139" s="62">
        <f t="shared" si="93"/>
        <v>5600000</v>
      </c>
      <c r="G139" s="62">
        <f t="shared" si="94"/>
        <v>5600000</v>
      </c>
      <c r="H139" s="62">
        <f t="shared" si="95"/>
        <v>5600000</v>
      </c>
      <c r="I139" s="62">
        <f t="shared" si="96"/>
        <v>5600000</v>
      </c>
      <c r="J139" s="62">
        <f t="shared" si="97"/>
        <v>5600000</v>
      </c>
      <c r="K139" s="62">
        <f t="shared" si="98"/>
        <v>5600000</v>
      </c>
      <c r="L139" s="62">
        <f t="shared" si="99"/>
        <v>5600000</v>
      </c>
      <c r="M139" s="62">
        <f t="shared" si="100"/>
        <v>5600000</v>
      </c>
      <c r="N139" s="62">
        <f t="shared" si="101"/>
        <v>5600000</v>
      </c>
      <c r="O139" s="62">
        <f t="shared" si="102"/>
        <v>5600000</v>
      </c>
      <c r="P139" s="62">
        <f t="shared" si="103"/>
        <v>5600000</v>
      </c>
      <c r="Q139" s="62">
        <f t="shared" si="104"/>
        <v>5600000</v>
      </c>
      <c r="R139" s="62">
        <f t="shared" si="105"/>
        <v>5600000</v>
      </c>
      <c r="S139" s="62">
        <f t="shared" si="106"/>
        <v>5600000</v>
      </c>
      <c r="T139" s="62">
        <f t="shared" si="107"/>
        <v>5600000</v>
      </c>
      <c r="U139" s="62">
        <f t="shared" si="108"/>
        <v>5600000</v>
      </c>
      <c r="V139" s="62">
        <f t="shared" si="109"/>
        <v>5600000</v>
      </c>
      <c r="W139" s="62">
        <f t="shared" si="110"/>
        <v>5600000</v>
      </c>
      <c r="X139" s="62">
        <f t="shared" si="111"/>
        <v>5600000</v>
      </c>
      <c r="Y139" s="62">
        <f t="shared" si="112"/>
        <v>5600000</v>
      </c>
      <c r="Z139" s="62">
        <f t="shared" si="113"/>
        <v>5600000</v>
      </c>
      <c r="AA139" s="62">
        <f t="shared" si="114"/>
        <v>5600000</v>
      </c>
      <c r="AB139" s="62">
        <f t="shared" si="115"/>
        <v>5600000</v>
      </c>
      <c r="AC139" s="62">
        <f t="shared" si="116"/>
        <v>5600000</v>
      </c>
    </row>
    <row r="140" spans="1:44" x14ac:dyDescent="0.25">
      <c r="A140" s="30" t="str">
        <f t="shared" si="88"/>
        <v>Residual value (costumization)</v>
      </c>
      <c r="B140" s="62">
        <f t="shared" si="89"/>
        <v>-280000</v>
      </c>
      <c r="C140" s="62">
        <f t="shared" si="90"/>
        <v>-280000</v>
      </c>
      <c r="D140" s="62">
        <f t="shared" si="91"/>
        <v>-280000</v>
      </c>
      <c r="E140" s="62">
        <f t="shared" si="92"/>
        <v>-280000</v>
      </c>
      <c r="F140" s="62">
        <f t="shared" si="93"/>
        <v>-280000</v>
      </c>
      <c r="G140" s="62">
        <f t="shared" si="94"/>
        <v>-280000</v>
      </c>
      <c r="H140" s="62">
        <f t="shared" si="95"/>
        <v>-280000</v>
      </c>
      <c r="I140" s="62">
        <f t="shared" si="96"/>
        <v>-280000</v>
      </c>
      <c r="J140" s="62">
        <f t="shared" si="97"/>
        <v>-280000</v>
      </c>
      <c r="K140" s="62">
        <f t="shared" si="98"/>
        <v>-280000</v>
      </c>
      <c r="L140" s="62">
        <f t="shared" si="99"/>
        <v>-280000</v>
      </c>
      <c r="M140" s="62">
        <f t="shared" si="100"/>
        <v>-280000</v>
      </c>
      <c r="N140" s="62">
        <f t="shared" si="101"/>
        <v>-280000</v>
      </c>
      <c r="O140" s="62">
        <f t="shared" si="102"/>
        <v>-280000</v>
      </c>
      <c r="P140" s="62">
        <f t="shared" si="103"/>
        <v>-280000</v>
      </c>
      <c r="Q140" s="62">
        <f t="shared" si="104"/>
        <v>-280000</v>
      </c>
      <c r="R140" s="62">
        <f t="shared" si="105"/>
        <v>-280000</v>
      </c>
      <c r="S140" s="62">
        <f t="shared" si="106"/>
        <v>-280000</v>
      </c>
      <c r="T140" s="62">
        <f t="shared" si="107"/>
        <v>-280000</v>
      </c>
      <c r="U140" s="62">
        <f t="shared" si="108"/>
        <v>-280000</v>
      </c>
      <c r="V140" s="62">
        <f t="shared" si="109"/>
        <v>-280000</v>
      </c>
      <c r="W140" s="62">
        <f t="shared" si="110"/>
        <v>-280000</v>
      </c>
      <c r="X140" s="62">
        <f t="shared" si="111"/>
        <v>-280000</v>
      </c>
      <c r="Y140" s="62">
        <f t="shared" si="112"/>
        <v>-280000</v>
      </c>
      <c r="Z140" s="62">
        <f t="shared" si="113"/>
        <v>-280000</v>
      </c>
      <c r="AA140" s="62">
        <f t="shared" si="114"/>
        <v>-280000</v>
      </c>
      <c r="AB140" s="62">
        <f t="shared" si="115"/>
        <v>-280000</v>
      </c>
      <c r="AC140" s="62">
        <f t="shared" si="116"/>
        <v>-280000</v>
      </c>
    </row>
    <row r="141" spans="1:44" x14ac:dyDescent="0.25">
      <c r="A141" s="30" t="str">
        <f t="shared" si="88"/>
        <v>WACC</v>
      </c>
      <c r="B141" s="62">
        <f t="shared" si="89"/>
        <v>0.06</v>
      </c>
      <c r="C141" s="62">
        <f t="shared" si="90"/>
        <v>0.06</v>
      </c>
      <c r="D141" s="62">
        <f t="shared" si="91"/>
        <v>0.06</v>
      </c>
      <c r="E141" s="62">
        <f t="shared" si="92"/>
        <v>0.06</v>
      </c>
      <c r="F141" s="62">
        <f t="shared" si="93"/>
        <v>0.06</v>
      </c>
      <c r="G141" s="62">
        <f t="shared" si="94"/>
        <v>0.06</v>
      </c>
      <c r="H141" s="62">
        <f t="shared" si="95"/>
        <v>0.06</v>
      </c>
      <c r="I141" s="62">
        <f t="shared" si="96"/>
        <v>0.06</v>
      </c>
      <c r="J141" s="62">
        <f t="shared" si="97"/>
        <v>0.06</v>
      </c>
      <c r="K141" s="62">
        <f t="shared" si="98"/>
        <v>0.06</v>
      </c>
      <c r="L141" s="62">
        <f t="shared" si="99"/>
        <v>0.06</v>
      </c>
      <c r="M141" s="62">
        <f t="shared" si="100"/>
        <v>0.06</v>
      </c>
      <c r="N141" s="62">
        <f t="shared" si="101"/>
        <v>0.06</v>
      </c>
      <c r="O141" s="62">
        <f t="shared" si="102"/>
        <v>0.06</v>
      </c>
      <c r="P141" s="62">
        <f t="shared" si="103"/>
        <v>0.06</v>
      </c>
      <c r="Q141" s="62">
        <f t="shared" si="104"/>
        <v>0.06</v>
      </c>
      <c r="R141" s="62">
        <f t="shared" si="105"/>
        <v>0.06</v>
      </c>
      <c r="S141" s="62">
        <f t="shared" si="106"/>
        <v>0.06</v>
      </c>
      <c r="T141" s="62">
        <f t="shared" si="107"/>
        <v>0.06</v>
      </c>
      <c r="U141" s="62">
        <f t="shared" si="108"/>
        <v>0.06</v>
      </c>
      <c r="V141" s="62">
        <f t="shared" si="109"/>
        <v>0.06</v>
      </c>
      <c r="W141" s="62">
        <f t="shared" si="110"/>
        <v>0.06</v>
      </c>
      <c r="X141" s="62">
        <f t="shared" si="111"/>
        <v>0.06</v>
      </c>
      <c r="Y141" s="62">
        <f t="shared" si="112"/>
        <v>0.06</v>
      </c>
      <c r="Z141" s="62">
        <f t="shared" si="113"/>
        <v>0.06</v>
      </c>
      <c r="AA141" s="62">
        <f t="shared" si="114"/>
        <v>0.06</v>
      </c>
      <c r="AB141" s="62">
        <f t="shared" si="115"/>
        <v>0.06</v>
      </c>
      <c r="AC141" s="62">
        <f t="shared" si="116"/>
        <v>0.06</v>
      </c>
    </row>
    <row r="142" spans="1:44" x14ac:dyDescent="0.25">
      <c r="A142" s="30" t="str">
        <f t="shared" si="88"/>
        <v>Opex fix (admin, crew, insurance)</v>
      </c>
      <c r="B142" s="62">
        <f t="shared" si="89"/>
        <v>620000</v>
      </c>
      <c r="C142" s="62">
        <f t="shared" si="90"/>
        <v>620000</v>
      </c>
      <c r="D142" s="62">
        <f t="shared" si="91"/>
        <v>620000</v>
      </c>
      <c r="E142" s="62">
        <f t="shared" si="92"/>
        <v>620000</v>
      </c>
      <c r="F142" s="62">
        <f t="shared" si="93"/>
        <v>620000</v>
      </c>
      <c r="G142" s="62">
        <f t="shared" si="94"/>
        <v>620000</v>
      </c>
      <c r="H142" s="62">
        <f t="shared" si="95"/>
        <v>620000</v>
      </c>
      <c r="I142" s="62">
        <f t="shared" si="96"/>
        <v>620000</v>
      </c>
      <c r="J142" s="62">
        <f t="shared" si="97"/>
        <v>620000</v>
      </c>
      <c r="K142" s="62">
        <f t="shared" si="98"/>
        <v>620000</v>
      </c>
      <c r="L142" s="62">
        <f t="shared" si="99"/>
        <v>620000</v>
      </c>
      <c r="M142" s="62">
        <f t="shared" si="100"/>
        <v>620000</v>
      </c>
      <c r="N142" s="62">
        <f t="shared" si="101"/>
        <v>620000</v>
      </c>
      <c r="O142" s="62">
        <f t="shared" si="102"/>
        <v>620000</v>
      </c>
      <c r="P142" s="62">
        <f t="shared" si="103"/>
        <v>620000</v>
      </c>
      <c r="Q142" s="62">
        <f t="shared" si="104"/>
        <v>620000</v>
      </c>
      <c r="R142" s="62">
        <f t="shared" si="105"/>
        <v>620000</v>
      </c>
      <c r="S142" s="62">
        <f t="shared" si="106"/>
        <v>620000</v>
      </c>
      <c r="T142" s="62">
        <f t="shared" si="107"/>
        <v>620000</v>
      </c>
      <c r="U142" s="62">
        <f t="shared" si="108"/>
        <v>620000</v>
      </c>
      <c r="V142" s="62">
        <f t="shared" si="109"/>
        <v>620000</v>
      </c>
      <c r="W142" s="62">
        <f t="shared" si="110"/>
        <v>620000</v>
      </c>
      <c r="X142" s="62">
        <f t="shared" si="111"/>
        <v>620000</v>
      </c>
      <c r="Y142" s="62">
        <f t="shared" si="112"/>
        <v>620000</v>
      </c>
      <c r="Z142" s="62">
        <f t="shared" si="113"/>
        <v>620000</v>
      </c>
      <c r="AA142" s="62">
        <f t="shared" si="114"/>
        <v>620000</v>
      </c>
      <c r="AB142" s="62">
        <f t="shared" si="115"/>
        <v>620000</v>
      </c>
      <c r="AC142" s="62">
        <f t="shared" si="116"/>
        <v>620000</v>
      </c>
    </row>
    <row r="143" spans="1:44" x14ac:dyDescent="0.25">
      <c r="A143" s="30" t="str">
        <f t="shared" si="88"/>
        <v>Opex maintenance &amp; repair</v>
      </c>
      <c r="B143" s="62">
        <f t="shared" si="89"/>
        <v>1050000</v>
      </c>
      <c r="C143" s="62">
        <f t="shared" si="90"/>
        <v>1050000</v>
      </c>
      <c r="D143" s="62">
        <f t="shared" si="91"/>
        <v>1050000</v>
      </c>
      <c r="E143" s="62">
        <f t="shared" si="92"/>
        <v>1050000</v>
      </c>
      <c r="F143" s="62">
        <f t="shared" si="93"/>
        <v>1050000</v>
      </c>
      <c r="G143" s="62">
        <f t="shared" si="94"/>
        <v>1050000</v>
      </c>
      <c r="H143" s="62">
        <f t="shared" si="95"/>
        <v>1050000</v>
      </c>
      <c r="I143" s="62">
        <f t="shared" si="96"/>
        <v>1050000</v>
      </c>
      <c r="J143" s="62">
        <f t="shared" si="97"/>
        <v>1050000</v>
      </c>
      <c r="K143" s="62">
        <f t="shared" si="98"/>
        <v>1050000</v>
      </c>
      <c r="L143" s="62">
        <f t="shared" si="99"/>
        <v>1050000</v>
      </c>
      <c r="M143" s="62">
        <f t="shared" si="100"/>
        <v>1050000</v>
      </c>
      <c r="N143" s="62">
        <f t="shared" si="101"/>
        <v>1050000</v>
      </c>
      <c r="O143" s="62">
        <f t="shared" si="102"/>
        <v>1050000</v>
      </c>
      <c r="P143" s="62">
        <f t="shared" si="103"/>
        <v>1050000</v>
      </c>
      <c r="Q143" s="62">
        <f t="shared" si="104"/>
        <v>1050000</v>
      </c>
      <c r="R143" s="62">
        <f t="shared" si="105"/>
        <v>1050000</v>
      </c>
      <c r="S143" s="62">
        <f t="shared" si="106"/>
        <v>1050000</v>
      </c>
      <c r="T143" s="62">
        <f t="shared" si="107"/>
        <v>1050000</v>
      </c>
      <c r="U143" s="62">
        <f t="shared" si="108"/>
        <v>1050000</v>
      </c>
      <c r="V143" s="62">
        <f t="shared" si="109"/>
        <v>1050000</v>
      </c>
      <c r="W143" s="62">
        <f t="shared" si="110"/>
        <v>1050000</v>
      </c>
      <c r="X143" s="62">
        <f t="shared" si="111"/>
        <v>1050000</v>
      </c>
      <c r="Y143" s="62">
        <f t="shared" si="112"/>
        <v>1050000</v>
      </c>
      <c r="Z143" s="62">
        <f t="shared" si="113"/>
        <v>1050000</v>
      </c>
      <c r="AA143" s="62">
        <f t="shared" si="114"/>
        <v>1050000</v>
      </c>
      <c r="AB143" s="62">
        <f t="shared" si="115"/>
        <v>1050000</v>
      </c>
      <c r="AC143" s="62">
        <f t="shared" si="116"/>
        <v>1050000</v>
      </c>
    </row>
    <row r="144" spans="1:44" x14ac:dyDescent="0.25">
      <c r="A144" s="30" t="str">
        <f t="shared" si="88"/>
        <v>Opex var (mode-fees, shunting)</v>
      </c>
      <c r="B144" s="62">
        <f t="shared" si="89"/>
        <v>3.6414565826330532</v>
      </c>
      <c r="C144" s="62">
        <f t="shared" si="90"/>
        <v>3.6414565826330532</v>
      </c>
      <c r="D144" s="62">
        <f t="shared" si="91"/>
        <v>3.6414565826330532</v>
      </c>
      <c r="E144" s="62">
        <f t="shared" si="92"/>
        <v>3.6414565826330532</v>
      </c>
      <c r="F144" s="62">
        <f t="shared" si="93"/>
        <v>3.6414565826330532</v>
      </c>
      <c r="G144" s="62">
        <f t="shared" si="94"/>
        <v>3.6414565826330532</v>
      </c>
      <c r="H144" s="62">
        <f t="shared" si="95"/>
        <v>3.6414565826330532</v>
      </c>
      <c r="I144" s="62">
        <f t="shared" si="96"/>
        <v>3.6414565826330532</v>
      </c>
      <c r="J144" s="62">
        <f t="shared" si="97"/>
        <v>3.6414565826330532</v>
      </c>
      <c r="K144" s="62">
        <f t="shared" si="98"/>
        <v>3.6414565826330532</v>
      </c>
      <c r="L144" s="62">
        <f t="shared" si="99"/>
        <v>3.6414565826330532</v>
      </c>
      <c r="M144" s="62">
        <f t="shared" si="100"/>
        <v>3.6414565826330532</v>
      </c>
      <c r="N144" s="62">
        <f t="shared" si="101"/>
        <v>3.6414565826330532</v>
      </c>
      <c r="O144" s="62">
        <f t="shared" si="102"/>
        <v>3.6414565826330532</v>
      </c>
      <c r="P144" s="62">
        <f t="shared" si="103"/>
        <v>3.6414565826330532</v>
      </c>
      <c r="Q144" s="62">
        <f t="shared" si="104"/>
        <v>3.6414565826330532</v>
      </c>
      <c r="R144" s="62">
        <f t="shared" si="105"/>
        <v>3.6414565826330532</v>
      </c>
      <c r="S144" s="62">
        <f t="shared" si="106"/>
        <v>3.6414565826330532</v>
      </c>
      <c r="T144" s="62">
        <f t="shared" si="107"/>
        <v>3.6414565826330532</v>
      </c>
      <c r="U144" s="62">
        <f t="shared" si="108"/>
        <v>3.6414565826330532</v>
      </c>
      <c r="V144" s="62">
        <f t="shared" si="109"/>
        <v>3.6414565826330532</v>
      </c>
      <c r="W144" s="62">
        <f t="shared" si="110"/>
        <v>3.6414565826330532</v>
      </c>
      <c r="X144" s="62">
        <f t="shared" si="111"/>
        <v>3.6414565826330532</v>
      </c>
      <c r="Y144" s="62">
        <f t="shared" si="112"/>
        <v>3.6414565826330532</v>
      </c>
      <c r="Z144" s="62">
        <f t="shared" si="113"/>
        <v>3.6414565826330532</v>
      </c>
      <c r="AA144" s="62">
        <f t="shared" si="114"/>
        <v>3.6414565826330532</v>
      </c>
      <c r="AB144" s="62">
        <f t="shared" si="115"/>
        <v>3.6414565826330532</v>
      </c>
      <c r="AC144" s="62">
        <f t="shared" si="116"/>
        <v>3.6414565826330532</v>
      </c>
    </row>
    <row r="145" spans="1:29" x14ac:dyDescent="0.25">
      <c r="A145" s="30" t="str">
        <f t="shared" si="88"/>
        <v>Fuel Economy</v>
      </c>
      <c r="B145" s="62">
        <f t="shared" si="89"/>
        <v>76.777599999999993</v>
      </c>
      <c r="C145" s="62">
        <f t="shared" si="90"/>
        <v>76.777599999999993</v>
      </c>
      <c r="D145" s="62">
        <f t="shared" si="91"/>
        <v>76.777599999999993</v>
      </c>
      <c r="E145" s="62">
        <f t="shared" si="92"/>
        <v>76.777599999999993</v>
      </c>
      <c r="F145" s="62">
        <f t="shared" si="93"/>
        <v>76.777599999999993</v>
      </c>
      <c r="G145" s="62">
        <f t="shared" si="94"/>
        <v>76.777599999999993</v>
      </c>
      <c r="H145" s="62">
        <f t="shared" si="95"/>
        <v>76.777599999999993</v>
      </c>
      <c r="I145" s="62">
        <f t="shared" si="96"/>
        <v>76.777599999999993</v>
      </c>
      <c r="J145" s="62">
        <f t="shared" si="97"/>
        <v>76.777599999999993</v>
      </c>
      <c r="K145" s="62">
        <f t="shared" si="98"/>
        <v>76.777599999999993</v>
      </c>
      <c r="L145" s="62">
        <f t="shared" si="99"/>
        <v>76.777599999999993</v>
      </c>
      <c r="M145" s="62">
        <f t="shared" si="100"/>
        <v>76.777599999999993</v>
      </c>
      <c r="N145" s="62">
        <f t="shared" si="101"/>
        <v>76.777599999999993</v>
      </c>
      <c r="O145" s="62">
        <f t="shared" si="102"/>
        <v>76.777599999999993</v>
      </c>
      <c r="P145" s="62">
        <f t="shared" si="103"/>
        <v>76.777599999999993</v>
      </c>
      <c r="Q145" s="62">
        <f t="shared" si="104"/>
        <v>76.777599999999993</v>
      </c>
      <c r="R145" s="62">
        <f t="shared" si="105"/>
        <v>76.777599999999993</v>
      </c>
      <c r="S145" s="62">
        <f t="shared" si="106"/>
        <v>76.777599999999993</v>
      </c>
      <c r="T145" s="62">
        <f t="shared" si="107"/>
        <v>76.777599999999993</v>
      </c>
      <c r="U145" s="62">
        <f t="shared" si="108"/>
        <v>76.777599999999993</v>
      </c>
      <c r="V145" s="62">
        <f t="shared" si="109"/>
        <v>76.777599999999993</v>
      </c>
      <c r="W145" s="62">
        <f t="shared" si="110"/>
        <v>76.777599999999993</v>
      </c>
      <c r="X145" s="62">
        <f t="shared" si="111"/>
        <v>76.777599999999993</v>
      </c>
      <c r="Y145" s="62">
        <f t="shared" si="112"/>
        <v>76.777599999999993</v>
      </c>
      <c r="Z145" s="62">
        <f t="shared" si="113"/>
        <v>76.777599999999993</v>
      </c>
      <c r="AA145" s="62">
        <f t="shared" si="114"/>
        <v>76.777599999999993</v>
      </c>
      <c r="AB145" s="62">
        <f t="shared" si="115"/>
        <v>76.777599999999993</v>
      </c>
      <c r="AC145" s="62">
        <f t="shared" si="116"/>
        <v>76.777599999999993</v>
      </c>
    </row>
    <row r="146" spans="1:29" x14ac:dyDescent="0.25">
      <c r="A146" s="30" t="str">
        <f t="shared" si="88"/>
        <v>Fuel Cost</v>
      </c>
      <c r="B146" s="62">
        <f>'Parameter Input'!J8</f>
        <v>5.7951260504201685E-2</v>
      </c>
      <c r="C146" s="62">
        <f>'Parameter Input'!K8</f>
        <v>5.3954621848739497E-2</v>
      </c>
      <c r="D146" s="62">
        <f>'Parameter Input'!L8</f>
        <v>4.9957983193277315E-2</v>
      </c>
      <c r="E146" s="62">
        <f>'Parameter Input'!M8</f>
        <v>4.5961344537815127E-2</v>
      </c>
      <c r="F146" s="62">
        <f>'Parameter Input'!N8</f>
        <v>4.1964705882352946E-2</v>
      </c>
      <c r="G146" s="62">
        <f>'Parameter Input'!O8</f>
        <v>3.7968067226890764E-2</v>
      </c>
      <c r="H146" s="62">
        <f>'Parameter Input'!P8</f>
        <v>3.3971428571428583E-2</v>
      </c>
      <c r="I146" s="62">
        <f>'Parameter Input'!Q8</f>
        <v>2.9974789915966391E-2</v>
      </c>
      <c r="J146" s="62">
        <f>'Parameter Input'!R8</f>
        <v>2.9368157262905165E-2</v>
      </c>
      <c r="K146" s="62">
        <f>'Parameter Input'!S8</f>
        <v>2.8761524609843939E-2</v>
      </c>
      <c r="L146" s="62">
        <f>'Parameter Input'!T8</f>
        <v>2.8154891956782713E-2</v>
      </c>
      <c r="M146" s="62">
        <f>'Parameter Input'!U8</f>
        <v>2.7548259303721487E-2</v>
      </c>
      <c r="N146" s="62">
        <f>'Parameter Input'!V8</f>
        <v>2.6941626650660268E-2</v>
      </c>
      <c r="O146" s="62">
        <f>'Parameter Input'!W8</f>
        <v>2.6334993997599043E-2</v>
      </c>
      <c r="P146" s="62">
        <f>'Parameter Input'!X8</f>
        <v>2.5728361344537817E-2</v>
      </c>
      <c r="Q146" s="62">
        <f>'Parameter Input'!Y8</f>
        <v>2.5121728691476591E-2</v>
      </c>
      <c r="R146" s="62">
        <f>'Parameter Input'!Z8</f>
        <v>2.4515096038415365E-2</v>
      </c>
      <c r="S146" s="62">
        <f>'Parameter Input'!AA8</f>
        <v>2.3908463385354146E-2</v>
      </c>
      <c r="T146" s="62">
        <f>'Parameter Input'!AB8</f>
        <v>2.330183073229292E-2</v>
      </c>
      <c r="U146" s="62">
        <f>'Parameter Input'!AC8</f>
        <v>2.2695198079231694E-2</v>
      </c>
      <c r="V146" s="62">
        <f>'Parameter Input'!AD8</f>
        <v>2.2088565426170468E-2</v>
      </c>
      <c r="W146" s="62">
        <f>'Parameter Input'!AE8</f>
        <v>2.1481932773109242E-2</v>
      </c>
      <c r="X146" s="62">
        <f>'Parameter Input'!AF8</f>
        <v>2.0875300120048023E-2</v>
      </c>
      <c r="Y146" s="62">
        <f>'Parameter Input'!AG8</f>
        <v>2.0268667466986797E-2</v>
      </c>
      <c r="Z146" s="62">
        <f>'Parameter Input'!AH8</f>
        <v>1.9662034813925571E-2</v>
      </c>
      <c r="AA146" s="62">
        <f>'Parameter Input'!AI8</f>
        <v>1.9055402160864345E-2</v>
      </c>
      <c r="AB146" s="62">
        <f>'Parameter Input'!AJ8</f>
        <v>1.8448769507803119E-2</v>
      </c>
      <c r="AC146" s="62">
        <f>'Parameter Input'!AK8</f>
        <v>1.78421368547419E-2</v>
      </c>
    </row>
    <row r="147" spans="1:29" x14ac:dyDescent="0.25">
      <c r="A147" s="30" t="str">
        <f t="shared" si="88"/>
        <v>Emission Cost</v>
      </c>
      <c r="B147" s="66">
        <f>$B127+($C127-$B127)*(1-Q127)</f>
        <v>0</v>
      </c>
      <c r="C147" s="66">
        <f t="shared" ref="C147:AC147" si="117">$B127+($C127-$B127)*(1-R127)</f>
        <v>0</v>
      </c>
      <c r="D147" s="66">
        <f t="shared" si="117"/>
        <v>0</v>
      </c>
      <c r="E147" s="66">
        <f t="shared" si="117"/>
        <v>0</v>
      </c>
      <c r="F147" s="66">
        <f t="shared" si="117"/>
        <v>0</v>
      </c>
      <c r="G147" s="66">
        <f t="shared" si="117"/>
        <v>0</v>
      </c>
      <c r="H147" s="66">
        <f t="shared" si="117"/>
        <v>0</v>
      </c>
      <c r="I147" s="66">
        <f t="shared" si="117"/>
        <v>0</v>
      </c>
      <c r="J147" s="66">
        <f t="shared" si="117"/>
        <v>0</v>
      </c>
      <c r="K147" s="66">
        <f t="shared" si="117"/>
        <v>0</v>
      </c>
      <c r="L147" s="66">
        <f t="shared" si="117"/>
        <v>0</v>
      </c>
      <c r="M147" s="66">
        <f t="shared" si="117"/>
        <v>0</v>
      </c>
      <c r="N147" s="66">
        <f t="shared" si="117"/>
        <v>0</v>
      </c>
      <c r="O147" s="66">
        <f t="shared" si="117"/>
        <v>0</v>
      </c>
      <c r="P147" s="66">
        <f t="shared" si="117"/>
        <v>0</v>
      </c>
      <c r="Q147" s="66">
        <f t="shared" si="117"/>
        <v>0</v>
      </c>
      <c r="R147" s="66">
        <f t="shared" si="117"/>
        <v>0</v>
      </c>
      <c r="S147" s="66">
        <f t="shared" si="117"/>
        <v>0</v>
      </c>
      <c r="T147" s="66">
        <f t="shared" si="117"/>
        <v>0</v>
      </c>
      <c r="U147" s="66">
        <f t="shared" si="117"/>
        <v>0</v>
      </c>
      <c r="V147" s="66">
        <f t="shared" si="117"/>
        <v>0</v>
      </c>
      <c r="W147" s="66">
        <f t="shared" si="117"/>
        <v>0</v>
      </c>
      <c r="X147" s="66">
        <f t="shared" si="117"/>
        <v>0</v>
      </c>
      <c r="Y147" s="66">
        <f t="shared" si="117"/>
        <v>0</v>
      </c>
      <c r="Z147" s="66">
        <f t="shared" si="117"/>
        <v>0</v>
      </c>
      <c r="AA147" s="66">
        <f t="shared" si="117"/>
        <v>0</v>
      </c>
      <c r="AB147" s="66">
        <f t="shared" si="117"/>
        <v>0</v>
      </c>
      <c r="AC147" s="66">
        <f t="shared" si="117"/>
        <v>0</v>
      </c>
    </row>
    <row r="148" spans="1:29" x14ac:dyDescent="0.25">
      <c r="A148" s="30" t="str">
        <f t="shared" si="88"/>
        <v>Lifetime vehicle</v>
      </c>
      <c r="B148" s="62">
        <f>$B128+($C128-$B128)*(1-Q128)</f>
        <v>20</v>
      </c>
      <c r="C148" s="62">
        <f t="shared" ref="C148:L150" si="118">$B128+($C128-$B128)*(1-R128)</f>
        <v>20</v>
      </c>
      <c r="D148" s="62">
        <f t="shared" si="118"/>
        <v>20</v>
      </c>
      <c r="E148" s="62">
        <f t="shared" si="118"/>
        <v>20</v>
      </c>
      <c r="F148" s="62">
        <f t="shared" si="118"/>
        <v>20</v>
      </c>
      <c r="G148" s="62">
        <f t="shared" si="118"/>
        <v>20</v>
      </c>
      <c r="H148" s="62">
        <f t="shared" si="118"/>
        <v>20</v>
      </c>
      <c r="I148" s="62">
        <f t="shared" si="118"/>
        <v>20</v>
      </c>
      <c r="J148" s="62">
        <f t="shared" si="118"/>
        <v>20</v>
      </c>
      <c r="K148" s="62">
        <f t="shared" si="118"/>
        <v>20</v>
      </c>
      <c r="L148" s="62">
        <f t="shared" si="118"/>
        <v>20</v>
      </c>
      <c r="M148" s="62">
        <f t="shared" ref="M148:V150" si="119">$B128+($C128-$B128)*(1-AB128)</f>
        <v>20</v>
      </c>
      <c r="N148" s="62">
        <f t="shared" si="119"/>
        <v>20</v>
      </c>
      <c r="O148" s="62">
        <f t="shared" si="119"/>
        <v>20</v>
      </c>
      <c r="P148" s="62">
        <f t="shared" si="119"/>
        <v>20</v>
      </c>
      <c r="Q148" s="62">
        <f t="shared" si="119"/>
        <v>20</v>
      </c>
      <c r="R148" s="62">
        <f t="shared" si="119"/>
        <v>20</v>
      </c>
      <c r="S148" s="62">
        <f t="shared" si="119"/>
        <v>20</v>
      </c>
      <c r="T148" s="62">
        <f t="shared" si="119"/>
        <v>20</v>
      </c>
      <c r="U148" s="62">
        <f t="shared" si="119"/>
        <v>20</v>
      </c>
      <c r="V148" s="62">
        <f t="shared" si="119"/>
        <v>20</v>
      </c>
      <c r="W148" s="62">
        <f t="shared" ref="W148:AC150" si="120">$B128+($C128-$B128)*(1-AL128)</f>
        <v>20</v>
      </c>
      <c r="X148" s="62">
        <f t="shared" si="120"/>
        <v>20</v>
      </c>
      <c r="Y148" s="62">
        <f t="shared" si="120"/>
        <v>20</v>
      </c>
      <c r="Z148" s="62">
        <f t="shared" si="120"/>
        <v>20</v>
      </c>
      <c r="AA148" s="62">
        <f t="shared" si="120"/>
        <v>20</v>
      </c>
      <c r="AB148" s="62">
        <f t="shared" si="120"/>
        <v>20</v>
      </c>
      <c r="AC148" s="62">
        <f t="shared" si="120"/>
        <v>20</v>
      </c>
    </row>
    <row r="149" spans="1:29" x14ac:dyDescent="0.25">
      <c r="A149" s="30" t="str">
        <f t="shared" si="88"/>
        <v>Lifetime costumization</v>
      </c>
      <c r="B149" s="62">
        <f>$B129+($C129-$B129)*(1-Q129)</f>
        <v>30</v>
      </c>
      <c r="C149" s="62">
        <f t="shared" si="118"/>
        <v>30</v>
      </c>
      <c r="D149" s="62">
        <f t="shared" si="118"/>
        <v>30</v>
      </c>
      <c r="E149" s="62">
        <f t="shared" si="118"/>
        <v>30</v>
      </c>
      <c r="F149" s="62">
        <f t="shared" si="118"/>
        <v>30</v>
      </c>
      <c r="G149" s="62">
        <f t="shared" si="118"/>
        <v>30</v>
      </c>
      <c r="H149" s="62">
        <f t="shared" si="118"/>
        <v>30</v>
      </c>
      <c r="I149" s="62">
        <f t="shared" si="118"/>
        <v>30</v>
      </c>
      <c r="J149" s="62">
        <f t="shared" si="118"/>
        <v>30</v>
      </c>
      <c r="K149" s="62">
        <f t="shared" si="118"/>
        <v>30</v>
      </c>
      <c r="L149" s="62">
        <f t="shared" si="118"/>
        <v>30</v>
      </c>
      <c r="M149" s="62">
        <f t="shared" si="119"/>
        <v>30</v>
      </c>
      <c r="N149" s="62">
        <f t="shared" si="119"/>
        <v>30</v>
      </c>
      <c r="O149" s="62">
        <f t="shared" si="119"/>
        <v>30</v>
      </c>
      <c r="P149" s="62">
        <f t="shared" si="119"/>
        <v>30</v>
      </c>
      <c r="Q149" s="62">
        <f t="shared" si="119"/>
        <v>30</v>
      </c>
      <c r="R149" s="62">
        <f t="shared" si="119"/>
        <v>30</v>
      </c>
      <c r="S149" s="62">
        <f t="shared" si="119"/>
        <v>30</v>
      </c>
      <c r="T149" s="62">
        <f t="shared" si="119"/>
        <v>30</v>
      </c>
      <c r="U149" s="62">
        <f t="shared" si="119"/>
        <v>30</v>
      </c>
      <c r="V149" s="62">
        <f t="shared" si="119"/>
        <v>30</v>
      </c>
      <c r="W149" s="62">
        <f t="shared" si="120"/>
        <v>30</v>
      </c>
      <c r="X149" s="62">
        <f t="shared" si="120"/>
        <v>30</v>
      </c>
      <c r="Y149" s="62">
        <f t="shared" si="120"/>
        <v>30</v>
      </c>
      <c r="Z149" s="62">
        <f t="shared" si="120"/>
        <v>30</v>
      </c>
      <c r="AA149" s="62">
        <f t="shared" si="120"/>
        <v>30</v>
      </c>
      <c r="AB149" s="62">
        <f t="shared" si="120"/>
        <v>30</v>
      </c>
      <c r="AC149" s="62">
        <f t="shared" si="120"/>
        <v>30</v>
      </c>
    </row>
    <row r="150" spans="1:29" x14ac:dyDescent="0.25">
      <c r="A150" s="30" t="str">
        <f t="shared" si="88"/>
        <v>Tonnage .</v>
      </c>
      <c r="B150" s="62">
        <f>$B130+($C130-$B130)*(1-Q130)</f>
        <v>2240</v>
      </c>
      <c r="C150" s="62">
        <f t="shared" si="118"/>
        <v>2240</v>
      </c>
      <c r="D150" s="62">
        <f t="shared" si="118"/>
        <v>2240</v>
      </c>
      <c r="E150" s="62">
        <f t="shared" si="118"/>
        <v>2240</v>
      </c>
      <c r="F150" s="62">
        <f t="shared" si="118"/>
        <v>2240</v>
      </c>
      <c r="G150" s="62">
        <f t="shared" si="118"/>
        <v>2240</v>
      </c>
      <c r="H150" s="62">
        <f t="shared" si="118"/>
        <v>2240</v>
      </c>
      <c r="I150" s="62">
        <f t="shared" si="118"/>
        <v>2240</v>
      </c>
      <c r="J150" s="62">
        <f t="shared" si="118"/>
        <v>2240</v>
      </c>
      <c r="K150" s="62">
        <f t="shared" si="118"/>
        <v>2240</v>
      </c>
      <c r="L150" s="62">
        <f t="shared" si="118"/>
        <v>2240</v>
      </c>
      <c r="M150" s="62">
        <f t="shared" si="119"/>
        <v>2240</v>
      </c>
      <c r="N150" s="62">
        <f t="shared" si="119"/>
        <v>2240</v>
      </c>
      <c r="O150" s="62">
        <f t="shared" si="119"/>
        <v>2240</v>
      </c>
      <c r="P150" s="62">
        <f t="shared" si="119"/>
        <v>2240</v>
      </c>
      <c r="Q150" s="62">
        <f t="shared" si="119"/>
        <v>2240</v>
      </c>
      <c r="R150" s="62">
        <f t="shared" si="119"/>
        <v>2240</v>
      </c>
      <c r="S150" s="62">
        <f t="shared" si="119"/>
        <v>2240</v>
      </c>
      <c r="T150" s="62">
        <f t="shared" si="119"/>
        <v>2240</v>
      </c>
      <c r="U150" s="62">
        <f t="shared" si="119"/>
        <v>2240</v>
      </c>
      <c r="V150" s="62">
        <f t="shared" si="119"/>
        <v>2240</v>
      </c>
      <c r="W150" s="62">
        <f t="shared" si="120"/>
        <v>2240</v>
      </c>
      <c r="X150" s="62">
        <f t="shared" si="120"/>
        <v>2240</v>
      </c>
      <c r="Y150" s="62">
        <f t="shared" si="120"/>
        <v>2240</v>
      </c>
      <c r="Z150" s="62">
        <f t="shared" si="120"/>
        <v>2240</v>
      </c>
      <c r="AA150" s="62">
        <f t="shared" si="120"/>
        <v>2240</v>
      </c>
      <c r="AB150" s="62">
        <f t="shared" si="120"/>
        <v>2240</v>
      </c>
      <c r="AC150" s="62">
        <f t="shared" si="120"/>
        <v>2240</v>
      </c>
    </row>
    <row r="151" spans="1:29" x14ac:dyDescent="0.25">
      <c r="A151" s="30" t="str">
        <f t="shared" si="88"/>
        <v>Market failure (av. utilization)</v>
      </c>
      <c r="B151" s="62">
        <f t="shared" ref="B151:K152" si="121">($B131+($C131-$B131)*(1-Q131))*B$44</f>
        <v>955.73333333333335</v>
      </c>
      <c r="C151" s="62">
        <f t="shared" si="121"/>
        <v>955.73333333333335</v>
      </c>
      <c r="D151" s="62">
        <f t="shared" si="121"/>
        <v>955.73333333333335</v>
      </c>
      <c r="E151" s="62">
        <f t="shared" si="121"/>
        <v>955.73333333333335</v>
      </c>
      <c r="F151" s="62">
        <f t="shared" si="121"/>
        <v>955.73333333333335</v>
      </c>
      <c r="G151" s="62">
        <f t="shared" si="121"/>
        <v>955.73333333333335</v>
      </c>
      <c r="H151" s="62">
        <f t="shared" si="121"/>
        <v>955.73333333333335</v>
      </c>
      <c r="I151" s="62">
        <f t="shared" si="121"/>
        <v>955.73333333333335</v>
      </c>
      <c r="J151" s="62">
        <f t="shared" si="121"/>
        <v>955.73333333333335</v>
      </c>
      <c r="K151" s="62">
        <f t="shared" si="121"/>
        <v>955.73333333333335</v>
      </c>
      <c r="L151" s="62">
        <f t="shared" ref="L151:U152" si="122">($B131+($C131-$B131)*(1-AA131))*L$44</f>
        <v>955.73333333333335</v>
      </c>
      <c r="M151" s="62">
        <f t="shared" si="122"/>
        <v>955.73333333333335</v>
      </c>
      <c r="N151" s="62">
        <f t="shared" si="122"/>
        <v>955.73333333333335</v>
      </c>
      <c r="O151" s="62">
        <f t="shared" si="122"/>
        <v>955.73333333333335</v>
      </c>
      <c r="P151" s="62">
        <f t="shared" si="122"/>
        <v>955.73333333333335</v>
      </c>
      <c r="Q151" s="62">
        <f t="shared" si="122"/>
        <v>955.73333333333335</v>
      </c>
      <c r="R151" s="62">
        <f t="shared" si="122"/>
        <v>955.73333333333335</v>
      </c>
      <c r="S151" s="62">
        <f t="shared" si="122"/>
        <v>955.73333333333335</v>
      </c>
      <c r="T151" s="62">
        <f t="shared" si="122"/>
        <v>955.73333333333335</v>
      </c>
      <c r="U151" s="62">
        <f t="shared" si="122"/>
        <v>955.73333333333335</v>
      </c>
      <c r="V151" s="62">
        <f t="shared" ref="V151:AC152" si="123">($B131+($C131-$B131)*(1-AK131))*V$44</f>
        <v>955.73333333333335</v>
      </c>
      <c r="W151" s="62">
        <f t="shared" si="123"/>
        <v>955.73333333333335</v>
      </c>
      <c r="X151" s="62">
        <f t="shared" si="123"/>
        <v>955.73333333333335</v>
      </c>
      <c r="Y151" s="62">
        <f t="shared" si="123"/>
        <v>955.73333333333335</v>
      </c>
      <c r="Z151" s="62">
        <f t="shared" si="123"/>
        <v>955.73333333333335</v>
      </c>
      <c r="AA151" s="62">
        <f t="shared" si="123"/>
        <v>955.73333333333335</v>
      </c>
      <c r="AB151" s="62">
        <f t="shared" si="123"/>
        <v>955.73333333333335</v>
      </c>
      <c r="AC151" s="62">
        <f t="shared" si="123"/>
        <v>955.73333333333335</v>
      </c>
    </row>
    <row r="152" spans="1:29" x14ac:dyDescent="0.25">
      <c r="A152" s="30" t="s">
        <v>73</v>
      </c>
      <c r="B152" s="62">
        <f t="shared" si="121"/>
        <v>0</v>
      </c>
      <c r="C152" s="62">
        <f t="shared" si="121"/>
        <v>0</v>
      </c>
      <c r="D152" s="62">
        <f t="shared" si="121"/>
        <v>0</v>
      </c>
      <c r="E152" s="62">
        <f t="shared" si="121"/>
        <v>0</v>
      </c>
      <c r="F152" s="62">
        <f t="shared" si="121"/>
        <v>0</v>
      </c>
      <c r="G152" s="62">
        <f t="shared" si="121"/>
        <v>0</v>
      </c>
      <c r="H152" s="62">
        <f t="shared" si="121"/>
        <v>0</v>
      </c>
      <c r="I152" s="62">
        <f t="shared" si="121"/>
        <v>0</v>
      </c>
      <c r="J152" s="62">
        <f t="shared" si="121"/>
        <v>0</v>
      </c>
      <c r="K152" s="62">
        <f t="shared" si="121"/>
        <v>0</v>
      </c>
      <c r="L152" s="62">
        <f t="shared" si="122"/>
        <v>0</v>
      </c>
      <c r="M152" s="62">
        <f t="shared" si="122"/>
        <v>0</v>
      </c>
      <c r="N152" s="62">
        <f t="shared" si="122"/>
        <v>0</v>
      </c>
      <c r="O152" s="62">
        <f t="shared" si="122"/>
        <v>0</v>
      </c>
      <c r="P152" s="62">
        <f t="shared" si="122"/>
        <v>0</v>
      </c>
      <c r="Q152" s="62">
        <f t="shared" si="122"/>
        <v>0</v>
      </c>
      <c r="R152" s="62">
        <f t="shared" si="122"/>
        <v>0</v>
      </c>
      <c r="S152" s="62">
        <f t="shared" si="122"/>
        <v>0</v>
      </c>
      <c r="T152" s="62">
        <f t="shared" si="122"/>
        <v>0</v>
      </c>
      <c r="U152" s="62">
        <f t="shared" si="122"/>
        <v>0</v>
      </c>
      <c r="V152" s="62">
        <f t="shared" si="123"/>
        <v>0</v>
      </c>
      <c r="W152" s="62">
        <f t="shared" si="123"/>
        <v>0</v>
      </c>
      <c r="X152" s="62">
        <f t="shared" si="123"/>
        <v>0</v>
      </c>
      <c r="Y152" s="62">
        <f t="shared" si="123"/>
        <v>0</v>
      </c>
      <c r="Z152" s="62">
        <f t="shared" si="123"/>
        <v>0</v>
      </c>
      <c r="AA152" s="62">
        <f t="shared" si="123"/>
        <v>0</v>
      </c>
      <c r="AB152" s="62">
        <f t="shared" si="123"/>
        <v>0</v>
      </c>
      <c r="AC152" s="62">
        <f t="shared" si="123"/>
        <v>0</v>
      </c>
    </row>
    <row r="153" spans="1:29" x14ac:dyDescent="0.25">
      <c r="A153" s="30" t="str">
        <f>A133</f>
        <v>Annual Mileage</v>
      </c>
      <c r="B153" s="62">
        <f t="shared" ref="B153:AC153" si="124">$B133+($C133-$B133)*(1-Q133)</f>
        <v>178500</v>
      </c>
      <c r="C153" s="62">
        <f t="shared" si="124"/>
        <v>178500</v>
      </c>
      <c r="D153" s="62">
        <f t="shared" si="124"/>
        <v>178500</v>
      </c>
      <c r="E153" s="62">
        <f t="shared" si="124"/>
        <v>178500</v>
      </c>
      <c r="F153" s="62">
        <f t="shared" si="124"/>
        <v>178500</v>
      </c>
      <c r="G153" s="62">
        <f t="shared" si="124"/>
        <v>178500</v>
      </c>
      <c r="H153" s="62">
        <f t="shared" si="124"/>
        <v>178500</v>
      </c>
      <c r="I153" s="62">
        <f t="shared" si="124"/>
        <v>178500</v>
      </c>
      <c r="J153" s="62">
        <f t="shared" si="124"/>
        <v>178500</v>
      </c>
      <c r="K153" s="62">
        <f t="shared" si="124"/>
        <v>178500</v>
      </c>
      <c r="L153" s="62">
        <f t="shared" si="124"/>
        <v>178500</v>
      </c>
      <c r="M153" s="62">
        <f t="shared" si="124"/>
        <v>178500</v>
      </c>
      <c r="N153" s="62">
        <f t="shared" si="124"/>
        <v>178500</v>
      </c>
      <c r="O153" s="62">
        <f t="shared" si="124"/>
        <v>178500</v>
      </c>
      <c r="P153" s="62">
        <f t="shared" si="124"/>
        <v>178500</v>
      </c>
      <c r="Q153" s="62">
        <f t="shared" si="124"/>
        <v>178500</v>
      </c>
      <c r="R153" s="62">
        <f t="shared" si="124"/>
        <v>178500</v>
      </c>
      <c r="S153" s="62">
        <f t="shared" si="124"/>
        <v>178500</v>
      </c>
      <c r="T153" s="62">
        <f t="shared" si="124"/>
        <v>178500</v>
      </c>
      <c r="U153" s="62">
        <f t="shared" si="124"/>
        <v>178500</v>
      </c>
      <c r="V153" s="62">
        <f t="shared" si="124"/>
        <v>178500</v>
      </c>
      <c r="W153" s="62">
        <f t="shared" si="124"/>
        <v>178500</v>
      </c>
      <c r="X153" s="62">
        <f t="shared" si="124"/>
        <v>178500</v>
      </c>
      <c r="Y153" s="62">
        <f t="shared" si="124"/>
        <v>178500</v>
      </c>
      <c r="Z153" s="62">
        <f t="shared" si="124"/>
        <v>178500</v>
      </c>
      <c r="AA153" s="62">
        <f t="shared" si="124"/>
        <v>178500</v>
      </c>
      <c r="AB153" s="62">
        <f t="shared" si="124"/>
        <v>178500</v>
      </c>
      <c r="AC153" s="62">
        <f t="shared" si="12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5">((1+C141)^C148)*C141/(((1+C141)^C148)-1)*(C137)</f>
        <v>305145.94941897993</v>
      </c>
      <c r="D156" s="63">
        <f t="shared" si="125"/>
        <v>305145.94941897993</v>
      </c>
      <c r="E156" s="63">
        <f t="shared" si="125"/>
        <v>305145.94941897993</v>
      </c>
      <c r="F156" s="63">
        <f t="shared" si="125"/>
        <v>305145.94941897993</v>
      </c>
      <c r="G156" s="63">
        <f t="shared" si="125"/>
        <v>305145.94941897993</v>
      </c>
      <c r="H156" s="63">
        <f t="shared" si="125"/>
        <v>305145.94941897993</v>
      </c>
      <c r="I156" s="63">
        <f t="shared" si="125"/>
        <v>305145.94941897993</v>
      </c>
      <c r="J156" s="63">
        <f t="shared" si="125"/>
        <v>305145.94941897993</v>
      </c>
      <c r="K156" s="63">
        <f t="shared" si="125"/>
        <v>305145.94941897993</v>
      </c>
      <c r="L156" s="63">
        <f t="shared" si="125"/>
        <v>305145.94941897993</v>
      </c>
      <c r="M156" s="63">
        <f t="shared" si="125"/>
        <v>305145.94941897993</v>
      </c>
      <c r="N156" s="63">
        <f t="shared" si="125"/>
        <v>305145.94941897993</v>
      </c>
      <c r="O156" s="63">
        <f t="shared" si="125"/>
        <v>305145.94941897993</v>
      </c>
      <c r="P156" s="63">
        <f t="shared" si="125"/>
        <v>305145.94941897993</v>
      </c>
      <c r="Q156" s="63">
        <f t="shared" si="125"/>
        <v>305145.94941897993</v>
      </c>
      <c r="R156" s="63">
        <f t="shared" si="125"/>
        <v>305145.94941897993</v>
      </c>
      <c r="S156" s="63">
        <f t="shared" si="125"/>
        <v>305145.94941897993</v>
      </c>
      <c r="T156" s="63">
        <f t="shared" si="125"/>
        <v>305145.94941897993</v>
      </c>
      <c r="U156" s="63">
        <f t="shared" si="125"/>
        <v>305145.94941897993</v>
      </c>
      <c r="V156" s="63">
        <f t="shared" si="125"/>
        <v>305145.94941897993</v>
      </c>
      <c r="W156" s="63">
        <f t="shared" si="125"/>
        <v>305145.94941897993</v>
      </c>
      <c r="X156" s="63">
        <f t="shared" si="125"/>
        <v>305145.94941897993</v>
      </c>
      <c r="Y156" s="63">
        <f t="shared" si="125"/>
        <v>305145.94941897993</v>
      </c>
      <c r="Z156" s="63">
        <f t="shared" si="125"/>
        <v>305145.94941897993</v>
      </c>
      <c r="AA156" s="63">
        <f t="shared" si="125"/>
        <v>305145.94941897993</v>
      </c>
      <c r="AB156" s="63">
        <f t="shared" si="125"/>
        <v>305145.94941897993</v>
      </c>
      <c r="AC156" s="63">
        <f t="shared" si="125"/>
        <v>305145.94941897993</v>
      </c>
    </row>
    <row r="157" spans="1:29" x14ac:dyDescent="0.25">
      <c r="A157" s="30" t="str">
        <f>A138</f>
        <v>Residual value (vehicle)</v>
      </c>
      <c r="B157" s="62">
        <f>((1+B141)^B148)*B141/(((1+B141)^B148)-1)*(B138)</f>
        <v>-45369.034506436277</v>
      </c>
      <c r="C157" s="62">
        <f t="shared" ref="C157:AC157" si="126">((1+C141)^C148)*C141/(((1+C141)^C148)-1)*(C138)</f>
        <v>-45196.542704314146</v>
      </c>
      <c r="D157" s="62">
        <f t="shared" si="126"/>
        <v>-44951.629072308999</v>
      </c>
      <c r="E157" s="62">
        <f t="shared" si="126"/>
        <v>-44605.467188167124</v>
      </c>
      <c r="F157" s="62">
        <f t="shared" si="126"/>
        <v>-44119.462148109647</v>
      </c>
      <c r="G157" s="62">
        <f t="shared" si="126"/>
        <v>-43443.738717137028</v>
      </c>
      <c r="H157" s="62">
        <f t="shared" si="126"/>
        <v>-42517.347172137401</v>
      </c>
      <c r="I157" s="62">
        <f t="shared" si="126"/>
        <v>-41272.376203762586</v>
      </c>
      <c r="J157" s="62">
        <f t="shared" si="126"/>
        <v>-39644.958637393647</v>
      </c>
      <c r="K157" s="62">
        <f t="shared" si="126"/>
        <v>-37595.501281822799</v>
      </c>
      <c r="L157" s="62">
        <f t="shared" si="126"/>
        <v>-35136.211284820376</v>
      </c>
      <c r="M157" s="62">
        <f t="shared" si="126"/>
        <v>-32355.310948630464</v>
      </c>
      <c r="N157" s="62">
        <f t="shared" si="126"/>
        <v>-29419.525873461753</v>
      </c>
      <c r="O157" s="62">
        <f t="shared" si="126"/>
        <v>-26541.511557340396</v>
      </c>
      <c r="P157" s="62">
        <f t="shared" si="126"/>
        <v>-23921.595885610663</v>
      </c>
      <c r="Q157" s="62">
        <f t="shared" si="126"/>
        <v>-21695.040647806538</v>
      </c>
      <c r="R157" s="62">
        <f t="shared" si="126"/>
        <v>-19911.968655776182</v>
      </c>
      <c r="S157" s="62">
        <f t="shared" si="126"/>
        <v>-18551.40558747459</v>
      </c>
      <c r="T157" s="62">
        <f t="shared" si="126"/>
        <v>-17551.282614957105</v>
      </c>
      <c r="U157" s="62">
        <f t="shared" si="126"/>
        <v>-16836.209158050464</v>
      </c>
      <c r="V157" s="62">
        <f t="shared" si="126"/>
        <v>-16335.048266557109</v>
      </c>
      <c r="W157" s="62">
        <f t="shared" si="126"/>
        <v>-15988.715286779448</v>
      </c>
      <c r="X157" s="62">
        <f t="shared" si="126"/>
        <v>-15751.702370283236</v>
      </c>
      <c r="Y157" s="62">
        <f t="shared" si="126"/>
        <v>-15590.58521762073</v>
      </c>
      <c r="Z157" s="62">
        <f t="shared" si="126"/>
        <v>-15481.559033229796</v>
      </c>
      <c r="AA157" s="62">
        <f t="shared" si="126"/>
        <v>-15408.009855414111</v>
      </c>
      <c r="AB157" s="62">
        <f t="shared" si="126"/>
        <v>-15358.496914269901</v>
      </c>
      <c r="AC157" s="62">
        <f t="shared" si="126"/>
        <v>-15325.211858527608</v>
      </c>
    </row>
    <row r="158" spans="1:29" x14ac:dyDescent="0.25">
      <c r="A158" s="30" t="str">
        <f>A139</f>
        <v>Capex costumization</v>
      </c>
      <c r="B158" s="62">
        <f>((1+B141)^B149)*B141/(((1+B141)^B149)-1)*(B139)</f>
        <v>406833.9043442643</v>
      </c>
      <c r="C158" s="62">
        <f t="shared" ref="C158:AC158" si="127">((1+C141)^C149)*C141/(((1+C141)^C149)-1)*(C139)</f>
        <v>406833.9043442643</v>
      </c>
      <c r="D158" s="62">
        <f t="shared" si="127"/>
        <v>406833.9043442643</v>
      </c>
      <c r="E158" s="62">
        <f t="shared" si="127"/>
        <v>406833.9043442643</v>
      </c>
      <c r="F158" s="62">
        <f t="shared" si="127"/>
        <v>406833.9043442643</v>
      </c>
      <c r="G158" s="62">
        <f t="shared" si="127"/>
        <v>406833.9043442643</v>
      </c>
      <c r="H158" s="62">
        <f t="shared" si="127"/>
        <v>406833.9043442643</v>
      </c>
      <c r="I158" s="62">
        <f t="shared" si="127"/>
        <v>406833.9043442643</v>
      </c>
      <c r="J158" s="62">
        <f t="shared" si="127"/>
        <v>406833.9043442643</v>
      </c>
      <c r="K158" s="62">
        <f t="shared" si="127"/>
        <v>406833.9043442643</v>
      </c>
      <c r="L158" s="62">
        <f t="shared" si="127"/>
        <v>406833.9043442643</v>
      </c>
      <c r="M158" s="62">
        <f t="shared" si="127"/>
        <v>406833.9043442643</v>
      </c>
      <c r="N158" s="62">
        <f t="shared" si="127"/>
        <v>406833.9043442643</v>
      </c>
      <c r="O158" s="62">
        <f t="shared" si="127"/>
        <v>406833.9043442643</v>
      </c>
      <c r="P158" s="62">
        <f t="shared" si="127"/>
        <v>406833.9043442643</v>
      </c>
      <c r="Q158" s="62">
        <f t="shared" si="127"/>
        <v>406833.9043442643</v>
      </c>
      <c r="R158" s="62">
        <f t="shared" si="127"/>
        <v>406833.9043442643</v>
      </c>
      <c r="S158" s="62">
        <f t="shared" si="127"/>
        <v>406833.9043442643</v>
      </c>
      <c r="T158" s="62">
        <f t="shared" si="127"/>
        <v>406833.9043442643</v>
      </c>
      <c r="U158" s="62">
        <f t="shared" si="127"/>
        <v>406833.9043442643</v>
      </c>
      <c r="V158" s="62">
        <f t="shared" si="127"/>
        <v>406833.9043442643</v>
      </c>
      <c r="W158" s="62">
        <f t="shared" si="127"/>
        <v>406833.9043442643</v>
      </c>
      <c r="X158" s="62">
        <f t="shared" si="127"/>
        <v>406833.9043442643</v>
      </c>
      <c r="Y158" s="62">
        <f t="shared" si="127"/>
        <v>406833.9043442643</v>
      </c>
      <c r="Z158" s="62">
        <f t="shared" si="127"/>
        <v>406833.9043442643</v>
      </c>
      <c r="AA158" s="62">
        <f t="shared" si="127"/>
        <v>406833.9043442643</v>
      </c>
      <c r="AB158" s="62">
        <f t="shared" si="127"/>
        <v>406833.9043442643</v>
      </c>
      <c r="AC158" s="62">
        <f t="shared" si="127"/>
        <v>406833.9043442643</v>
      </c>
    </row>
    <row r="159" spans="1:29" x14ac:dyDescent="0.25">
      <c r="A159" s="30" t="str">
        <f>A140</f>
        <v>Residual value (costumization)</v>
      </c>
      <c r="B159" s="62">
        <f>((1+B141)^B149)*B141/(((1+B141)^B149)-1)*(B140)</f>
        <v>-20341.695217213215</v>
      </c>
      <c r="C159" s="62">
        <f t="shared" ref="C159:AC159" si="128">((1+C141)^C149)*C141/(((1+C141)^C149)-1)*(C140)</f>
        <v>-20341.695217213215</v>
      </c>
      <c r="D159" s="62">
        <f t="shared" si="128"/>
        <v>-20341.695217213215</v>
      </c>
      <c r="E159" s="62">
        <f t="shared" si="128"/>
        <v>-20341.695217213215</v>
      </c>
      <c r="F159" s="62">
        <f t="shared" si="128"/>
        <v>-20341.695217213215</v>
      </c>
      <c r="G159" s="62">
        <f t="shared" si="128"/>
        <v>-20341.695217213215</v>
      </c>
      <c r="H159" s="62">
        <f t="shared" si="128"/>
        <v>-20341.695217213215</v>
      </c>
      <c r="I159" s="62">
        <f t="shared" si="128"/>
        <v>-20341.695217213215</v>
      </c>
      <c r="J159" s="62">
        <f t="shared" si="128"/>
        <v>-20341.695217213215</v>
      </c>
      <c r="K159" s="62">
        <f t="shared" si="128"/>
        <v>-20341.695217213215</v>
      </c>
      <c r="L159" s="62">
        <f t="shared" si="128"/>
        <v>-20341.695217213215</v>
      </c>
      <c r="M159" s="62">
        <f t="shared" si="128"/>
        <v>-20341.695217213215</v>
      </c>
      <c r="N159" s="62">
        <f t="shared" si="128"/>
        <v>-20341.695217213215</v>
      </c>
      <c r="O159" s="62">
        <f t="shared" si="128"/>
        <v>-20341.695217213215</v>
      </c>
      <c r="P159" s="62">
        <f t="shared" si="128"/>
        <v>-20341.695217213215</v>
      </c>
      <c r="Q159" s="62">
        <f t="shared" si="128"/>
        <v>-20341.695217213215</v>
      </c>
      <c r="R159" s="62">
        <f t="shared" si="128"/>
        <v>-20341.695217213215</v>
      </c>
      <c r="S159" s="62">
        <f t="shared" si="128"/>
        <v>-20341.695217213215</v>
      </c>
      <c r="T159" s="62">
        <f t="shared" si="128"/>
        <v>-20341.695217213215</v>
      </c>
      <c r="U159" s="62">
        <f t="shared" si="128"/>
        <v>-20341.695217213215</v>
      </c>
      <c r="V159" s="62">
        <f t="shared" si="128"/>
        <v>-20341.695217213215</v>
      </c>
      <c r="W159" s="62">
        <f t="shared" si="128"/>
        <v>-20341.695217213215</v>
      </c>
      <c r="X159" s="62">
        <f t="shared" si="128"/>
        <v>-20341.695217213215</v>
      </c>
      <c r="Y159" s="62">
        <f t="shared" si="128"/>
        <v>-20341.695217213215</v>
      </c>
      <c r="Z159" s="62">
        <f t="shared" si="128"/>
        <v>-20341.695217213215</v>
      </c>
      <c r="AA159" s="62">
        <f t="shared" si="128"/>
        <v>-20341.695217213215</v>
      </c>
      <c r="AB159" s="62">
        <f t="shared" si="128"/>
        <v>-20341.695217213215</v>
      </c>
      <c r="AC159" s="62">
        <f t="shared" si="128"/>
        <v>-20341.695217213215</v>
      </c>
    </row>
    <row r="160" spans="1:29" x14ac:dyDescent="0.25">
      <c r="A160" s="30" t="str">
        <f t="shared" ref="A160:AC160" si="129">A142</f>
        <v>Opex fix (admin, crew, insurance)</v>
      </c>
      <c r="B160" s="62">
        <f t="shared" si="129"/>
        <v>620000</v>
      </c>
      <c r="C160" s="62">
        <f t="shared" si="129"/>
        <v>620000</v>
      </c>
      <c r="D160" s="62">
        <f t="shared" si="129"/>
        <v>620000</v>
      </c>
      <c r="E160" s="62">
        <f t="shared" si="129"/>
        <v>620000</v>
      </c>
      <c r="F160" s="62">
        <f t="shared" si="129"/>
        <v>620000</v>
      </c>
      <c r="G160" s="62">
        <f t="shared" si="129"/>
        <v>620000</v>
      </c>
      <c r="H160" s="62">
        <f t="shared" si="129"/>
        <v>620000</v>
      </c>
      <c r="I160" s="62">
        <f t="shared" si="129"/>
        <v>620000</v>
      </c>
      <c r="J160" s="62">
        <f t="shared" si="129"/>
        <v>620000</v>
      </c>
      <c r="K160" s="62">
        <f t="shared" si="129"/>
        <v>620000</v>
      </c>
      <c r="L160" s="62">
        <f t="shared" si="129"/>
        <v>620000</v>
      </c>
      <c r="M160" s="62">
        <f t="shared" si="129"/>
        <v>620000</v>
      </c>
      <c r="N160" s="62">
        <f t="shared" si="129"/>
        <v>620000</v>
      </c>
      <c r="O160" s="62">
        <f t="shared" si="129"/>
        <v>620000</v>
      </c>
      <c r="P160" s="62">
        <f t="shared" si="129"/>
        <v>620000</v>
      </c>
      <c r="Q160" s="62">
        <f t="shared" si="129"/>
        <v>620000</v>
      </c>
      <c r="R160" s="62">
        <f t="shared" si="129"/>
        <v>620000</v>
      </c>
      <c r="S160" s="62">
        <f t="shared" si="129"/>
        <v>620000</v>
      </c>
      <c r="T160" s="62">
        <f t="shared" si="129"/>
        <v>620000</v>
      </c>
      <c r="U160" s="62">
        <f t="shared" si="129"/>
        <v>620000</v>
      </c>
      <c r="V160" s="62">
        <f t="shared" si="129"/>
        <v>620000</v>
      </c>
      <c r="W160" s="62">
        <f t="shared" si="129"/>
        <v>620000</v>
      </c>
      <c r="X160" s="62">
        <f t="shared" si="129"/>
        <v>620000</v>
      </c>
      <c r="Y160" s="62">
        <f t="shared" si="129"/>
        <v>620000</v>
      </c>
      <c r="Z160" s="62">
        <f t="shared" si="129"/>
        <v>620000</v>
      </c>
      <c r="AA160" s="62">
        <f t="shared" si="129"/>
        <v>620000</v>
      </c>
      <c r="AB160" s="62">
        <f t="shared" si="129"/>
        <v>620000</v>
      </c>
      <c r="AC160" s="62">
        <f t="shared" si="129"/>
        <v>620000</v>
      </c>
    </row>
    <row r="161" spans="1:29" x14ac:dyDescent="0.25">
      <c r="A161" s="30" t="str">
        <f t="shared" ref="A161:AC161" si="130">A143</f>
        <v>Opex maintenance &amp; repair</v>
      </c>
      <c r="B161" s="62">
        <f t="shared" si="130"/>
        <v>1050000</v>
      </c>
      <c r="C161" s="62">
        <f t="shared" si="130"/>
        <v>1050000</v>
      </c>
      <c r="D161" s="62">
        <f t="shared" si="130"/>
        <v>1050000</v>
      </c>
      <c r="E161" s="62">
        <f t="shared" si="130"/>
        <v>1050000</v>
      </c>
      <c r="F161" s="62">
        <f t="shared" si="130"/>
        <v>1050000</v>
      </c>
      <c r="G161" s="62">
        <f t="shared" si="130"/>
        <v>1050000</v>
      </c>
      <c r="H161" s="62">
        <f t="shared" si="130"/>
        <v>1050000</v>
      </c>
      <c r="I161" s="62">
        <f t="shared" si="130"/>
        <v>1050000</v>
      </c>
      <c r="J161" s="62">
        <f t="shared" si="130"/>
        <v>1050000</v>
      </c>
      <c r="K161" s="62">
        <f t="shared" si="130"/>
        <v>1050000</v>
      </c>
      <c r="L161" s="62">
        <f t="shared" si="130"/>
        <v>1050000</v>
      </c>
      <c r="M161" s="62">
        <f t="shared" si="130"/>
        <v>1050000</v>
      </c>
      <c r="N161" s="62">
        <f t="shared" si="130"/>
        <v>1050000</v>
      </c>
      <c r="O161" s="62">
        <f t="shared" si="130"/>
        <v>1050000</v>
      </c>
      <c r="P161" s="62">
        <f t="shared" si="130"/>
        <v>1050000</v>
      </c>
      <c r="Q161" s="62">
        <f t="shared" si="130"/>
        <v>1050000</v>
      </c>
      <c r="R161" s="62">
        <f t="shared" si="130"/>
        <v>1050000</v>
      </c>
      <c r="S161" s="62">
        <f t="shared" si="130"/>
        <v>1050000</v>
      </c>
      <c r="T161" s="62">
        <f t="shared" si="130"/>
        <v>1050000</v>
      </c>
      <c r="U161" s="62">
        <f t="shared" si="130"/>
        <v>1050000</v>
      </c>
      <c r="V161" s="62">
        <f t="shared" si="130"/>
        <v>1050000</v>
      </c>
      <c r="W161" s="62">
        <f t="shared" si="130"/>
        <v>1050000</v>
      </c>
      <c r="X161" s="62">
        <f t="shared" si="130"/>
        <v>1050000</v>
      </c>
      <c r="Y161" s="62">
        <f t="shared" si="130"/>
        <v>1050000</v>
      </c>
      <c r="Z161" s="62">
        <f t="shared" si="130"/>
        <v>1050000</v>
      </c>
      <c r="AA161" s="62">
        <f t="shared" si="130"/>
        <v>1050000</v>
      </c>
      <c r="AB161" s="62">
        <f t="shared" si="130"/>
        <v>1050000</v>
      </c>
      <c r="AC161" s="62">
        <f t="shared" si="130"/>
        <v>1050000</v>
      </c>
    </row>
    <row r="162" spans="1:29" x14ac:dyDescent="0.25">
      <c r="A162" s="30" t="str">
        <f>A144</f>
        <v>Opex var (mode-fees, shunting)</v>
      </c>
      <c r="B162" s="62">
        <f>B144*B153</f>
        <v>650000</v>
      </c>
      <c r="C162" s="62">
        <f t="shared" ref="C162:AC162" si="131">C144*C153</f>
        <v>650000</v>
      </c>
      <c r="D162" s="62">
        <f t="shared" si="131"/>
        <v>650000</v>
      </c>
      <c r="E162" s="62">
        <f t="shared" si="131"/>
        <v>650000</v>
      </c>
      <c r="F162" s="62">
        <f t="shared" si="131"/>
        <v>650000</v>
      </c>
      <c r="G162" s="62">
        <f t="shared" si="131"/>
        <v>650000</v>
      </c>
      <c r="H162" s="62">
        <f t="shared" si="131"/>
        <v>650000</v>
      </c>
      <c r="I162" s="62">
        <f t="shared" si="131"/>
        <v>650000</v>
      </c>
      <c r="J162" s="62">
        <f t="shared" si="131"/>
        <v>650000</v>
      </c>
      <c r="K162" s="62">
        <f t="shared" si="131"/>
        <v>650000</v>
      </c>
      <c r="L162" s="62">
        <f t="shared" si="131"/>
        <v>650000</v>
      </c>
      <c r="M162" s="62">
        <f t="shared" si="131"/>
        <v>650000</v>
      </c>
      <c r="N162" s="62">
        <f t="shared" si="131"/>
        <v>650000</v>
      </c>
      <c r="O162" s="62">
        <f t="shared" si="131"/>
        <v>650000</v>
      </c>
      <c r="P162" s="62">
        <f t="shared" si="131"/>
        <v>650000</v>
      </c>
      <c r="Q162" s="62">
        <f t="shared" si="131"/>
        <v>650000</v>
      </c>
      <c r="R162" s="62">
        <f t="shared" si="131"/>
        <v>650000</v>
      </c>
      <c r="S162" s="62">
        <f t="shared" si="131"/>
        <v>650000</v>
      </c>
      <c r="T162" s="62">
        <f t="shared" si="131"/>
        <v>650000</v>
      </c>
      <c r="U162" s="62">
        <f t="shared" si="131"/>
        <v>650000</v>
      </c>
      <c r="V162" s="62">
        <f t="shared" si="131"/>
        <v>650000</v>
      </c>
      <c r="W162" s="62">
        <f t="shared" si="131"/>
        <v>650000</v>
      </c>
      <c r="X162" s="62">
        <f t="shared" si="131"/>
        <v>650000</v>
      </c>
      <c r="Y162" s="62">
        <f t="shared" si="131"/>
        <v>650000</v>
      </c>
      <c r="Z162" s="62">
        <f t="shared" si="131"/>
        <v>650000</v>
      </c>
      <c r="AA162" s="62">
        <f t="shared" si="131"/>
        <v>650000</v>
      </c>
      <c r="AB162" s="62">
        <f t="shared" si="131"/>
        <v>650000</v>
      </c>
      <c r="AC162" s="62">
        <f t="shared" si="131"/>
        <v>650000</v>
      </c>
    </row>
    <row r="163" spans="1:29" x14ac:dyDescent="0.25">
      <c r="A163" s="30" t="str">
        <f>A146</f>
        <v>Fuel Cost</v>
      </c>
      <c r="B163" s="62">
        <f>B145*B146*B153</f>
        <v>794210.52768000006</v>
      </c>
      <c r="C163" s="62">
        <f t="shared" ref="C163:AC163" si="132">C145*C146*C153</f>
        <v>739437.38783999986</v>
      </c>
      <c r="D163" s="62">
        <f t="shared" si="132"/>
        <v>684664.24800000002</v>
      </c>
      <c r="E163" s="62">
        <f t="shared" si="132"/>
        <v>629891.10815999995</v>
      </c>
      <c r="F163" s="62">
        <f t="shared" si="132"/>
        <v>575117.96831999999</v>
      </c>
      <c r="G163" s="62">
        <f t="shared" si="132"/>
        <v>520344.82848000008</v>
      </c>
      <c r="H163" s="62">
        <f t="shared" si="132"/>
        <v>465571.68864000007</v>
      </c>
      <c r="I163" s="62">
        <f t="shared" si="132"/>
        <v>410798.54879999999</v>
      </c>
      <c r="J163" s="62">
        <f t="shared" si="132"/>
        <v>402484.76864571427</v>
      </c>
      <c r="K163" s="62">
        <f t="shared" si="132"/>
        <v>394170.98849142861</v>
      </c>
      <c r="L163" s="62">
        <f t="shared" si="132"/>
        <v>385857.20833714283</v>
      </c>
      <c r="M163" s="62">
        <f t="shared" si="132"/>
        <v>377543.42818285705</v>
      </c>
      <c r="N163" s="62">
        <f t="shared" si="132"/>
        <v>369229.64802857145</v>
      </c>
      <c r="O163" s="62">
        <f t="shared" si="132"/>
        <v>360915.86787428573</v>
      </c>
      <c r="P163" s="62">
        <f t="shared" si="132"/>
        <v>352602.08772000001</v>
      </c>
      <c r="Q163" s="62">
        <f t="shared" si="132"/>
        <v>344288.30756571429</v>
      </c>
      <c r="R163" s="62">
        <f t="shared" si="132"/>
        <v>335974.52741142851</v>
      </c>
      <c r="S163" s="62">
        <f t="shared" si="132"/>
        <v>327660.74725714285</v>
      </c>
      <c r="T163" s="62">
        <f t="shared" si="132"/>
        <v>319346.96710285713</v>
      </c>
      <c r="U163" s="62">
        <f t="shared" si="132"/>
        <v>311033.18694857141</v>
      </c>
      <c r="V163" s="62">
        <f t="shared" si="132"/>
        <v>302719.40679428569</v>
      </c>
      <c r="W163" s="62">
        <f t="shared" si="132"/>
        <v>294405.62663999997</v>
      </c>
      <c r="X163" s="62">
        <f t="shared" si="132"/>
        <v>286091.84648571431</v>
      </c>
      <c r="Y163" s="62">
        <f t="shared" si="132"/>
        <v>277778.06633142853</v>
      </c>
      <c r="Z163" s="62">
        <f t="shared" si="132"/>
        <v>269464.28617714281</v>
      </c>
      <c r="AA163" s="62">
        <f t="shared" si="132"/>
        <v>261150.50602285712</v>
      </c>
      <c r="AB163" s="62">
        <f t="shared" si="132"/>
        <v>252836.72586857138</v>
      </c>
      <c r="AC163" s="62">
        <f t="shared" si="132"/>
        <v>244522.94571428571</v>
      </c>
    </row>
    <row r="164" spans="1:29" ht="15.75" thickBot="1" x14ac:dyDescent="0.3">
      <c r="A164" s="59" t="str">
        <f>A127</f>
        <v>Emission Cost</v>
      </c>
      <c r="B164" s="62">
        <f>B147*B153</f>
        <v>0</v>
      </c>
      <c r="C164" s="62">
        <f t="shared" ref="C164:AC164" si="133">C147*C153</f>
        <v>0</v>
      </c>
      <c r="D164" s="62">
        <f t="shared" si="133"/>
        <v>0</v>
      </c>
      <c r="E164" s="62">
        <f t="shared" si="133"/>
        <v>0</v>
      </c>
      <c r="F164" s="62">
        <f t="shared" si="133"/>
        <v>0</v>
      </c>
      <c r="G164" s="62">
        <f t="shared" si="133"/>
        <v>0</v>
      </c>
      <c r="H164" s="62">
        <f t="shared" si="133"/>
        <v>0</v>
      </c>
      <c r="I164" s="62">
        <f t="shared" si="133"/>
        <v>0</v>
      </c>
      <c r="J164" s="62">
        <f t="shared" si="133"/>
        <v>0</v>
      </c>
      <c r="K164" s="62">
        <f t="shared" si="133"/>
        <v>0</v>
      </c>
      <c r="L164" s="62">
        <f t="shared" si="133"/>
        <v>0</v>
      </c>
      <c r="M164" s="62">
        <f t="shared" si="133"/>
        <v>0</v>
      </c>
      <c r="N164" s="62">
        <f t="shared" si="133"/>
        <v>0</v>
      </c>
      <c r="O164" s="62">
        <f t="shared" si="133"/>
        <v>0</v>
      </c>
      <c r="P164" s="62">
        <f t="shared" si="133"/>
        <v>0</v>
      </c>
      <c r="Q164" s="62">
        <f t="shared" si="133"/>
        <v>0</v>
      </c>
      <c r="R164" s="62">
        <f t="shared" si="133"/>
        <v>0</v>
      </c>
      <c r="S164" s="62">
        <f t="shared" si="133"/>
        <v>0</v>
      </c>
      <c r="T164" s="62">
        <f t="shared" si="133"/>
        <v>0</v>
      </c>
      <c r="U164" s="62">
        <f t="shared" si="133"/>
        <v>0</v>
      </c>
      <c r="V164" s="62">
        <f t="shared" si="133"/>
        <v>0</v>
      </c>
      <c r="W164" s="62">
        <f t="shared" si="133"/>
        <v>0</v>
      </c>
      <c r="X164" s="62">
        <f t="shared" si="133"/>
        <v>0</v>
      </c>
      <c r="Y164" s="62">
        <f t="shared" si="133"/>
        <v>0</v>
      </c>
      <c r="Z164" s="62">
        <f t="shared" si="133"/>
        <v>0</v>
      </c>
      <c r="AA164" s="62">
        <f t="shared" si="133"/>
        <v>0</v>
      </c>
      <c r="AB164" s="62">
        <f t="shared" si="133"/>
        <v>0</v>
      </c>
      <c r="AC164" s="62">
        <f t="shared" si="133"/>
        <v>0</v>
      </c>
    </row>
    <row r="165" spans="1:29" ht="15.75" thickBot="1" x14ac:dyDescent="0.3">
      <c r="A165" s="31" t="s">
        <v>209</v>
      </c>
      <c r="B165" s="64">
        <f>B156+B157+B158+B159+B160+B161+B162+B163+B164</f>
        <v>3760479.6517195944</v>
      </c>
      <c r="C165" s="64">
        <f t="shared" ref="C165:AC165" si="134">C156+C157+C158+C159+C160+C161+C162+C163+C164</f>
        <v>3705879.003681717</v>
      </c>
      <c r="D165" s="64">
        <f t="shared" si="134"/>
        <v>3651350.7774737221</v>
      </c>
      <c r="E165" s="64">
        <f t="shared" si="134"/>
        <v>3596923.7995178639</v>
      </c>
      <c r="F165" s="64">
        <f t="shared" si="134"/>
        <v>3542636.6647179211</v>
      </c>
      <c r="G165" s="64">
        <f t="shared" si="134"/>
        <v>3488539.2483088942</v>
      </c>
      <c r="H165" s="64">
        <f t="shared" si="134"/>
        <v>3434692.5000138935</v>
      </c>
      <c r="I165" s="64">
        <f t="shared" si="134"/>
        <v>3381164.3311422681</v>
      </c>
      <c r="J165" s="64">
        <f t="shared" si="134"/>
        <v>3374477.9685543515</v>
      </c>
      <c r="K165" s="64">
        <f t="shared" si="134"/>
        <v>3368213.645755637</v>
      </c>
      <c r="L165" s="64">
        <f t="shared" si="134"/>
        <v>3362359.1555983536</v>
      </c>
      <c r="M165" s="64">
        <f t="shared" si="134"/>
        <v>3356826.2757802578</v>
      </c>
      <c r="N165" s="64">
        <f t="shared" si="134"/>
        <v>3351448.2807011409</v>
      </c>
      <c r="O165" s="64">
        <f t="shared" si="134"/>
        <v>3346012.5148629765</v>
      </c>
      <c r="P165" s="64">
        <f t="shared" si="134"/>
        <v>3340318.6503804205</v>
      </c>
      <c r="Q165" s="64">
        <f t="shared" si="134"/>
        <v>3334231.4254639386</v>
      </c>
      <c r="R165" s="64">
        <f t="shared" si="134"/>
        <v>3327700.7173016835</v>
      </c>
      <c r="S165" s="64">
        <f t="shared" si="134"/>
        <v>3320747.5002156994</v>
      </c>
      <c r="T165" s="64">
        <f t="shared" si="134"/>
        <v>3313433.8430339312</v>
      </c>
      <c r="U165" s="64">
        <f t="shared" si="134"/>
        <v>3305835.136336552</v>
      </c>
      <c r="V165" s="64">
        <f t="shared" si="134"/>
        <v>3298022.5170737598</v>
      </c>
      <c r="W165" s="64">
        <f t="shared" si="134"/>
        <v>3290055.0698992512</v>
      </c>
      <c r="X165" s="64">
        <f t="shared" si="134"/>
        <v>3281978.3026614622</v>
      </c>
      <c r="Y165" s="64">
        <f t="shared" si="134"/>
        <v>3273825.6396598388</v>
      </c>
      <c r="Z165" s="64">
        <f t="shared" si="134"/>
        <v>3265620.885689944</v>
      </c>
      <c r="AA165" s="64">
        <f t="shared" si="134"/>
        <v>3257380.6547134737</v>
      </c>
      <c r="AB165" s="64">
        <f t="shared" si="134"/>
        <v>3249116.3875003327</v>
      </c>
      <c r="AC165" s="64">
        <f t="shared" si="134"/>
        <v>3240835.8924017888</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5">A156</f>
        <v>Capex vehicle</v>
      </c>
      <c r="B168" s="65">
        <f>((1+B141)^B148)*B141/(((1+B141)^B148)-1)*(B137)/B153</f>
        <v>1.7095011171931649</v>
      </c>
      <c r="C168" s="65">
        <f t="shared" ref="C168:AC168" si="136">((1+C141)^C148)*C141/(((1+C141)^C148)-1)*(C137)/C153</f>
        <v>1.7095011171931649</v>
      </c>
      <c r="D168" s="65">
        <f t="shared" si="136"/>
        <v>1.7095011171931649</v>
      </c>
      <c r="E168" s="65">
        <f t="shared" si="136"/>
        <v>1.7095011171931649</v>
      </c>
      <c r="F168" s="65">
        <f t="shared" si="136"/>
        <v>1.7095011171931649</v>
      </c>
      <c r="G168" s="65">
        <f t="shared" si="136"/>
        <v>1.7095011171931649</v>
      </c>
      <c r="H168" s="65">
        <f t="shared" si="136"/>
        <v>1.7095011171931649</v>
      </c>
      <c r="I168" s="65">
        <f t="shared" si="136"/>
        <v>1.7095011171931649</v>
      </c>
      <c r="J168" s="65">
        <f t="shared" si="136"/>
        <v>1.7095011171931649</v>
      </c>
      <c r="K168" s="65">
        <f t="shared" si="136"/>
        <v>1.7095011171931649</v>
      </c>
      <c r="L168" s="65">
        <f t="shared" si="136"/>
        <v>1.7095011171931649</v>
      </c>
      <c r="M168" s="65">
        <f t="shared" si="136"/>
        <v>1.7095011171931649</v>
      </c>
      <c r="N168" s="65">
        <f t="shared" si="136"/>
        <v>1.7095011171931649</v>
      </c>
      <c r="O168" s="65">
        <f t="shared" si="136"/>
        <v>1.7095011171931649</v>
      </c>
      <c r="P168" s="65">
        <f t="shared" si="136"/>
        <v>1.7095011171931649</v>
      </c>
      <c r="Q168" s="65">
        <f t="shared" si="136"/>
        <v>1.7095011171931649</v>
      </c>
      <c r="R168" s="65">
        <f t="shared" si="136"/>
        <v>1.7095011171931649</v>
      </c>
      <c r="S168" s="65">
        <f t="shared" si="136"/>
        <v>1.7095011171931649</v>
      </c>
      <c r="T168" s="65">
        <f t="shared" si="136"/>
        <v>1.7095011171931649</v>
      </c>
      <c r="U168" s="65">
        <f t="shared" si="136"/>
        <v>1.7095011171931649</v>
      </c>
      <c r="V168" s="65">
        <f t="shared" si="136"/>
        <v>1.7095011171931649</v>
      </c>
      <c r="W168" s="65">
        <f t="shared" si="136"/>
        <v>1.7095011171931649</v>
      </c>
      <c r="X168" s="65">
        <f t="shared" si="136"/>
        <v>1.7095011171931649</v>
      </c>
      <c r="Y168" s="65">
        <f t="shared" si="136"/>
        <v>1.7095011171931649</v>
      </c>
      <c r="Z168" s="65">
        <f t="shared" si="136"/>
        <v>1.7095011171931649</v>
      </c>
      <c r="AA168" s="65">
        <f t="shared" si="136"/>
        <v>1.7095011171931649</v>
      </c>
      <c r="AB168" s="65">
        <f t="shared" si="136"/>
        <v>1.7095011171931649</v>
      </c>
      <c r="AC168" s="65">
        <f t="shared" si="136"/>
        <v>1.7095011171931649</v>
      </c>
    </row>
    <row r="169" spans="1:29" x14ac:dyDescent="0.25">
      <c r="A169" s="30" t="str">
        <f t="shared" si="135"/>
        <v>Residual value (vehicle)</v>
      </c>
      <c r="B169" s="66">
        <f>((1+B141)^B148)*B141/(((1+B141)^B148)-1)*(B138)/B153</f>
        <v>-0.25416826054025926</v>
      </c>
      <c r="C169" s="66">
        <f t="shared" ref="C169:AC169" si="137">((1+C141)^C148)*C141/(((1+C141)^C148)-1)*(C138)/C153</f>
        <v>-0.2532019199121241</v>
      </c>
      <c r="D169" s="66">
        <f t="shared" si="137"/>
        <v>-0.25182985474682912</v>
      </c>
      <c r="E169" s="66">
        <f t="shared" si="137"/>
        <v>-0.24989057248272897</v>
      </c>
      <c r="F169" s="66">
        <f t="shared" si="137"/>
        <v>-0.24716785517148263</v>
      </c>
      <c r="G169" s="66">
        <f t="shared" si="137"/>
        <v>-0.2433822897318601</v>
      </c>
      <c r="H169" s="66">
        <f t="shared" si="137"/>
        <v>-0.23819242113242242</v>
      </c>
      <c r="I169" s="66">
        <f t="shared" si="137"/>
        <v>-0.23121779385861393</v>
      </c>
      <c r="J169" s="66">
        <f t="shared" si="137"/>
        <v>-0.22210060861284955</v>
      </c>
      <c r="K169" s="66">
        <f t="shared" si="137"/>
        <v>-0.21061905480012771</v>
      </c>
      <c r="L169" s="66">
        <f t="shared" si="137"/>
        <v>-0.19684151980291528</v>
      </c>
      <c r="M169" s="66">
        <f t="shared" si="137"/>
        <v>-0.18126224621081494</v>
      </c>
      <c r="N169" s="66">
        <f t="shared" si="137"/>
        <v>-0.16481527099978574</v>
      </c>
      <c r="O169" s="66">
        <f t="shared" si="137"/>
        <v>-0.14869194149770532</v>
      </c>
      <c r="P169" s="66">
        <f t="shared" si="137"/>
        <v>-0.13401454277653033</v>
      </c>
      <c r="Q169" s="66">
        <f t="shared" si="137"/>
        <v>-0.12154084396530274</v>
      </c>
      <c r="R169" s="66">
        <f t="shared" si="137"/>
        <v>-0.11155164513039878</v>
      </c>
      <c r="S169" s="66">
        <f t="shared" si="137"/>
        <v>-0.10392944306708454</v>
      </c>
      <c r="T169" s="66">
        <f t="shared" si="137"/>
        <v>-9.8326513249059416E-2</v>
      </c>
      <c r="U169" s="66">
        <f t="shared" si="137"/>
        <v>-9.4320499484876544E-2</v>
      </c>
      <c r="V169" s="66">
        <f t="shared" si="137"/>
        <v>-9.1512875442896963E-2</v>
      </c>
      <c r="W169" s="66">
        <f t="shared" si="137"/>
        <v>-8.9572634659828843E-2</v>
      </c>
      <c r="X169" s="66">
        <f t="shared" si="137"/>
        <v>-8.8244831206068547E-2</v>
      </c>
      <c r="Y169" s="66">
        <f t="shared" si="137"/>
        <v>-8.734221410431782E-2</v>
      </c>
      <c r="Z169" s="66">
        <f t="shared" si="137"/>
        <v>-8.6731423155348999E-2</v>
      </c>
      <c r="AA169" s="66">
        <f t="shared" si="137"/>
        <v>-8.631938294349642E-2</v>
      </c>
      <c r="AB169" s="66">
        <f t="shared" si="137"/>
        <v>-8.6041999519719331E-2</v>
      </c>
      <c r="AC169" s="66">
        <f t="shared" si="137"/>
        <v>-8.5855528619202287E-2</v>
      </c>
    </row>
    <row r="170" spans="1:29" x14ac:dyDescent="0.25">
      <c r="A170" s="30" t="str">
        <f t="shared" si="135"/>
        <v>Capex costumization</v>
      </c>
      <c r="B170" s="66">
        <f>((1+B141)^B149)*B141/(((1+B141)^B149)-1)*(B139)/B153</f>
        <v>2.2791815369426573</v>
      </c>
      <c r="C170" s="66">
        <f t="shared" ref="C170:AC170" si="138">((1+C141)^C149)*C141/(((1+C141)^C149)-1)*(C139)/C153</f>
        <v>2.2791815369426573</v>
      </c>
      <c r="D170" s="66">
        <f t="shared" si="138"/>
        <v>2.2791815369426573</v>
      </c>
      <c r="E170" s="66">
        <f t="shared" si="138"/>
        <v>2.2791815369426573</v>
      </c>
      <c r="F170" s="66">
        <f t="shared" si="138"/>
        <v>2.2791815369426573</v>
      </c>
      <c r="G170" s="66">
        <f t="shared" si="138"/>
        <v>2.2791815369426573</v>
      </c>
      <c r="H170" s="66">
        <f t="shared" si="138"/>
        <v>2.2791815369426573</v>
      </c>
      <c r="I170" s="66">
        <f t="shared" si="138"/>
        <v>2.2791815369426573</v>
      </c>
      <c r="J170" s="66">
        <f t="shared" si="138"/>
        <v>2.2791815369426573</v>
      </c>
      <c r="K170" s="66">
        <f t="shared" si="138"/>
        <v>2.2791815369426573</v>
      </c>
      <c r="L170" s="66">
        <f t="shared" si="138"/>
        <v>2.2791815369426573</v>
      </c>
      <c r="M170" s="66">
        <f t="shared" si="138"/>
        <v>2.2791815369426573</v>
      </c>
      <c r="N170" s="66">
        <f t="shared" si="138"/>
        <v>2.2791815369426573</v>
      </c>
      <c r="O170" s="66">
        <f t="shared" si="138"/>
        <v>2.2791815369426573</v>
      </c>
      <c r="P170" s="66">
        <f t="shared" si="138"/>
        <v>2.2791815369426573</v>
      </c>
      <c r="Q170" s="66">
        <f t="shared" si="138"/>
        <v>2.2791815369426573</v>
      </c>
      <c r="R170" s="66">
        <f t="shared" si="138"/>
        <v>2.2791815369426573</v>
      </c>
      <c r="S170" s="66">
        <f t="shared" si="138"/>
        <v>2.2791815369426573</v>
      </c>
      <c r="T170" s="66">
        <f t="shared" si="138"/>
        <v>2.2791815369426573</v>
      </c>
      <c r="U170" s="66">
        <f t="shared" si="138"/>
        <v>2.2791815369426573</v>
      </c>
      <c r="V170" s="66">
        <f t="shared" si="138"/>
        <v>2.2791815369426573</v>
      </c>
      <c r="W170" s="66">
        <f t="shared" si="138"/>
        <v>2.2791815369426573</v>
      </c>
      <c r="X170" s="66">
        <f t="shared" si="138"/>
        <v>2.2791815369426573</v>
      </c>
      <c r="Y170" s="66">
        <f t="shared" si="138"/>
        <v>2.2791815369426573</v>
      </c>
      <c r="Z170" s="66">
        <f t="shared" si="138"/>
        <v>2.2791815369426573</v>
      </c>
      <c r="AA170" s="66">
        <f t="shared" si="138"/>
        <v>2.2791815369426573</v>
      </c>
      <c r="AB170" s="66">
        <f t="shared" si="138"/>
        <v>2.2791815369426573</v>
      </c>
      <c r="AC170" s="66">
        <f t="shared" si="138"/>
        <v>2.2791815369426573</v>
      </c>
    </row>
    <row r="171" spans="1:29" x14ac:dyDescent="0.25">
      <c r="A171" s="30" t="str">
        <f t="shared" si="135"/>
        <v>Residual value (costumization)</v>
      </c>
      <c r="B171" s="66">
        <f>((1+B141)^B149)*B141/(((1+B141)^B149)-1)*(B140)/B153</f>
        <v>-0.11395907684713286</v>
      </c>
      <c r="C171" s="66">
        <f t="shared" ref="C171:AC171" si="139">((1+C141)^C149)*C141/(((1+C141)^C149)-1)*(C140)/C153</f>
        <v>-0.11395907684713286</v>
      </c>
      <c r="D171" s="66">
        <f t="shared" si="139"/>
        <v>-0.11395907684713286</v>
      </c>
      <c r="E171" s="66">
        <f t="shared" si="139"/>
        <v>-0.11395907684713286</v>
      </c>
      <c r="F171" s="66">
        <f t="shared" si="139"/>
        <v>-0.11395907684713286</v>
      </c>
      <c r="G171" s="66">
        <f t="shared" si="139"/>
        <v>-0.11395907684713286</v>
      </c>
      <c r="H171" s="66">
        <f t="shared" si="139"/>
        <v>-0.11395907684713286</v>
      </c>
      <c r="I171" s="66">
        <f t="shared" si="139"/>
        <v>-0.11395907684713286</v>
      </c>
      <c r="J171" s="66">
        <f t="shared" si="139"/>
        <v>-0.11395907684713286</v>
      </c>
      <c r="K171" s="66">
        <f t="shared" si="139"/>
        <v>-0.11395907684713286</v>
      </c>
      <c r="L171" s="66">
        <f t="shared" si="139"/>
        <v>-0.11395907684713286</v>
      </c>
      <c r="M171" s="66">
        <f t="shared" si="139"/>
        <v>-0.11395907684713286</v>
      </c>
      <c r="N171" s="66">
        <f t="shared" si="139"/>
        <v>-0.11395907684713286</v>
      </c>
      <c r="O171" s="66">
        <f t="shared" si="139"/>
        <v>-0.11395907684713286</v>
      </c>
      <c r="P171" s="66">
        <f t="shared" si="139"/>
        <v>-0.11395907684713286</v>
      </c>
      <c r="Q171" s="66">
        <f t="shared" si="139"/>
        <v>-0.11395907684713286</v>
      </c>
      <c r="R171" s="66">
        <f t="shared" si="139"/>
        <v>-0.11395907684713286</v>
      </c>
      <c r="S171" s="66">
        <f t="shared" si="139"/>
        <v>-0.11395907684713286</v>
      </c>
      <c r="T171" s="66">
        <f t="shared" si="139"/>
        <v>-0.11395907684713286</v>
      </c>
      <c r="U171" s="66">
        <f t="shared" si="139"/>
        <v>-0.11395907684713286</v>
      </c>
      <c r="V171" s="66">
        <f t="shared" si="139"/>
        <v>-0.11395907684713286</v>
      </c>
      <c r="W171" s="66">
        <f t="shared" si="139"/>
        <v>-0.11395907684713286</v>
      </c>
      <c r="X171" s="66">
        <f t="shared" si="139"/>
        <v>-0.11395907684713286</v>
      </c>
      <c r="Y171" s="66">
        <f t="shared" si="139"/>
        <v>-0.11395907684713286</v>
      </c>
      <c r="Z171" s="66">
        <f t="shared" si="139"/>
        <v>-0.11395907684713286</v>
      </c>
      <c r="AA171" s="66">
        <f t="shared" si="139"/>
        <v>-0.11395907684713286</v>
      </c>
      <c r="AB171" s="66">
        <f t="shared" si="139"/>
        <v>-0.11395907684713286</v>
      </c>
      <c r="AC171" s="66">
        <f t="shared" si="139"/>
        <v>-0.11395907684713286</v>
      </c>
    </row>
    <row r="172" spans="1:29" x14ac:dyDescent="0.25">
      <c r="A172" s="30" t="str">
        <f t="shared" si="135"/>
        <v>Opex fix (admin, crew, insurance)</v>
      </c>
      <c r="B172" s="66">
        <f>B142/B153</f>
        <v>3.473389355742297</v>
      </c>
      <c r="C172" s="66">
        <f t="shared" ref="C172:AC172" si="140">C142/C153</f>
        <v>3.473389355742297</v>
      </c>
      <c r="D172" s="66">
        <f t="shared" si="140"/>
        <v>3.473389355742297</v>
      </c>
      <c r="E172" s="66">
        <f t="shared" si="140"/>
        <v>3.473389355742297</v>
      </c>
      <c r="F172" s="66">
        <f t="shared" si="140"/>
        <v>3.473389355742297</v>
      </c>
      <c r="G172" s="66">
        <f t="shared" si="140"/>
        <v>3.473389355742297</v>
      </c>
      <c r="H172" s="66">
        <f t="shared" si="140"/>
        <v>3.473389355742297</v>
      </c>
      <c r="I172" s="66">
        <f t="shared" si="140"/>
        <v>3.473389355742297</v>
      </c>
      <c r="J172" s="66">
        <f t="shared" si="140"/>
        <v>3.473389355742297</v>
      </c>
      <c r="K172" s="66">
        <f t="shared" si="140"/>
        <v>3.473389355742297</v>
      </c>
      <c r="L172" s="66">
        <f t="shared" si="140"/>
        <v>3.473389355742297</v>
      </c>
      <c r="M172" s="66">
        <f t="shared" si="140"/>
        <v>3.473389355742297</v>
      </c>
      <c r="N172" s="66">
        <f t="shared" si="140"/>
        <v>3.473389355742297</v>
      </c>
      <c r="O172" s="66">
        <f t="shared" si="140"/>
        <v>3.473389355742297</v>
      </c>
      <c r="P172" s="66">
        <f t="shared" si="140"/>
        <v>3.473389355742297</v>
      </c>
      <c r="Q172" s="66">
        <f t="shared" si="140"/>
        <v>3.473389355742297</v>
      </c>
      <c r="R172" s="66">
        <f t="shared" si="140"/>
        <v>3.473389355742297</v>
      </c>
      <c r="S172" s="66">
        <f t="shared" si="140"/>
        <v>3.473389355742297</v>
      </c>
      <c r="T172" s="66">
        <f t="shared" si="140"/>
        <v>3.473389355742297</v>
      </c>
      <c r="U172" s="66">
        <f t="shared" si="140"/>
        <v>3.473389355742297</v>
      </c>
      <c r="V172" s="66">
        <f t="shared" si="140"/>
        <v>3.473389355742297</v>
      </c>
      <c r="W172" s="66">
        <f t="shared" si="140"/>
        <v>3.473389355742297</v>
      </c>
      <c r="X172" s="66">
        <f t="shared" si="140"/>
        <v>3.473389355742297</v>
      </c>
      <c r="Y172" s="66">
        <f t="shared" si="140"/>
        <v>3.473389355742297</v>
      </c>
      <c r="Z172" s="66">
        <f t="shared" si="140"/>
        <v>3.473389355742297</v>
      </c>
      <c r="AA172" s="66">
        <f t="shared" si="140"/>
        <v>3.473389355742297</v>
      </c>
      <c r="AB172" s="66">
        <f t="shared" si="140"/>
        <v>3.473389355742297</v>
      </c>
      <c r="AC172" s="66">
        <f t="shared" si="140"/>
        <v>3.473389355742297</v>
      </c>
    </row>
    <row r="173" spans="1:29" x14ac:dyDescent="0.25">
      <c r="A173" s="30" t="str">
        <f t="shared" si="135"/>
        <v>Opex maintenance &amp; repair</v>
      </c>
      <c r="B173" s="66">
        <f>B143/B153</f>
        <v>5.882352941176471</v>
      </c>
      <c r="C173" s="66">
        <f t="shared" ref="C173:AC173" si="141">C143/C153</f>
        <v>5.882352941176471</v>
      </c>
      <c r="D173" s="66">
        <f t="shared" si="141"/>
        <v>5.882352941176471</v>
      </c>
      <c r="E173" s="66">
        <f t="shared" si="141"/>
        <v>5.882352941176471</v>
      </c>
      <c r="F173" s="66">
        <f t="shared" si="141"/>
        <v>5.882352941176471</v>
      </c>
      <c r="G173" s="66">
        <f t="shared" si="141"/>
        <v>5.882352941176471</v>
      </c>
      <c r="H173" s="66">
        <f t="shared" si="141"/>
        <v>5.882352941176471</v>
      </c>
      <c r="I173" s="66">
        <f t="shared" si="141"/>
        <v>5.882352941176471</v>
      </c>
      <c r="J173" s="66">
        <f t="shared" si="141"/>
        <v>5.882352941176471</v>
      </c>
      <c r="K173" s="66">
        <f t="shared" si="141"/>
        <v>5.882352941176471</v>
      </c>
      <c r="L173" s="66">
        <f t="shared" si="141"/>
        <v>5.882352941176471</v>
      </c>
      <c r="M173" s="66">
        <f t="shared" si="141"/>
        <v>5.882352941176471</v>
      </c>
      <c r="N173" s="66">
        <f t="shared" si="141"/>
        <v>5.882352941176471</v>
      </c>
      <c r="O173" s="66">
        <f t="shared" si="141"/>
        <v>5.882352941176471</v>
      </c>
      <c r="P173" s="66">
        <f t="shared" si="141"/>
        <v>5.882352941176471</v>
      </c>
      <c r="Q173" s="66">
        <f t="shared" si="141"/>
        <v>5.882352941176471</v>
      </c>
      <c r="R173" s="66">
        <f t="shared" si="141"/>
        <v>5.882352941176471</v>
      </c>
      <c r="S173" s="66">
        <f t="shared" si="141"/>
        <v>5.882352941176471</v>
      </c>
      <c r="T173" s="66">
        <f t="shared" si="141"/>
        <v>5.882352941176471</v>
      </c>
      <c r="U173" s="66">
        <f t="shared" si="141"/>
        <v>5.882352941176471</v>
      </c>
      <c r="V173" s="66">
        <f t="shared" si="141"/>
        <v>5.882352941176471</v>
      </c>
      <c r="W173" s="66">
        <f t="shared" si="141"/>
        <v>5.882352941176471</v>
      </c>
      <c r="X173" s="66">
        <f t="shared" si="141"/>
        <v>5.882352941176471</v>
      </c>
      <c r="Y173" s="66">
        <f t="shared" si="141"/>
        <v>5.882352941176471</v>
      </c>
      <c r="Z173" s="66">
        <f t="shared" si="141"/>
        <v>5.882352941176471</v>
      </c>
      <c r="AA173" s="66">
        <f t="shared" si="141"/>
        <v>5.882352941176471</v>
      </c>
      <c r="AB173" s="66">
        <f t="shared" si="141"/>
        <v>5.882352941176471</v>
      </c>
      <c r="AC173" s="66">
        <f t="shared" si="141"/>
        <v>5.882352941176471</v>
      </c>
    </row>
    <row r="174" spans="1:29" x14ac:dyDescent="0.25">
      <c r="A174" s="30" t="str">
        <f t="shared" si="135"/>
        <v>Opex var (mode-fees, shunting)</v>
      </c>
      <c r="B174" s="66">
        <f>B144*B153/B153</f>
        <v>3.6414565826330532</v>
      </c>
      <c r="C174" s="66">
        <f t="shared" ref="C174:AC174" si="142">C144*C153/C153</f>
        <v>3.6414565826330532</v>
      </c>
      <c r="D174" s="66">
        <f t="shared" si="142"/>
        <v>3.6414565826330532</v>
      </c>
      <c r="E174" s="66">
        <f t="shared" si="142"/>
        <v>3.6414565826330532</v>
      </c>
      <c r="F174" s="66">
        <f t="shared" si="142"/>
        <v>3.6414565826330532</v>
      </c>
      <c r="G174" s="66">
        <f t="shared" si="142"/>
        <v>3.6414565826330532</v>
      </c>
      <c r="H174" s="66">
        <f t="shared" si="142"/>
        <v>3.6414565826330532</v>
      </c>
      <c r="I174" s="66">
        <f t="shared" si="142"/>
        <v>3.6414565826330532</v>
      </c>
      <c r="J174" s="66">
        <f t="shared" si="142"/>
        <v>3.6414565826330532</v>
      </c>
      <c r="K174" s="66">
        <f t="shared" si="142"/>
        <v>3.6414565826330532</v>
      </c>
      <c r="L174" s="66">
        <f t="shared" si="142"/>
        <v>3.6414565826330532</v>
      </c>
      <c r="M174" s="66">
        <f t="shared" si="142"/>
        <v>3.6414565826330532</v>
      </c>
      <c r="N174" s="66">
        <f t="shared" si="142"/>
        <v>3.6414565826330532</v>
      </c>
      <c r="O174" s="66">
        <f t="shared" si="142"/>
        <v>3.6414565826330532</v>
      </c>
      <c r="P174" s="66">
        <f t="shared" si="142"/>
        <v>3.6414565826330532</v>
      </c>
      <c r="Q174" s="66">
        <f t="shared" si="142"/>
        <v>3.6414565826330532</v>
      </c>
      <c r="R174" s="66">
        <f t="shared" si="142"/>
        <v>3.6414565826330532</v>
      </c>
      <c r="S174" s="66">
        <f t="shared" si="142"/>
        <v>3.6414565826330532</v>
      </c>
      <c r="T174" s="66">
        <f t="shared" si="142"/>
        <v>3.6414565826330532</v>
      </c>
      <c r="U174" s="66">
        <f t="shared" si="142"/>
        <v>3.6414565826330532</v>
      </c>
      <c r="V174" s="66">
        <f t="shared" si="142"/>
        <v>3.6414565826330532</v>
      </c>
      <c r="W174" s="66">
        <f t="shared" si="142"/>
        <v>3.6414565826330532</v>
      </c>
      <c r="X174" s="66">
        <f t="shared" si="142"/>
        <v>3.6414565826330532</v>
      </c>
      <c r="Y174" s="66">
        <f t="shared" si="142"/>
        <v>3.6414565826330532</v>
      </c>
      <c r="Z174" s="66">
        <f t="shared" si="142"/>
        <v>3.6414565826330532</v>
      </c>
      <c r="AA174" s="66">
        <f t="shared" si="142"/>
        <v>3.6414565826330532</v>
      </c>
      <c r="AB174" s="66">
        <f t="shared" si="142"/>
        <v>3.6414565826330532</v>
      </c>
      <c r="AC174" s="66">
        <f t="shared" si="142"/>
        <v>3.6414565826330532</v>
      </c>
    </row>
    <row r="175" spans="1:29" x14ac:dyDescent="0.25">
      <c r="A175" s="30" t="str">
        <f t="shared" si="135"/>
        <v>Fuel Cost</v>
      </c>
      <c r="B175" s="66">
        <f>B145*B146*B153/B153</f>
        <v>4.4493586984873952</v>
      </c>
      <c r="C175" s="66">
        <f t="shared" ref="C175:AC175" si="143">C145*C146*C153/C153</f>
        <v>4.1425063744537809</v>
      </c>
      <c r="D175" s="66">
        <f t="shared" si="143"/>
        <v>3.8356540504201684</v>
      </c>
      <c r="E175" s="66">
        <f t="shared" si="143"/>
        <v>3.5288017263865541</v>
      </c>
      <c r="F175" s="66">
        <f t="shared" si="143"/>
        <v>3.2219494023529411</v>
      </c>
      <c r="G175" s="66">
        <f t="shared" si="143"/>
        <v>2.9150970783193282</v>
      </c>
      <c r="H175" s="66">
        <f t="shared" si="143"/>
        <v>2.6082447542857148</v>
      </c>
      <c r="I175" s="66">
        <f t="shared" si="143"/>
        <v>2.3013924302521009</v>
      </c>
      <c r="J175" s="66">
        <f t="shared" si="143"/>
        <v>2.2548166310684272</v>
      </c>
      <c r="K175" s="66">
        <f t="shared" si="143"/>
        <v>2.208240831884754</v>
      </c>
      <c r="L175" s="66">
        <f t="shared" si="143"/>
        <v>2.1616650327010802</v>
      </c>
      <c r="M175" s="66">
        <f t="shared" si="143"/>
        <v>2.1150892335174065</v>
      </c>
      <c r="N175" s="66">
        <f t="shared" si="143"/>
        <v>2.0685134343337337</v>
      </c>
      <c r="O175" s="66">
        <f t="shared" si="143"/>
        <v>2.02193763515006</v>
      </c>
      <c r="P175" s="66">
        <f t="shared" si="143"/>
        <v>1.9753618359663867</v>
      </c>
      <c r="Q175" s="66">
        <f t="shared" si="143"/>
        <v>1.9287860367827132</v>
      </c>
      <c r="R175" s="66">
        <f t="shared" si="143"/>
        <v>1.8822102375990393</v>
      </c>
      <c r="S175" s="66">
        <f t="shared" si="143"/>
        <v>1.8356344384153662</v>
      </c>
      <c r="T175" s="66">
        <f t="shared" si="143"/>
        <v>1.7890586392316927</v>
      </c>
      <c r="U175" s="66">
        <f t="shared" si="143"/>
        <v>1.742482840048019</v>
      </c>
      <c r="V175" s="66">
        <f t="shared" si="143"/>
        <v>1.6959070408643455</v>
      </c>
      <c r="W175" s="66">
        <f t="shared" si="143"/>
        <v>1.649331241680672</v>
      </c>
      <c r="X175" s="66">
        <f t="shared" si="143"/>
        <v>1.602755442496999</v>
      </c>
      <c r="Y175" s="66">
        <f t="shared" si="143"/>
        <v>1.556179643313325</v>
      </c>
      <c r="Z175" s="66">
        <f t="shared" si="143"/>
        <v>1.5096038441296515</v>
      </c>
      <c r="AA175" s="66">
        <f t="shared" si="143"/>
        <v>1.4630280449459783</v>
      </c>
      <c r="AB175" s="66">
        <f t="shared" si="143"/>
        <v>1.4164522457623046</v>
      </c>
      <c r="AC175" s="66">
        <f t="shared" si="143"/>
        <v>1.3698764465786315</v>
      </c>
    </row>
    <row r="176" spans="1:29" ht="15.75" thickBot="1" x14ac:dyDescent="0.3">
      <c r="A176" s="59" t="str">
        <f>A127</f>
        <v>Emission Cost</v>
      </c>
      <c r="B176" s="66">
        <f>B147</f>
        <v>0</v>
      </c>
      <c r="C176" s="66">
        <f t="shared" ref="C176:AC176" si="144">C147</f>
        <v>0</v>
      </c>
      <c r="D176" s="66">
        <f t="shared" si="144"/>
        <v>0</v>
      </c>
      <c r="E176" s="66">
        <f t="shared" si="144"/>
        <v>0</v>
      </c>
      <c r="F176" s="66">
        <f t="shared" si="144"/>
        <v>0</v>
      </c>
      <c r="G176" s="66">
        <f t="shared" si="144"/>
        <v>0</v>
      </c>
      <c r="H176" s="66">
        <f t="shared" si="144"/>
        <v>0</v>
      </c>
      <c r="I176" s="66">
        <f t="shared" si="144"/>
        <v>0</v>
      </c>
      <c r="J176" s="66">
        <f t="shared" si="144"/>
        <v>0</v>
      </c>
      <c r="K176" s="66">
        <f t="shared" si="144"/>
        <v>0</v>
      </c>
      <c r="L176" s="66">
        <f t="shared" si="144"/>
        <v>0</v>
      </c>
      <c r="M176" s="66">
        <f t="shared" si="144"/>
        <v>0</v>
      </c>
      <c r="N176" s="66">
        <f t="shared" si="144"/>
        <v>0</v>
      </c>
      <c r="O176" s="66">
        <f t="shared" si="144"/>
        <v>0</v>
      </c>
      <c r="P176" s="66">
        <f t="shared" si="144"/>
        <v>0</v>
      </c>
      <c r="Q176" s="66">
        <f t="shared" si="144"/>
        <v>0</v>
      </c>
      <c r="R176" s="66">
        <f t="shared" si="144"/>
        <v>0</v>
      </c>
      <c r="S176" s="66">
        <f t="shared" si="144"/>
        <v>0</v>
      </c>
      <c r="T176" s="66">
        <f t="shared" si="144"/>
        <v>0</v>
      </c>
      <c r="U176" s="66">
        <f t="shared" si="144"/>
        <v>0</v>
      </c>
      <c r="V176" s="66">
        <f t="shared" si="144"/>
        <v>0</v>
      </c>
      <c r="W176" s="66">
        <f t="shared" si="144"/>
        <v>0</v>
      </c>
      <c r="X176" s="66">
        <f t="shared" si="144"/>
        <v>0</v>
      </c>
      <c r="Y176" s="66">
        <f t="shared" si="144"/>
        <v>0</v>
      </c>
      <c r="Z176" s="66">
        <f t="shared" si="144"/>
        <v>0</v>
      </c>
      <c r="AA176" s="66">
        <f t="shared" si="144"/>
        <v>0</v>
      </c>
      <c r="AB176" s="66">
        <f t="shared" si="144"/>
        <v>0</v>
      </c>
      <c r="AC176" s="66">
        <f t="shared" si="144"/>
        <v>0</v>
      </c>
    </row>
    <row r="177" spans="1:29" ht="15.75" thickBot="1" x14ac:dyDescent="0.3">
      <c r="A177" s="31" t="s">
        <v>63</v>
      </c>
      <c r="B177" s="76">
        <f>B168+B169+B170-B171+B172+B173+B174+B175+B176</f>
        <v>21.295031048481913</v>
      </c>
      <c r="C177" s="76">
        <f t="shared" ref="C177:AC177" si="145">C168+C169+C170-C171+C172+C173+C174+C175+C176</f>
        <v>20.989145065076436</v>
      </c>
      <c r="D177" s="76">
        <f t="shared" si="145"/>
        <v>20.683664806208114</v>
      </c>
      <c r="E177" s="76">
        <f t="shared" si="145"/>
        <v>20.378751764438601</v>
      </c>
      <c r="F177" s="76">
        <f t="shared" si="145"/>
        <v>20.074622157716234</v>
      </c>
      <c r="G177" s="76">
        <f t="shared" si="145"/>
        <v>19.771555399122246</v>
      </c>
      <c r="H177" s="76">
        <f t="shared" si="145"/>
        <v>19.46989294368807</v>
      </c>
      <c r="I177" s="76">
        <f t="shared" si="145"/>
        <v>19.170015246928262</v>
      </c>
      <c r="J177" s="76">
        <f t="shared" si="145"/>
        <v>19.132556632990354</v>
      </c>
      <c r="K177" s="76">
        <f t="shared" si="145"/>
        <v>19.097462387619405</v>
      </c>
      <c r="L177" s="76">
        <f t="shared" si="145"/>
        <v>19.064664123432941</v>
      </c>
      <c r="M177" s="76">
        <f t="shared" si="145"/>
        <v>19.033667597841369</v>
      </c>
      <c r="N177" s="76">
        <f t="shared" si="145"/>
        <v>19.003538773868726</v>
      </c>
      <c r="O177" s="76">
        <f t="shared" si="145"/>
        <v>18.973086304187131</v>
      </c>
      <c r="P177" s="76">
        <f t="shared" si="145"/>
        <v>18.941187903724632</v>
      </c>
      <c r="Q177" s="76">
        <f t="shared" si="145"/>
        <v>18.907085803352189</v>
      </c>
      <c r="R177" s="76">
        <f t="shared" si="145"/>
        <v>18.870499203003419</v>
      </c>
      <c r="S177" s="76">
        <f t="shared" si="145"/>
        <v>18.831545605883058</v>
      </c>
      <c r="T177" s="76">
        <f t="shared" si="145"/>
        <v>18.790572736517412</v>
      </c>
      <c r="U177" s="76">
        <f t="shared" si="145"/>
        <v>18.74800295109792</v>
      </c>
      <c r="V177" s="76">
        <f t="shared" si="145"/>
        <v>18.704234775956223</v>
      </c>
      <c r="W177" s="76">
        <f t="shared" si="145"/>
        <v>18.659599217555623</v>
      </c>
      <c r="X177" s="76">
        <f t="shared" si="145"/>
        <v>18.614351221825707</v>
      </c>
      <c r="Y177" s="76">
        <f t="shared" si="145"/>
        <v>18.568678039743784</v>
      </c>
      <c r="Z177" s="76">
        <f t="shared" si="145"/>
        <v>18.522713031509078</v>
      </c>
      <c r="AA177" s="76">
        <f t="shared" si="145"/>
        <v>18.476549272537259</v>
      </c>
      <c r="AB177" s="76">
        <f t="shared" si="145"/>
        <v>18.430250856777363</v>
      </c>
      <c r="AC177" s="76">
        <f t="shared" si="145"/>
        <v>18.383861528494208</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6">A156</f>
        <v>Capex vehicle</v>
      </c>
      <c r="B180" s="65">
        <f>((1+B141)^B148)*B141/(((1+B141)^B148)-1)*(B137)/B153/(B150)</f>
        <v>7.6317014160409149E-4</v>
      </c>
      <c r="C180" s="65">
        <f t="shared" ref="C180:AC180" si="147">((1+C141)^C148)*C141/(((1+C141)^C148)-1)*(C137)/C153/(C150)</f>
        <v>7.6317014160409149E-4</v>
      </c>
      <c r="D180" s="65">
        <f t="shared" si="147"/>
        <v>7.6317014160409149E-4</v>
      </c>
      <c r="E180" s="65">
        <f t="shared" si="147"/>
        <v>7.6317014160409149E-4</v>
      </c>
      <c r="F180" s="65">
        <f t="shared" si="147"/>
        <v>7.6317014160409149E-4</v>
      </c>
      <c r="G180" s="65">
        <f t="shared" si="147"/>
        <v>7.6317014160409149E-4</v>
      </c>
      <c r="H180" s="65">
        <f t="shared" si="147"/>
        <v>7.6317014160409149E-4</v>
      </c>
      <c r="I180" s="65">
        <f t="shared" si="147"/>
        <v>7.6317014160409149E-4</v>
      </c>
      <c r="J180" s="65">
        <f t="shared" si="147"/>
        <v>7.6317014160409149E-4</v>
      </c>
      <c r="K180" s="65">
        <f t="shared" si="147"/>
        <v>7.6317014160409149E-4</v>
      </c>
      <c r="L180" s="65">
        <f t="shared" si="147"/>
        <v>7.6317014160409149E-4</v>
      </c>
      <c r="M180" s="65">
        <f t="shared" si="147"/>
        <v>7.6317014160409149E-4</v>
      </c>
      <c r="N180" s="65">
        <f t="shared" si="147"/>
        <v>7.6317014160409149E-4</v>
      </c>
      <c r="O180" s="65">
        <f t="shared" si="147"/>
        <v>7.6317014160409149E-4</v>
      </c>
      <c r="P180" s="65">
        <f t="shared" si="147"/>
        <v>7.6317014160409149E-4</v>
      </c>
      <c r="Q180" s="65">
        <f t="shared" si="147"/>
        <v>7.6317014160409149E-4</v>
      </c>
      <c r="R180" s="65">
        <f t="shared" si="147"/>
        <v>7.6317014160409149E-4</v>
      </c>
      <c r="S180" s="65">
        <f t="shared" si="147"/>
        <v>7.6317014160409149E-4</v>
      </c>
      <c r="T180" s="65">
        <f t="shared" si="147"/>
        <v>7.6317014160409149E-4</v>
      </c>
      <c r="U180" s="65">
        <f t="shared" si="147"/>
        <v>7.6317014160409149E-4</v>
      </c>
      <c r="V180" s="65">
        <f t="shared" si="147"/>
        <v>7.6317014160409149E-4</v>
      </c>
      <c r="W180" s="65">
        <f t="shared" si="147"/>
        <v>7.6317014160409149E-4</v>
      </c>
      <c r="X180" s="65">
        <f t="shared" si="147"/>
        <v>7.6317014160409149E-4</v>
      </c>
      <c r="Y180" s="65">
        <f t="shared" si="147"/>
        <v>7.6317014160409149E-4</v>
      </c>
      <c r="Z180" s="65">
        <f t="shared" si="147"/>
        <v>7.6317014160409149E-4</v>
      </c>
      <c r="AA180" s="65">
        <f t="shared" si="147"/>
        <v>7.6317014160409149E-4</v>
      </c>
      <c r="AB180" s="65">
        <f t="shared" si="147"/>
        <v>7.6317014160409149E-4</v>
      </c>
      <c r="AC180" s="65">
        <f t="shared" si="147"/>
        <v>7.6317014160409149E-4</v>
      </c>
    </row>
    <row r="181" spans="1:29" x14ac:dyDescent="0.25">
      <c r="A181" s="30" t="str">
        <f t="shared" si="146"/>
        <v>Residual value (vehicle)</v>
      </c>
      <c r="B181" s="68">
        <f>((1+B141)^B148)*B141/(((1+B141)^B148)-1)*(B138)/B153/(B150)</f>
        <v>-1.1346797345547289E-4</v>
      </c>
      <c r="C181" s="68">
        <f t="shared" ref="C181:AC181" si="148">((1+C141)^C148)*C141/(((1+C141)^C148)-1)*(C138)/C153/(C150)</f>
        <v>-1.1303657138934111E-4</v>
      </c>
      <c r="D181" s="68">
        <f t="shared" si="148"/>
        <v>-1.1242404229769157E-4</v>
      </c>
      <c r="E181" s="68">
        <f t="shared" si="148"/>
        <v>-1.1155829128693258E-4</v>
      </c>
      <c r="F181" s="68">
        <f t="shared" si="148"/>
        <v>-1.1034279248726903E-4</v>
      </c>
      <c r="G181" s="68">
        <f t="shared" si="148"/>
        <v>-1.0865280791600897E-4</v>
      </c>
      <c r="H181" s="68">
        <f t="shared" si="148"/>
        <v>-1.0633590229126001E-4</v>
      </c>
      <c r="I181" s="68">
        <f t="shared" si="148"/>
        <v>-1.0322222940116694E-4</v>
      </c>
      <c r="J181" s="68">
        <f t="shared" si="148"/>
        <v>-9.9152057416450692E-5</v>
      </c>
      <c r="K181" s="68">
        <f t="shared" si="148"/>
        <v>-9.4026363750057009E-5</v>
      </c>
      <c r="L181" s="68">
        <f t="shared" si="148"/>
        <v>-8.7875678483444322E-5</v>
      </c>
      <c r="M181" s="68">
        <f t="shared" si="148"/>
        <v>-8.0920645629828101E-5</v>
      </c>
      <c r="N181" s="68">
        <f t="shared" si="148"/>
        <v>-7.357824598204721E-5</v>
      </c>
      <c r="O181" s="68">
        <f t="shared" si="148"/>
        <v>-6.6380331025761298E-5</v>
      </c>
      <c r="P181" s="68">
        <f t="shared" si="148"/>
        <v>-5.982792088237961E-5</v>
      </c>
      <c r="Q181" s="68">
        <f t="shared" si="148"/>
        <v>-5.4259305341653007E-5</v>
      </c>
      <c r="R181" s="68">
        <f t="shared" si="148"/>
        <v>-4.9799841576070884E-5</v>
      </c>
      <c r="S181" s="68">
        <f t="shared" si="148"/>
        <v>-4.6397072797805602E-5</v>
      </c>
      <c r="T181" s="68">
        <f t="shared" si="148"/>
        <v>-4.3895764843330094E-5</v>
      </c>
      <c r="U181" s="68">
        <f t="shared" si="148"/>
        <v>-4.2107365841462744E-5</v>
      </c>
      <c r="V181" s="68">
        <f t="shared" si="148"/>
        <v>-4.0853962251293284E-5</v>
      </c>
      <c r="W181" s="68">
        <f t="shared" si="148"/>
        <v>-3.9987783330280735E-5</v>
      </c>
      <c r="X181" s="68">
        <f t="shared" si="148"/>
        <v>-3.93950139312806E-5</v>
      </c>
      <c r="Y181" s="68">
        <f t="shared" si="148"/>
        <v>-3.8992059867999029E-5</v>
      </c>
      <c r="Z181" s="68">
        <f t="shared" si="148"/>
        <v>-3.8719385337209372E-5</v>
      </c>
      <c r="AA181" s="68">
        <f t="shared" si="148"/>
        <v>-3.8535438814060903E-5</v>
      </c>
      <c r="AB181" s="68">
        <f t="shared" si="148"/>
        <v>-3.8411606928446129E-5</v>
      </c>
      <c r="AC181" s="68">
        <f t="shared" si="148"/>
        <v>-3.832836099071531E-5</v>
      </c>
    </row>
    <row r="182" spans="1:29" x14ac:dyDescent="0.25">
      <c r="A182" s="30" t="str">
        <f t="shared" si="146"/>
        <v>Capex costumization</v>
      </c>
      <c r="B182" s="66">
        <f>((1+B141)^B149)*B141/(((1+B141)^B149)-1)*(B139)/B153/(B150)</f>
        <v>1.0174917575636864E-3</v>
      </c>
      <c r="C182" s="66">
        <f t="shared" ref="C182:AC182" si="149">((1+C141)^C149)*C141/(((1+C141)^C149)-1)*(C139)/C153/(C150)</f>
        <v>1.0174917575636864E-3</v>
      </c>
      <c r="D182" s="66">
        <f t="shared" si="149"/>
        <v>1.0174917575636864E-3</v>
      </c>
      <c r="E182" s="66">
        <f t="shared" si="149"/>
        <v>1.0174917575636864E-3</v>
      </c>
      <c r="F182" s="66">
        <f t="shared" si="149"/>
        <v>1.0174917575636864E-3</v>
      </c>
      <c r="G182" s="66">
        <f t="shared" si="149"/>
        <v>1.0174917575636864E-3</v>
      </c>
      <c r="H182" s="66">
        <f t="shared" si="149"/>
        <v>1.0174917575636864E-3</v>
      </c>
      <c r="I182" s="66">
        <f t="shared" si="149"/>
        <v>1.0174917575636864E-3</v>
      </c>
      <c r="J182" s="66">
        <f t="shared" si="149"/>
        <v>1.0174917575636864E-3</v>
      </c>
      <c r="K182" s="66">
        <f t="shared" si="149"/>
        <v>1.0174917575636864E-3</v>
      </c>
      <c r="L182" s="66">
        <f t="shared" si="149"/>
        <v>1.0174917575636864E-3</v>
      </c>
      <c r="M182" s="66">
        <f t="shared" si="149"/>
        <v>1.0174917575636864E-3</v>
      </c>
      <c r="N182" s="66">
        <f t="shared" si="149"/>
        <v>1.0174917575636864E-3</v>
      </c>
      <c r="O182" s="66">
        <f t="shared" si="149"/>
        <v>1.0174917575636864E-3</v>
      </c>
      <c r="P182" s="66">
        <f t="shared" si="149"/>
        <v>1.0174917575636864E-3</v>
      </c>
      <c r="Q182" s="66">
        <f t="shared" si="149"/>
        <v>1.0174917575636864E-3</v>
      </c>
      <c r="R182" s="66">
        <f t="shared" si="149"/>
        <v>1.0174917575636864E-3</v>
      </c>
      <c r="S182" s="66">
        <f t="shared" si="149"/>
        <v>1.0174917575636864E-3</v>
      </c>
      <c r="T182" s="66">
        <f t="shared" si="149"/>
        <v>1.0174917575636864E-3</v>
      </c>
      <c r="U182" s="66">
        <f t="shared" si="149"/>
        <v>1.0174917575636864E-3</v>
      </c>
      <c r="V182" s="66">
        <f t="shared" si="149"/>
        <v>1.0174917575636864E-3</v>
      </c>
      <c r="W182" s="66">
        <f t="shared" si="149"/>
        <v>1.0174917575636864E-3</v>
      </c>
      <c r="X182" s="66">
        <f t="shared" si="149"/>
        <v>1.0174917575636864E-3</v>
      </c>
      <c r="Y182" s="66">
        <f t="shared" si="149"/>
        <v>1.0174917575636864E-3</v>
      </c>
      <c r="Z182" s="66">
        <f t="shared" si="149"/>
        <v>1.0174917575636864E-3</v>
      </c>
      <c r="AA182" s="66">
        <f t="shared" si="149"/>
        <v>1.0174917575636864E-3</v>
      </c>
      <c r="AB182" s="66">
        <f t="shared" si="149"/>
        <v>1.0174917575636864E-3</v>
      </c>
      <c r="AC182" s="66">
        <f t="shared" si="149"/>
        <v>1.0174917575636864E-3</v>
      </c>
    </row>
    <row r="183" spans="1:29" x14ac:dyDescent="0.25">
      <c r="A183" s="30" t="str">
        <f t="shared" si="146"/>
        <v>Residual value (costumization)</v>
      </c>
      <c r="B183" s="69">
        <f>((1+B141)^B149)*B141/(((1+B141)^B149)-1)*(B140)/B153/(B150)</f>
        <v>-5.0874587878184312E-5</v>
      </c>
      <c r="C183" s="69">
        <f t="shared" ref="C183:AC183" si="150">((1+C141)^C149)*C141/(((1+C141)^C149)-1)*(C140)/C153/(C150)</f>
        <v>-5.0874587878184312E-5</v>
      </c>
      <c r="D183" s="69">
        <f t="shared" si="150"/>
        <v>-5.0874587878184312E-5</v>
      </c>
      <c r="E183" s="69">
        <f t="shared" si="150"/>
        <v>-5.0874587878184312E-5</v>
      </c>
      <c r="F183" s="69">
        <f t="shared" si="150"/>
        <v>-5.0874587878184312E-5</v>
      </c>
      <c r="G183" s="69">
        <f t="shared" si="150"/>
        <v>-5.0874587878184312E-5</v>
      </c>
      <c r="H183" s="69">
        <f t="shared" si="150"/>
        <v>-5.0874587878184312E-5</v>
      </c>
      <c r="I183" s="69">
        <f t="shared" si="150"/>
        <v>-5.0874587878184312E-5</v>
      </c>
      <c r="J183" s="69">
        <f t="shared" si="150"/>
        <v>-5.0874587878184312E-5</v>
      </c>
      <c r="K183" s="69">
        <f t="shared" si="150"/>
        <v>-5.0874587878184312E-5</v>
      </c>
      <c r="L183" s="69">
        <f t="shared" si="150"/>
        <v>-5.0874587878184312E-5</v>
      </c>
      <c r="M183" s="69">
        <f t="shared" si="150"/>
        <v>-5.0874587878184312E-5</v>
      </c>
      <c r="N183" s="69">
        <f t="shared" si="150"/>
        <v>-5.0874587878184312E-5</v>
      </c>
      <c r="O183" s="69">
        <f t="shared" si="150"/>
        <v>-5.0874587878184312E-5</v>
      </c>
      <c r="P183" s="69">
        <f t="shared" si="150"/>
        <v>-5.0874587878184312E-5</v>
      </c>
      <c r="Q183" s="69">
        <f t="shared" si="150"/>
        <v>-5.0874587878184312E-5</v>
      </c>
      <c r="R183" s="69">
        <f t="shared" si="150"/>
        <v>-5.0874587878184312E-5</v>
      </c>
      <c r="S183" s="69">
        <f t="shared" si="150"/>
        <v>-5.0874587878184312E-5</v>
      </c>
      <c r="T183" s="69">
        <f t="shared" si="150"/>
        <v>-5.0874587878184312E-5</v>
      </c>
      <c r="U183" s="69">
        <f t="shared" si="150"/>
        <v>-5.0874587878184312E-5</v>
      </c>
      <c r="V183" s="69">
        <f t="shared" si="150"/>
        <v>-5.0874587878184312E-5</v>
      </c>
      <c r="W183" s="69">
        <f t="shared" si="150"/>
        <v>-5.0874587878184312E-5</v>
      </c>
      <c r="X183" s="69">
        <f t="shared" si="150"/>
        <v>-5.0874587878184312E-5</v>
      </c>
      <c r="Y183" s="69">
        <f t="shared" si="150"/>
        <v>-5.0874587878184312E-5</v>
      </c>
      <c r="Z183" s="69">
        <f t="shared" si="150"/>
        <v>-5.0874587878184312E-5</v>
      </c>
      <c r="AA183" s="69">
        <f t="shared" si="150"/>
        <v>-5.0874587878184312E-5</v>
      </c>
      <c r="AB183" s="69">
        <f t="shared" si="150"/>
        <v>-5.0874587878184312E-5</v>
      </c>
      <c r="AC183" s="69">
        <f t="shared" si="150"/>
        <v>-5.0874587878184312E-5</v>
      </c>
    </row>
    <row r="184" spans="1:29" x14ac:dyDescent="0.25">
      <c r="A184" s="30" t="str">
        <f t="shared" si="146"/>
        <v>Opex fix (admin, crew, insurance)</v>
      </c>
      <c r="B184" s="66">
        <f>B142/B153/(B150)</f>
        <v>1.5506202480992397E-3</v>
      </c>
      <c r="C184" s="66">
        <f t="shared" ref="C184:AC184" si="151">C142/C153/(C150)</f>
        <v>1.5506202480992397E-3</v>
      </c>
      <c r="D184" s="66">
        <f t="shared" si="151"/>
        <v>1.5506202480992397E-3</v>
      </c>
      <c r="E184" s="66">
        <f t="shared" si="151"/>
        <v>1.5506202480992397E-3</v>
      </c>
      <c r="F184" s="66">
        <f t="shared" si="151"/>
        <v>1.5506202480992397E-3</v>
      </c>
      <c r="G184" s="66">
        <f t="shared" si="151"/>
        <v>1.5506202480992397E-3</v>
      </c>
      <c r="H184" s="66">
        <f t="shared" si="151"/>
        <v>1.5506202480992397E-3</v>
      </c>
      <c r="I184" s="66">
        <f t="shared" si="151"/>
        <v>1.5506202480992397E-3</v>
      </c>
      <c r="J184" s="66">
        <f t="shared" si="151"/>
        <v>1.5506202480992397E-3</v>
      </c>
      <c r="K184" s="66">
        <f t="shared" si="151"/>
        <v>1.5506202480992397E-3</v>
      </c>
      <c r="L184" s="66">
        <f t="shared" si="151"/>
        <v>1.5506202480992397E-3</v>
      </c>
      <c r="M184" s="66">
        <f t="shared" si="151"/>
        <v>1.5506202480992397E-3</v>
      </c>
      <c r="N184" s="66">
        <f t="shared" si="151"/>
        <v>1.5506202480992397E-3</v>
      </c>
      <c r="O184" s="66">
        <f t="shared" si="151"/>
        <v>1.5506202480992397E-3</v>
      </c>
      <c r="P184" s="66">
        <f t="shared" si="151"/>
        <v>1.5506202480992397E-3</v>
      </c>
      <c r="Q184" s="66">
        <f t="shared" si="151"/>
        <v>1.5506202480992397E-3</v>
      </c>
      <c r="R184" s="66">
        <f t="shared" si="151"/>
        <v>1.5506202480992397E-3</v>
      </c>
      <c r="S184" s="66">
        <f t="shared" si="151"/>
        <v>1.5506202480992397E-3</v>
      </c>
      <c r="T184" s="66">
        <f t="shared" si="151"/>
        <v>1.5506202480992397E-3</v>
      </c>
      <c r="U184" s="66">
        <f t="shared" si="151"/>
        <v>1.5506202480992397E-3</v>
      </c>
      <c r="V184" s="66">
        <f t="shared" si="151"/>
        <v>1.5506202480992397E-3</v>
      </c>
      <c r="W184" s="66">
        <f t="shared" si="151"/>
        <v>1.5506202480992397E-3</v>
      </c>
      <c r="X184" s="66">
        <f t="shared" si="151"/>
        <v>1.5506202480992397E-3</v>
      </c>
      <c r="Y184" s="66">
        <f t="shared" si="151"/>
        <v>1.5506202480992397E-3</v>
      </c>
      <c r="Z184" s="66">
        <f t="shared" si="151"/>
        <v>1.5506202480992397E-3</v>
      </c>
      <c r="AA184" s="66">
        <f t="shared" si="151"/>
        <v>1.5506202480992397E-3</v>
      </c>
      <c r="AB184" s="66">
        <f t="shared" si="151"/>
        <v>1.5506202480992397E-3</v>
      </c>
      <c r="AC184" s="66">
        <f t="shared" si="151"/>
        <v>1.5506202480992397E-3</v>
      </c>
    </row>
    <row r="185" spans="1:29" x14ac:dyDescent="0.25">
      <c r="A185" s="30" t="str">
        <f t="shared" si="146"/>
        <v>Opex maintenance &amp; repair</v>
      </c>
      <c r="B185" s="66">
        <f>B143/B153/(B150)</f>
        <v>2.6260504201680674E-3</v>
      </c>
      <c r="C185" s="66">
        <f t="shared" ref="C185:AC185" si="152">C143/C153/(C150)</f>
        <v>2.6260504201680674E-3</v>
      </c>
      <c r="D185" s="66">
        <f t="shared" si="152"/>
        <v>2.6260504201680674E-3</v>
      </c>
      <c r="E185" s="66">
        <f t="shared" si="152"/>
        <v>2.6260504201680674E-3</v>
      </c>
      <c r="F185" s="66">
        <f t="shared" si="152"/>
        <v>2.6260504201680674E-3</v>
      </c>
      <c r="G185" s="66">
        <f t="shared" si="152"/>
        <v>2.6260504201680674E-3</v>
      </c>
      <c r="H185" s="66">
        <f t="shared" si="152"/>
        <v>2.6260504201680674E-3</v>
      </c>
      <c r="I185" s="66">
        <f t="shared" si="152"/>
        <v>2.6260504201680674E-3</v>
      </c>
      <c r="J185" s="66">
        <f t="shared" si="152"/>
        <v>2.6260504201680674E-3</v>
      </c>
      <c r="K185" s="66">
        <f t="shared" si="152"/>
        <v>2.6260504201680674E-3</v>
      </c>
      <c r="L185" s="66">
        <f t="shared" si="152"/>
        <v>2.6260504201680674E-3</v>
      </c>
      <c r="M185" s="66">
        <f t="shared" si="152"/>
        <v>2.6260504201680674E-3</v>
      </c>
      <c r="N185" s="66">
        <f t="shared" si="152"/>
        <v>2.6260504201680674E-3</v>
      </c>
      <c r="O185" s="66">
        <f t="shared" si="152"/>
        <v>2.6260504201680674E-3</v>
      </c>
      <c r="P185" s="66">
        <f t="shared" si="152"/>
        <v>2.6260504201680674E-3</v>
      </c>
      <c r="Q185" s="66">
        <f t="shared" si="152"/>
        <v>2.6260504201680674E-3</v>
      </c>
      <c r="R185" s="66">
        <f t="shared" si="152"/>
        <v>2.6260504201680674E-3</v>
      </c>
      <c r="S185" s="66">
        <f t="shared" si="152"/>
        <v>2.6260504201680674E-3</v>
      </c>
      <c r="T185" s="66">
        <f t="shared" si="152"/>
        <v>2.6260504201680674E-3</v>
      </c>
      <c r="U185" s="66">
        <f t="shared" si="152"/>
        <v>2.6260504201680674E-3</v>
      </c>
      <c r="V185" s="66">
        <f t="shared" si="152"/>
        <v>2.6260504201680674E-3</v>
      </c>
      <c r="W185" s="66">
        <f t="shared" si="152"/>
        <v>2.6260504201680674E-3</v>
      </c>
      <c r="X185" s="66">
        <f t="shared" si="152"/>
        <v>2.6260504201680674E-3</v>
      </c>
      <c r="Y185" s="66">
        <f t="shared" si="152"/>
        <v>2.6260504201680674E-3</v>
      </c>
      <c r="Z185" s="66">
        <f t="shared" si="152"/>
        <v>2.6260504201680674E-3</v>
      </c>
      <c r="AA185" s="66">
        <f t="shared" si="152"/>
        <v>2.6260504201680674E-3</v>
      </c>
      <c r="AB185" s="66">
        <f t="shared" si="152"/>
        <v>2.6260504201680674E-3</v>
      </c>
      <c r="AC185" s="66">
        <f t="shared" si="152"/>
        <v>2.6260504201680674E-3</v>
      </c>
    </row>
    <row r="186" spans="1:29" x14ac:dyDescent="0.25">
      <c r="A186" s="30" t="str">
        <f t="shared" si="146"/>
        <v>Opex var (mode-fees, shunting)</v>
      </c>
      <c r="B186" s="66">
        <f>B144*B153/B153/(B150)</f>
        <v>1.6256502601040416E-3</v>
      </c>
      <c r="C186" s="66">
        <f t="shared" ref="C186:AC186" si="153">C144*C153/C153/(C150)</f>
        <v>1.6256502601040416E-3</v>
      </c>
      <c r="D186" s="66">
        <f t="shared" si="153"/>
        <v>1.6256502601040416E-3</v>
      </c>
      <c r="E186" s="66">
        <f t="shared" si="153"/>
        <v>1.6256502601040416E-3</v>
      </c>
      <c r="F186" s="66">
        <f t="shared" si="153"/>
        <v>1.6256502601040416E-3</v>
      </c>
      <c r="G186" s="66">
        <f t="shared" si="153"/>
        <v>1.6256502601040416E-3</v>
      </c>
      <c r="H186" s="66">
        <f t="shared" si="153"/>
        <v>1.6256502601040416E-3</v>
      </c>
      <c r="I186" s="66">
        <f t="shared" si="153"/>
        <v>1.6256502601040416E-3</v>
      </c>
      <c r="J186" s="66">
        <f t="shared" si="153"/>
        <v>1.6256502601040416E-3</v>
      </c>
      <c r="K186" s="66">
        <f t="shared" si="153"/>
        <v>1.6256502601040416E-3</v>
      </c>
      <c r="L186" s="66">
        <f t="shared" si="153"/>
        <v>1.6256502601040416E-3</v>
      </c>
      <c r="M186" s="66">
        <f t="shared" si="153"/>
        <v>1.6256502601040416E-3</v>
      </c>
      <c r="N186" s="66">
        <f t="shared" si="153"/>
        <v>1.6256502601040416E-3</v>
      </c>
      <c r="O186" s="66">
        <f t="shared" si="153"/>
        <v>1.6256502601040416E-3</v>
      </c>
      <c r="P186" s="66">
        <f t="shared" si="153"/>
        <v>1.6256502601040416E-3</v>
      </c>
      <c r="Q186" s="66">
        <f t="shared" si="153"/>
        <v>1.6256502601040416E-3</v>
      </c>
      <c r="R186" s="66">
        <f t="shared" si="153"/>
        <v>1.6256502601040416E-3</v>
      </c>
      <c r="S186" s="66">
        <f t="shared" si="153"/>
        <v>1.6256502601040416E-3</v>
      </c>
      <c r="T186" s="66">
        <f t="shared" si="153"/>
        <v>1.6256502601040416E-3</v>
      </c>
      <c r="U186" s="66">
        <f t="shared" si="153"/>
        <v>1.6256502601040416E-3</v>
      </c>
      <c r="V186" s="66">
        <f t="shared" si="153"/>
        <v>1.6256502601040416E-3</v>
      </c>
      <c r="W186" s="66">
        <f t="shared" si="153"/>
        <v>1.6256502601040416E-3</v>
      </c>
      <c r="X186" s="66">
        <f t="shared" si="153"/>
        <v>1.6256502601040416E-3</v>
      </c>
      <c r="Y186" s="66">
        <f t="shared" si="153"/>
        <v>1.6256502601040416E-3</v>
      </c>
      <c r="Z186" s="66">
        <f t="shared" si="153"/>
        <v>1.6256502601040416E-3</v>
      </c>
      <c r="AA186" s="66">
        <f t="shared" si="153"/>
        <v>1.6256502601040416E-3</v>
      </c>
      <c r="AB186" s="66">
        <f t="shared" si="153"/>
        <v>1.6256502601040416E-3</v>
      </c>
      <c r="AC186" s="66">
        <f t="shared" si="153"/>
        <v>1.6256502601040416E-3</v>
      </c>
    </row>
    <row r="187" spans="1:29" x14ac:dyDescent="0.25">
      <c r="A187" s="30" t="str">
        <f t="shared" si="146"/>
        <v>Fuel Cost</v>
      </c>
      <c r="B187" s="66">
        <f>B145*B146*B153/B153/(B150)</f>
        <v>1.9863208475390157E-3</v>
      </c>
      <c r="C187" s="66">
        <f t="shared" ref="C187:AC187" si="154">C145*C146*C153/C153/(C150)</f>
        <v>1.8493332028811521E-3</v>
      </c>
      <c r="D187" s="66">
        <f t="shared" si="154"/>
        <v>1.7123455582232895E-3</v>
      </c>
      <c r="E187" s="66">
        <f t="shared" si="154"/>
        <v>1.5753579135654259E-3</v>
      </c>
      <c r="F187" s="66">
        <f t="shared" si="154"/>
        <v>1.4383702689075631E-3</v>
      </c>
      <c r="G187" s="66">
        <f t="shared" si="154"/>
        <v>1.3013826242497001E-3</v>
      </c>
      <c r="H187" s="66">
        <f t="shared" si="154"/>
        <v>1.1643949795918369E-3</v>
      </c>
      <c r="I187" s="66">
        <f t="shared" si="154"/>
        <v>1.0274073349339737E-3</v>
      </c>
      <c r="J187" s="66">
        <f t="shared" si="154"/>
        <v>1.0066145674412622E-3</v>
      </c>
      <c r="K187" s="66">
        <f t="shared" si="154"/>
        <v>9.8582179994855077E-4</v>
      </c>
      <c r="L187" s="66">
        <f t="shared" si="154"/>
        <v>9.650290324558394E-4</v>
      </c>
      <c r="M187" s="66">
        <f t="shared" si="154"/>
        <v>9.4423626496312793E-4</v>
      </c>
      <c r="N187" s="66">
        <f t="shared" si="154"/>
        <v>9.2344349747041678E-4</v>
      </c>
      <c r="O187" s="66">
        <f t="shared" si="154"/>
        <v>9.026507299777053E-4</v>
      </c>
      <c r="P187" s="66">
        <f t="shared" si="154"/>
        <v>8.8185796248499405E-4</v>
      </c>
      <c r="Q187" s="66">
        <f t="shared" si="154"/>
        <v>8.6106519499228268E-4</v>
      </c>
      <c r="R187" s="66">
        <f t="shared" si="154"/>
        <v>8.402724274995711E-4</v>
      </c>
      <c r="S187" s="66">
        <f t="shared" si="154"/>
        <v>8.1947966000685995E-4</v>
      </c>
      <c r="T187" s="66">
        <f t="shared" si="154"/>
        <v>7.9868689251414858E-4</v>
      </c>
      <c r="U187" s="66">
        <f t="shared" si="154"/>
        <v>7.7789412502143711E-4</v>
      </c>
      <c r="V187" s="66">
        <f t="shared" si="154"/>
        <v>7.5710135752872563E-4</v>
      </c>
      <c r="W187" s="66">
        <f t="shared" si="154"/>
        <v>7.3630859003601427E-4</v>
      </c>
      <c r="X187" s="66">
        <f t="shared" si="154"/>
        <v>7.1551582254330312E-4</v>
      </c>
      <c r="Y187" s="66">
        <f t="shared" si="154"/>
        <v>6.9472305505059154E-4</v>
      </c>
      <c r="Z187" s="66">
        <f t="shared" si="154"/>
        <v>6.7393028755788017E-4</v>
      </c>
      <c r="AA187" s="66">
        <f t="shared" si="154"/>
        <v>6.5313752006516891E-4</v>
      </c>
      <c r="AB187" s="66">
        <f t="shared" si="154"/>
        <v>6.3234475257245744E-4</v>
      </c>
      <c r="AC187" s="66">
        <f t="shared" si="154"/>
        <v>6.1155198507974618E-4</v>
      </c>
    </row>
    <row r="188" spans="1:29" x14ac:dyDescent="0.25">
      <c r="A188" s="59" t="str">
        <f>A151</f>
        <v>Market failure (av. utilization)</v>
      </c>
      <c r="B188" s="66">
        <f t="shared" ref="B188:AC188" si="155">B177/B151-B177/B150</f>
        <v>1.2774641951516773E-2</v>
      </c>
      <c r="C188" s="66">
        <f t="shared" si="155"/>
        <v>1.2591144500534135E-2</v>
      </c>
      <c r="D188" s="66">
        <f t="shared" si="155"/>
        <v>1.240789043899203E-2</v>
      </c>
      <c r="E188" s="66">
        <f t="shared" si="155"/>
        <v>1.2224976644403737E-2</v>
      </c>
      <c r="F188" s="66">
        <f t="shared" si="155"/>
        <v>1.204253282340678E-2</v>
      </c>
      <c r="G188" s="66">
        <f t="shared" si="155"/>
        <v>1.186072659266541E-2</v>
      </c>
      <c r="H188" s="66">
        <f t="shared" si="155"/>
        <v>1.1679762787089661E-2</v>
      </c>
      <c r="I188" s="66">
        <f t="shared" si="155"/>
        <v>1.149986963752672E-2</v>
      </c>
      <c r="J188" s="66">
        <f t="shared" si="155"/>
        <v>1.1477398649812851E-2</v>
      </c>
      <c r="K188" s="66">
        <f t="shared" si="155"/>
        <v>1.1456346019358738E-2</v>
      </c>
      <c r="L188" s="66">
        <f t="shared" si="155"/>
        <v>1.1436670721367415E-2</v>
      </c>
      <c r="M188" s="66">
        <f t="shared" si="155"/>
        <v>1.1418076265446135E-2</v>
      </c>
      <c r="N188" s="66">
        <f t="shared" si="155"/>
        <v>1.1400002333654508E-2</v>
      </c>
      <c r="O188" s="66">
        <f t="shared" si="155"/>
        <v>1.1381734250558684E-2</v>
      </c>
      <c r="P188" s="66">
        <f t="shared" si="155"/>
        <v>1.1362598770370524E-2</v>
      </c>
      <c r="Q188" s="66">
        <f t="shared" si="155"/>
        <v>1.1342141316185047E-2</v>
      </c>
      <c r="R188" s="66">
        <f t="shared" si="155"/>
        <v>1.1320193439301717E-2</v>
      </c>
      <c r="S188" s="66">
        <f t="shared" si="155"/>
        <v>1.1296825628529178E-2</v>
      </c>
      <c r="T188" s="66">
        <f t="shared" si="155"/>
        <v>1.1272246479774673E-2</v>
      </c>
      <c r="U188" s="66">
        <f t="shared" si="155"/>
        <v>1.1246709359615104E-2</v>
      </c>
      <c r="V188" s="66">
        <f t="shared" si="155"/>
        <v>1.1220453339371059E-2</v>
      </c>
      <c r="W188" s="66">
        <f t="shared" si="155"/>
        <v>1.1193676985977844E-2</v>
      </c>
      <c r="X188" s="66">
        <f t="shared" si="155"/>
        <v>1.1166533238539415E-2</v>
      </c>
      <c r="Y188" s="66">
        <f t="shared" si="155"/>
        <v>1.113913442674362E-2</v>
      </c>
      <c r="Z188" s="66">
        <f t="shared" si="155"/>
        <v>1.1111560551826037E-2</v>
      </c>
      <c r="AA188" s="66">
        <f t="shared" si="155"/>
        <v>1.1083867448648187E-2</v>
      </c>
      <c r="AB188" s="66">
        <f t="shared" si="155"/>
        <v>1.105609356642615E-2</v>
      </c>
      <c r="AC188" s="66">
        <f t="shared" si="155"/>
        <v>1.1028265146836648E-2</v>
      </c>
    </row>
    <row r="189" spans="1:29" x14ac:dyDescent="0.25">
      <c r="A189" s="59" t="str">
        <f>A152</f>
        <v>Payload loss (fuel)</v>
      </c>
      <c r="B189" s="66">
        <f>B177/(B150-B152)-B177/B150</f>
        <v>0</v>
      </c>
      <c r="C189" s="66">
        <f t="shared" ref="C189:AC189" si="156">C177/(C150-C152)-C177/C150</f>
        <v>0</v>
      </c>
      <c r="D189" s="66">
        <f t="shared" si="156"/>
        <v>0</v>
      </c>
      <c r="E189" s="66">
        <f t="shared" si="156"/>
        <v>0</v>
      </c>
      <c r="F189" s="66">
        <f t="shared" si="156"/>
        <v>0</v>
      </c>
      <c r="G189" s="66">
        <f t="shared" si="156"/>
        <v>0</v>
      </c>
      <c r="H189" s="66">
        <f t="shared" si="156"/>
        <v>0</v>
      </c>
      <c r="I189" s="66">
        <f t="shared" si="156"/>
        <v>0</v>
      </c>
      <c r="J189" s="66">
        <f t="shared" si="156"/>
        <v>0</v>
      </c>
      <c r="K189" s="66">
        <f t="shared" si="156"/>
        <v>0</v>
      </c>
      <c r="L189" s="66">
        <f t="shared" si="156"/>
        <v>0</v>
      </c>
      <c r="M189" s="66">
        <f t="shared" si="156"/>
        <v>0</v>
      </c>
      <c r="N189" s="66">
        <f t="shared" si="156"/>
        <v>0</v>
      </c>
      <c r="O189" s="66">
        <f t="shared" si="156"/>
        <v>0</v>
      </c>
      <c r="P189" s="66">
        <f t="shared" si="156"/>
        <v>0</v>
      </c>
      <c r="Q189" s="66">
        <f t="shared" si="156"/>
        <v>0</v>
      </c>
      <c r="R189" s="66">
        <f t="shared" si="156"/>
        <v>0</v>
      </c>
      <c r="S189" s="66">
        <f t="shared" si="156"/>
        <v>0</v>
      </c>
      <c r="T189" s="66">
        <f t="shared" si="156"/>
        <v>0</v>
      </c>
      <c r="U189" s="66">
        <f t="shared" si="156"/>
        <v>0</v>
      </c>
      <c r="V189" s="66">
        <f t="shared" si="156"/>
        <v>0</v>
      </c>
      <c r="W189" s="66">
        <f t="shared" si="156"/>
        <v>0</v>
      </c>
      <c r="X189" s="66">
        <f t="shared" si="156"/>
        <v>0</v>
      </c>
      <c r="Y189" s="66">
        <f t="shared" si="156"/>
        <v>0</v>
      </c>
      <c r="Z189" s="66">
        <f t="shared" si="156"/>
        <v>0</v>
      </c>
      <c r="AA189" s="66">
        <f t="shared" si="156"/>
        <v>0</v>
      </c>
      <c r="AB189" s="66">
        <f t="shared" si="156"/>
        <v>0</v>
      </c>
      <c r="AC189" s="66">
        <f t="shared" si="156"/>
        <v>0</v>
      </c>
    </row>
    <row r="190" spans="1:29" ht="15.75" thickBot="1" x14ac:dyDescent="0.3">
      <c r="A190" s="59" t="str">
        <f>A127</f>
        <v>Emission Cost</v>
      </c>
      <c r="B190" s="69">
        <f>B147*B153/B153/(B150)</f>
        <v>0</v>
      </c>
      <c r="C190" s="69">
        <f t="shared" ref="C190:AC190" si="157">C147*C153/C153/(C150)</f>
        <v>0</v>
      </c>
      <c r="D190" s="69">
        <f t="shared" si="157"/>
        <v>0</v>
      </c>
      <c r="E190" s="69">
        <f t="shared" si="157"/>
        <v>0</v>
      </c>
      <c r="F190" s="69">
        <f t="shared" si="157"/>
        <v>0</v>
      </c>
      <c r="G190" s="69">
        <f t="shared" si="157"/>
        <v>0</v>
      </c>
      <c r="H190" s="69">
        <f t="shared" si="157"/>
        <v>0</v>
      </c>
      <c r="I190" s="69">
        <f t="shared" si="157"/>
        <v>0</v>
      </c>
      <c r="J190" s="69">
        <f t="shared" si="157"/>
        <v>0</v>
      </c>
      <c r="K190" s="69">
        <f t="shared" si="157"/>
        <v>0</v>
      </c>
      <c r="L190" s="69">
        <f t="shared" si="157"/>
        <v>0</v>
      </c>
      <c r="M190" s="69">
        <f t="shared" si="157"/>
        <v>0</v>
      </c>
      <c r="N190" s="69">
        <f t="shared" si="157"/>
        <v>0</v>
      </c>
      <c r="O190" s="69">
        <f t="shared" si="157"/>
        <v>0</v>
      </c>
      <c r="P190" s="69">
        <f t="shared" si="157"/>
        <v>0</v>
      </c>
      <c r="Q190" s="69">
        <f t="shared" si="157"/>
        <v>0</v>
      </c>
      <c r="R190" s="69">
        <f t="shared" si="157"/>
        <v>0</v>
      </c>
      <c r="S190" s="69">
        <f t="shared" si="157"/>
        <v>0</v>
      </c>
      <c r="T190" s="69">
        <f t="shared" si="157"/>
        <v>0</v>
      </c>
      <c r="U190" s="69">
        <f t="shared" si="157"/>
        <v>0</v>
      </c>
      <c r="V190" s="69">
        <f t="shared" si="157"/>
        <v>0</v>
      </c>
      <c r="W190" s="69">
        <f t="shared" si="157"/>
        <v>0</v>
      </c>
      <c r="X190" s="69">
        <f t="shared" si="157"/>
        <v>0</v>
      </c>
      <c r="Y190" s="69">
        <f t="shared" si="157"/>
        <v>0</v>
      </c>
      <c r="Z190" s="69">
        <f t="shared" si="157"/>
        <v>0</v>
      </c>
      <c r="AA190" s="69">
        <f t="shared" si="157"/>
        <v>0</v>
      </c>
      <c r="AB190" s="69">
        <f t="shared" si="157"/>
        <v>0</v>
      </c>
      <c r="AC190" s="69">
        <f t="shared" si="157"/>
        <v>0</v>
      </c>
    </row>
    <row r="191" spans="1:29" ht="15.75" thickBot="1" x14ac:dyDescent="0.3">
      <c r="A191" s="31" t="s">
        <v>210</v>
      </c>
      <c r="B191" s="67">
        <f>B180+B181+B182+B183+B184+B185+B186+B187+B188+B189+B190</f>
        <v>2.2179603065261261E-2</v>
      </c>
      <c r="C191" s="67">
        <f t="shared" ref="C191:AC191" si="158">C180+C181+C182+C183+C184+C185+C186+C187+C188+C189+C190</f>
        <v>2.1859549371686889E-2</v>
      </c>
      <c r="D191" s="67">
        <f t="shared" si="158"/>
        <v>2.1539920194578573E-2</v>
      </c>
      <c r="E191" s="67">
        <f t="shared" si="158"/>
        <v>2.1220884506343171E-2</v>
      </c>
      <c r="F191" s="67">
        <f t="shared" si="158"/>
        <v>2.0902668539488016E-2</v>
      </c>
      <c r="G191" s="67">
        <f t="shared" si="158"/>
        <v>2.0585564648660043E-2</v>
      </c>
      <c r="H191" s="67">
        <f t="shared" si="158"/>
        <v>2.0269930104051179E-2</v>
      </c>
      <c r="I191" s="67">
        <f t="shared" si="158"/>
        <v>1.9956162982720467E-2</v>
      </c>
      <c r="J191" s="67">
        <f t="shared" si="158"/>
        <v>1.9916969399498604E-2</v>
      </c>
      <c r="K191" s="67">
        <f t="shared" si="158"/>
        <v>1.9880249695218174E-2</v>
      </c>
      <c r="L191" s="67">
        <f t="shared" si="158"/>
        <v>1.9845932315000751E-2</v>
      </c>
      <c r="M191" s="67">
        <f t="shared" si="158"/>
        <v>1.9813500124440376E-2</v>
      </c>
      <c r="N191" s="67">
        <f t="shared" si="158"/>
        <v>1.9781975824803823E-2</v>
      </c>
      <c r="O191" s="67">
        <f t="shared" si="158"/>
        <v>1.975011288917157E-2</v>
      </c>
      <c r="P191" s="67">
        <f t="shared" si="158"/>
        <v>1.971673705163408E-2</v>
      </c>
      <c r="Q191" s="67">
        <f t="shared" si="158"/>
        <v>1.9681055445496618E-2</v>
      </c>
      <c r="R191" s="67">
        <f t="shared" si="158"/>
        <v>1.964277426488616E-2</v>
      </c>
      <c r="S191" s="67">
        <f t="shared" si="158"/>
        <v>1.9602016455399177E-2</v>
      </c>
      <c r="T191" s="67">
        <f t="shared" si="158"/>
        <v>1.9559145847106434E-2</v>
      </c>
      <c r="U191" s="67">
        <f t="shared" si="158"/>
        <v>1.951460435845602E-2</v>
      </c>
      <c r="V191" s="67">
        <f t="shared" si="158"/>
        <v>1.9468808974309436E-2</v>
      </c>
      <c r="W191" s="67">
        <f t="shared" si="158"/>
        <v>1.9422106032344521E-2</v>
      </c>
      <c r="X191" s="67">
        <f t="shared" si="158"/>
        <v>1.937476228681238E-2</v>
      </c>
      <c r="Y191" s="67">
        <f t="shared" si="158"/>
        <v>1.9326973661587157E-2</v>
      </c>
      <c r="Z191" s="67">
        <f t="shared" si="158"/>
        <v>1.9278879693707653E-2</v>
      </c>
      <c r="AA191" s="67">
        <f t="shared" si="158"/>
        <v>1.9230577769560237E-2</v>
      </c>
      <c r="AB191" s="67">
        <f t="shared" si="158"/>
        <v>1.9182134951731104E-2</v>
      </c>
      <c r="AC191" s="67">
        <f t="shared" si="158"/>
        <v>1.9133597010586624E-2</v>
      </c>
    </row>
    <row r="193" spans="2:2" x14ac:dyDescent="0.25">
      <c r="B193" s="40"/>
    </row>
    <row r="215" spans="1:44" s="3" customFormat="1" ht="21" x14ac:dyDescent="0.35">
      <c r="A215" s="2" t="str">
        <f>'Parameter Input'!A170</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Input'!$L$147</f>
        <v>3500000</v>
      </c>
      <c r="C225" s="42">
        <f>'Parameter Input'!$M$147</f>
        <v>3500000</v>
      </c>
      <c r="D225" s="1" t="s">
        <v>15</v>
      </c>
      <c r="L225" s="51">
        <f>'Parameter Input'!$O$147</f>
        <v>12</v>
      </c>
      <c r="M225" s="52">
        <v>0</v>
      </c>
      <c r="N225" s="52">
        <v>1</v>
      </c>
      <c r="O225" s="52">
        <f>'Parameter Input'!$P$147</f>
        <v>0.9</v>
      </c>
      <c r="P225" s="53">
        <f>'Parameter Input'!$Q$147</f>
        <v>0.4</v>
      </c>
      <c r="Q225" s="4">
        <f t="shared" ref="Q225:AR234" si="159">$N225+($M225-$N225)*((1/(1+EXP(-$P225*(Q$9-$L225)))^$O225))</f>
        <v>0.9867978615748374</v>
      </c>
      <c r="R225" s="4">
        <f t="shared" si="159"/>
        <v>0.98114509762858249</v>
      </c>
      <c r="S225" s="4">
        <f t="shared" si="159"/>
        <v>0.97311898315872036</v>
      </c>
      <c r="T225" s="4">
        <f t="shared" si="159"/>
        <v>0.96177484161592774</v>
      </c>
      <c r="U225" s="4">
        <f t="shared" si="159"/>
        <v>0.94584787155511363</v>
      </c>
      <c r="V225" s="4">
        <f t="shared" si="159"/>
        <v>0.92370360150141495</v>
      </c>
      <c r="W225" s="4">
        <f t="shared" si="159"/>
        <v>0.89334463567658451</v>
      </c>
      <c r="X225" s="4">
        <f t="shared" si="159"/>
        <v>0.85254543874327005</v>
      </c>
      <c r="Y225" s="4">
        <f t="shared" si="159"/>
        <v>0.79921300652623883</v>
      </c>
      <c r="Z225" s="4">
        <f t="shared" si="159"/>
        <v>0.73204982249993378</v>
      </c>
      <c r="AA225" s="4">
        <f t="shared" si="159"/>
        <v>0.65145592958786691</v>
      </c>
      <c r="AB225" s="4">
        <f t="shared" si="159"/>
        <v>0.56032247880849573</v>
      </c>
      <c r="AC225" s="4">
        <f t="shared" si="159"/>
        <v>0.46411326873185343</v>
      </c>
      <c r="AD225" s="4">
        <f t="shared" si="159"/>
        <v>0.36979727595523937</v>
      </c>
      <c r="AE225" s="4">
        <f t="shared" si="159"/>
        <v>0.28393948637231203</v>
      </c>
      <c r="AF225" s="4">
        <f t="shared" si="159"/>
        <v>0.21097259161117732</v>
      </c>
      <c r="AG225" s="4">
        <f t="shared" si="159"/>
        <v>0.15253917653798199</v>
      </c>
      <c r="AH225" s="4">
        <f t="shared" si="159"/>
        <v>0.10795188737709993</v>
      </c>
      <c r="AI225" s="4">
        <f t="shared" si="159"/>
        <v>7.5176653938091809E-2</v>
      </c>
      <c r="AJ225" s="4">
        <f t="shared" si="159"/>
        <v>5.1742836177502194E-2</v>
      </c>
      <c r="AK225" s="4">
        <f t="shared" si="159"/>
        <v>3.5319190625345942E-2</v>
      </c>
      <c r="AL225" s="4">
        <f t="shared" si="159"/>
        <v>2.3969442072658165E-2</v>
      </c>
      <c r="AM225" s="4">
        <f t="shared" si="159"/>
        <v>1.6202243558389728E-2</v>
      </c>
      <c r="AN225" s="4">
        <f t="shared" si="159"/>
        <v>1.0922240564108399E-2</v>
      </c>
      <c r="AO225" s="4">
        <f t="shared" si="159"/>
        <v>7.3493212906090566E-3</v>
      </c>
      <c r="AP225" s="4">
        <f t="shared" si="159"/>
        <v>4.9390262185057265E-3</v>
      </c>
      <c r="AQ225" s="4">
        <f t="shared" si="159"/>
        <v>3.3164275492956197E-3</v>
      </c>
      <c r="AR225" s="4">
        <f t="shared" si="159"/>
        <v>2.2256362146679809E-3</v>
      </c>
    </row>
    <row r="226" spans="1:44" x14ac:dyDescent="0.25">
      <c r="A226" s="24" t="s">
        <v>28</v>
      </c>
      <c r="B226" s="60">
        <f>'Parameter Input'!$L$148</f>
        <v>-525000</v>
      </c>
      <c r="C226" s="61">
        <f>'Parameter Input'!$M$148</f>
        <v>-175000</v>
      </c>
      <c r="D226" s="1" t="s">
        <v>15</v>
      </c>
      <c r="L226" s="54">
        <f>'Parameter Input'!$O$148</f>
        <v>12</v>
      </c>
      <c r="M226" s="37">
        <v>0</v>
      </c>
      <c r="N226" s="37">
        <v>1</v>
      </c>
      <c r="O226" s="37">
        <f>'Parameter Input'!$P$148</f>
        <v>0.9</v>
      </c>
      <c r="P226" s="55">
        <f>'Parameter Input'!$Q$148</f>
        <v>0.4</v>
      </c>
      <c r="Q226" s="4">
        <f t="shared" si="159"/>
        <v>0.9867978615748374</v>
      </c>
      <c r="R226" s="4">
        <f t="shared" si="159"/>
        <v>0.98114509762858249</v>
      </c>
      <c r="S226" s="4">
        <f t="shared" si="159"/>
        <v>0.97311898315872036</v>
      </c>
      <c r="T226" s="4">
        <f t="shared" si="159"/>
        <v>0.96177484161592774</v>
      </c>
      <c r="U226" s="4">
        <f t="shared" si="159"/>
        <v>0.94584787155511363</v>
      </c>
      <c r="V226" s="4">
        <f t="shared" si="159"/>
        <v>0.92370360150141495</v>
      </c>
      <c r="W226" s="4">
        <f t="shared" si="159"/>
        <v>0.89334463567658451</v>
      </c>
      <c r="X226" s="4">
        <f t="shared" si="159"/>
        <v>0.85254543874327005</v>
      </c>
      <c r="Y226" s="4">
        <f t="shared" si="159"/>
        <v>0.79921300652623883</v>
      </c>
      <c r="Z226" s="4">
        <f t="shared" si="159"/>
        <v>0.73204982249993378</v>
      </c>
      <c r="AA226" s="4">
        <f t="shared" si="159"/>
        <v>0.65145592958786691</v>
      </c>
      <c r="AB226" s="4">
        <f t="shared" si="159"/>
        <v>0.56032247880849573</v>
      </c>
      <c r="AC226" s="4">
        <f t="shared" si="159"/>
        <v>0.46411326873185343</v>
      </c>
      <c r="AD226" s="4">
        <f t="shared" si="159"/>
        <v>0.36979727595523937</v>
      </c>
      <c r="AE226" s="4">
        <f t="shared" si="159"/>
        <v>0.28393948637231203</v>
      </c>
      <c r="AF226" s="4">
        <f t="shared" si="159"/>
        <v>0.21097259161117732</v>
      </c>
      <c r="AG226" s="4">
        <f t="shared" si="159"/>
        <v>0.15253917653798199</v>
      </c>
      <c r="AH226" s="4">
        <f t="shared" si="159"/>
        <v>0.10795188737709993</v>
      </c>
      <c r="AI226" s="4">
        <f t="shared" si="159"/>
        <v>7.5176653938091809E-2</v>
      </c>
      <c r="AJ226" s="4">
        <f t="shared" si="159"/>
        <v>5.1742836177502194E-2</v>
      </c>
      <c r="AK226" s="4">
        <f t="shared" si="159"/>
        <v>3.5319190625345942E-2</v>
      </c>
      <c r="AL226" s="4">
        <f t="shared" si="159"/>
        <v>2.3969442072658165E-2</v>
      </c>
      <c r="AM226" s="4">
        <f t="shared" si="159"/>
        <v>1.6202243558389728E-2</v>
      </c>
      <c r="AN226" s="4">
        <f t="shared" si="159"/>
        <v>1.0922240564108399E-2</v>
      </c>
      <c r="AO226" s="4">
        <f t="shared" si="159"/>
        <v>7.3493212906090566E-3</v>
      </c>
      <c r="AP226" s="4">
        <f t="shared" si="159"/>
        <v>4.9390262185057265E-3</v>
      </c>
      <c r="AQ226" s="4">
        <f t="shared" si="159"/>
        <v>3.3164275492956197E-3</v>
      </c>
      <c r="AR226" s="4">
        <f t="shared" si="159"/>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59"/>
        <v>0.9867978615748374</v>
      </c>
      <c r="R227" s="4">
        <f t="shared" si="159"/>
        <v>0.98114509762858249</v>
      </c>
      <c r="S227" s="4">
        <f t="shared" si="159"/>
        <v>0.97311898315872036</v>
      </c>
      <c r="T227" s="4">
        <f t="shared" si="159"/>
        <v>0.96177484161592774</v>
      </c>
      <c r="U227" s="4">
        <f t="shared" si="159"/>
        <v>0.94584787155511363</v>
      </c>
      <c r="V227" s="4">
        <f t="shared" si="159"/>
        <v>0.92370360150141495</v>
      </c>
      <c r="W227" s="4">
        <f t="shared" si="159"/>
        <v>0.89334463567658451</v>
      </c>
      <c r="X227" s="4">
        <f t="shared" si="159"/>
        <v>0.85254543874327005</v>
      </c>
      <c r="Y227" s="4">
        <f t="shared" si="159"/>
        <v>0.79921300652623883</v>
      </c>
      <c r="Z227" s="4">
        <f t="shared" si="159"/>
        <v>0.73204982249993378</v>
      </c>
      <c r="AA227" s="4">
        <f t="shared" si="159"/>
        <v>0.65145592958786691</v>
      </c>
      <c r="AB227" s="4">
        <f t="shared" si="159"/>
        <v>0.56032247880849573</v>
      </c>
      <c r="AC227" s="4">
        <f t="shared" si="159"/>
        <v>0.46411326873185343</v>
      </c>
      <c r="AD227" s="4">
        <f t="shared" si="159"/>
        <v>0.36979727595523937</v>
      </c>
      <c r="AE227" s="4">
        <f t="shared" si="159"/>
        <v>0.28393948637231203</v>
      </c>
      <c r="AF227" s="4">
        <f t="shared" si="159"/>
        <v>0.21097259161117732</v>
      </c>
      <c r="AG227" s="4">
        <f t="shared" si="159"/>
        <v>0.15253917653798199</v>
      </c>
      <c r="AH227" s="4">
        <f t="shared" si="159"/>
        <v>0.10795188737709993</v>
      </c>
      <c r="AI227" s="4">
        <f t="shared" si="159"/>
        <v>7.5176653938091809E-2</v>
      </c>
      <c r="AJ227" s="4">
        <f t="shared" si="159"/>
        <v>5.1742836177502194E-2</v>
      </c>
      <c r="AK227" s="4">
        <f t="shared" si="159"/>
        <v>3.5319190625345942E-2</v>
      </c>
      <c r="AL227" s="4">
        <f t="shared" si="159"/>
        <v>2.3969442072658165E-2</v>
      </c>
      <c r="AM227" s="4">
        <f t="shared" si="159"/>
        <v>1.6202243558389728E-2</v>
      </c>
      <c r="AN227" s="4">
        <f t="shared" si="159"/>
        <v>1.0922240564108399E-2</v>
      </c>
      <c r="AO227" s="4">
        <f t="shared" si="159"/>
        <v>7.3493212906090566E-3</v>
      </c>
      <c r="AP227" s="4">
        <f t="shared" si="159"/>
        <v>4.9390262185057265E-3</v>
      </c>
      <c r="AQ227" s="4">
        <f t="shared" si="159"/>
        <v>3.3164275492956197E-3</v>
      </c>
      <c r="AR227" s="4">
        <f t="shared" si="159"/>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59"/>
        <v>0.9867978615748374</v>
      </c>
      <c r="R228" s="4">
        <f t="shared" si="159"/>
        <v>0.98114509762858249</v>
      </c>
      <c r="S228" s="4">
        <f t="shared" si="159"/>
        <v>0.97311898315872036</v>
      </c>
      <c r="T228" s="4">
        <f t="shared" si="159"/>
        <v>0.96177484161592774</v>
      </c>
      <c r="U228" s="4">
        <f t="shared" si="159"/>
        <v>0.94584787155511363</v>
      </c>
      <c r="V228" s="4">
        <f t="shared" si="159"/>
        <v>0.92370360150141495</v>
      </c>
      <c r="W228" s="4">
        <f t="shared" si="159"/>
        <v>0.89334463567658451</v>
      </c>
      <c r="X228" s="4">
        <f t="shared" si="159"/>
        <v>0.85254543874327005</v>
      </c>
      <c r="Y228" s="4">
        <f t="shared" si="159"/>
        <v>0.79921300652623883</v>
      </c>
      <c r="Z228" s="4">
        <f t="shared" si="159"/>
        <v>0.73204982249993378</v>
      </c>
      <c r="AA228" s="4">
        <f t="shared" si="159"/>
        <v>0.65145592958786691</v>
      </c>
      <c r="AB228" s="4">
        <f t="shared" si="159"/>
        <v>0.56032247880849573</v>
      </c>
      <c r="AC228" s="4">
        <f t="shared" si="159"/>
        <v>0.46411326873185343</v>
      </c>
      <c r="AD228" s="4">
        <f t="shared" si="159"/>
        <v>0.36979727595523937</v>
      </c>
      <c r="AE228" s="4">
        <f t="shared" si="159"/>
        <v>0.28393948637231203</v>
      </c>
      <c r="AF228" s="4">
        <f t="shared" si="159"/>
        <v>0.21097259161117732</v>
      </c>
      <c r="AG228" s="4">
        <f t="shared" si="159"/>
        <v>0.15253917653798199</v>
      </c>
      <c r="AH228" s="4">
        <f t="shared" si="159"/>
        <v>0.10795188737709993</v>
      </c>
      <c r="AI228" s="4">
        <f t="shared" si="159"/>
        <v>7.5176653938091809E-2</v>
      </c>
      <c r="AJ228" s="4">
        <f t="shared" si="159"/>
        <v>5.1742836177502194E-2</v>
      </c>
      <c r="AK228" s="4">
        <f t="shared" si="159"/>
        <v>3.5319190625345942E-2</v>
      </c>
      <c r="AL228" s="4">
        <f t="shared" si="159"/>
        <v>2.3969442072658165E-2</v>
      </c>
      <c r="AM228" s="4">
        <f t="shared" si="159"/>
        <v>1.6202243558389728E-2</v>
      </c>
      <c r="AN228" s="4">
        <f t="shared" si="159"/>
        <v>1.0922240564108399E-2</v>
      </c>
      <c r="AO228" s="4">
        <f t="shared" si="159"/>
        <v>7.3493212906090566E-3</v>
      </c>
      <c r="AP228" s="4">
        <f t="shared" si="159"/>
        <v>4.9390262185057265E-3</v>
      </c>
      <c r="AQ228" s="4">
        <f t="shared" si="159"/>
        <v>3.3164275492956197E-3</v>
      </c>
      <c r="AR228" s="4">
        <f t="shared" si="159"/>
        <v>2.2256362146679809E-3</v>
      </c>
    </row>
    <row r="229" spans="1:44" x14ac:dyDescent="0.25">
      <c r="A229" s="24" t="s">
        <v>79</v>
      </c>
      <c r="B229" s="45">
        <f>'Parameter Input'!$L$154</f>
        <v>0.06</v>
      </c>
      <c r="C229" s="46">
        <f>'Parameter Input'!$M$154</f>
        <v>0.06</v>
      </c>
      <c r="D229" s="1" t="s">
        <v>57</v>
      </c>
      <c r="L229" s="54">
        <f>'Parameter Input'!$O$154</f>
        <v>12</v>
      </c>
      <c r="M229" s="37">
        <v>0</v>
      </c>
      <c r="N229" s="37">
        <v>1</v>
      </c>
      <c r="O229" s="37">
        <f>'Parameter Input'!$P$154</f>
        <v>0.9</v>
      </c>
      <c r="P229" s="55">
        <f>'Parameter Input'!$Q$154</f>
        <v>0.4</v>
      </c>
      <c r="Q229" s="4">
        <f t="shared" si="159"/>
        <v>0.9867978615748374</v>
      </c>
      <c r="R229" s="4">
        <f t="shared" si="159"/>
        <v>0.98114509762858249</v>
      </c>
      <c r="S229" s="4">
        <f t="shared" si="159"/>
        <v>0.97311898315872036</v>
      </c>
      <c r="T229" s="4">
        <f t="shared" si="159"/>
        <v>0.96177484161592774</v>
      </c>
      <c r="U229" s="4">
        <f t="shared" si="159"/>
        <v>0.94584787155511363</v>
      </c>
      <c r="V229" s="4">
        <f t="shared" si="159"/>
        <v>0.92370360150141495</v>
      </c>
      <c r="W229" s="4">
        <f t="shared" si="159"/>
        <v>0.89334463567658451</v>
      </c>
      <c r="X229" s="4">
        <f t="shared" si="159"/>
        <v>0.85254543874327005</v>
      </c>
      <c r="Y229" s="4">
        <f t="shared" si="159"/>
        <v>0.79921300652623883</v>
      </c>
      <c r="Z229" s="4">
        <f t="shared" si="159"/>
        <v>0.73204982249993378</v>
      </c>
      <c r="AA229" s="4">
        <f t="shared" si="159"/>
        <v>0.65145592958786691</v>
      </c>
      <c r="AB229" s="4">
        <f t="shared" si="159"/>
        <v>0.56032247880849573</v>
      </c>
      <c r="AC229" s="4">
        <f t="shared" si="159"/>
        <v>0.46411326873185343</v>
      </c>
      <c r="AD229" s="4">
        <f t="shared" si="159"/>
        <v>0.36979727595523937</v>
      </c>
      <c r="AE229" s="4">
        <f t="shared" si="159"/>
        <v>0.28393948637231203</v>
      </c>
      <c r="AF229" s="4">
        <f t="shared" si="159"/>
        <v>0.21097259161117732</v>
      </c>
      <c r="AG229" s="4">
        <f t="shared" si="159"/>
        <v>0.15253917653798199</v>
      </c>
      <c r="AH229" s="4">
        <f t="shared" si="159"/>
        <v>0.10795188737709993</v>
      </c>
      <c r="AI229" s="4">
        <f t="shared" si="159"/>
        <v>7.5176653938091809E-2</v>
      </c>
      <c r="AJ229" s="4">
        <f t="shared" si="159"/>
        <v>5.1742836177502194E-2</v>
      </c>
      <c r="AK229" s="4">
        <f t="shared" si="159"/>
        <v>3.5319190625345942E-2</v>
      </c>
      <c r="AL229" s="4">
        <f t="shared" si="159"/>
        <v>2.3969442072658165E-2</v>
      </c>
      <c r="AM229" s="4">
        <f t="shared" si="159"/>
        <v>1.6202243558389728E-2</v>
      </c>
      <c r="AN229" s="4">
        <f t="shared" si="159"/>
        <v>1.0922240564108399E-2</v>
      </c>
      <c r="AO229" s="4">
        <f t="shared" si="159"/>
        <v>7.3493212906090566E-3</v>
      </c>
      <c r="AP229" s="4">
        <f t="shared" si="159"/>
        <v>4.9390262185057265E-3</v>
      </c>
      <c r="AQ229" s="4">
        <f t="shared" si="159"/>
        <v>3.3164275492956197E-3</v>
      </c>
      <c r="AR229" s="4">
        <f t="shared" si="159"/>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59"/>
        <v>0.9867978615748374</v>
      </c>
      <c r="R230" s="4">
        <f t="shared" si="159"/>
        <v>0.98114509762858249</v>
      </c>
      <c r="S230" s="4">
        <f t="shared" si="159"/>
        <v>0.97311898315872036</v>
      </c>
      <c r="T230" s="4">
        <f t="shared" si="159"/>
        <v>0.96177484161592774</v>
      </c>
      <c r="U230" s="4">
        <f t="shared" si="159"/>
        <v>0.94584787155511363</v>
      </c>
      <c r="V230" s="4">
        <f t="shared" si="159"/>
        <v>0.92370360150141495</v>
      </c>
      <c r="W230" s="4">
        <f t="shared" si="159"/>
        <v>0.89334463567658451</v>
      </c>
      <c r="X230" s="4">
        <f t="shared" si="159"/>
        <v>0.85254543874327005</v>
      </c>
      <c r="Y230" s="4">
        <f t="shared" si="159"/>
        <v>0.79921300652623883</v>
      </c>
      <c r="Z230" s="4">
        <f t="shared" si="159"/>
        <v>0.73204982249993378</v>
      </c>
      <c r="AA230" s="4">
        <f t="shared" si="159"/>
        <v>0.65145592958786691</v>
      </c>
      <c r="AB230" s="4">
        <f t="shared" si="159"/>
        <v>0.56032247880849573</v>
      </c>
      <c r="AC230" s="4">
        <f t="shared" si="159"/>
        <v>0.46411326873185343</v>
      </c>
      <c r="AD230" s="4">
        <f t="shared" si="159"/>
        <v>0.36979727595523937</v>
      </c>
      <c r="AE230" s="4">
        <f t="shared" si="159"/>
        <v>0.28393948637231203</v>
      </c>
      <c r="AF230" s="4">
        <f t="shared" si="159"/>
        <v>0.21097259161117732</v>
      </c>
      <c r="AG230" s="4">
        <f t="shared" si="159"/>
        <v>0.15253917653798199</v>
      </c>
      <c r="AH230" s="4">
        <f t="shared" si="159"/>
        <v>0.10795188737709993</v>
      </c>
      <c r="AI230" s="4">
        <f t="shared" si="159"/>
        <v>7.5176653938091809E-2</v>
      </c>
      <c r="AJ230" s="4">
        <f t="shared" si="159"/>
        <v>5.1742836177502194E-2</v>
      </c>
      <c r="AK230" s="4">
        <f t="shared" si="159"/>
        <v>3.5319190625345942E-2</v>
      </c>
      <c r="AL230" s="4">
        <f t="shared" si="159"/>
        <v>2.3969442072658165E-2</v>
      </c>
      <c r="AM230" s="4">
        <f t="shared" si="159"/>
        <v>1.6202243558389728E-2</v>
      </c>
      <c r="AN230" s="4">
        <f t="shared" si="159"/>
        <v>1.0922240564108399E-2</v>
      </c>
      <c r="AO230" s="4">
        <f t="shared" si="159"/>
        <v>7.3493212906090566E-3</v>
      </c>
      <c r="AP230" s="4">
        <f t="shared" si="159"/>
        <v>4.9390262185057265E-3</v>
      </c>
      <c r="AQ230" s="4">
        <f t="shared" si="159"/>
        <v>3.3164275492956197E-3</v>
      </c>
      <c r="AR230" s="4">
        <f t="shared" si="159"/>
        <v>2.2256362146679809E-3</v>
      </c>
    </row>
    <row r="231" spans="1:44" x14ac:dyDescent="0.25">
      <c r="A231" s="24" t="s">
        <v>52</v>
      </c>
      <c r="B231" s="43">
        <f>'Parameter Input'!$L$150</f>
        <v>1050000</v>
      </c>
      <c r="C231" s="44">
        <f>'Parameter Input'!$M$150</f>
        <v>1050000</v>
      </c>
      <c r="D231" s="1" t="s">
        <v>38</v>
      </c>
      <c r="L231" s="54">
        <f>'Parameter Input'!$O$150</f>
        <v>12</v>
      </c>
      <c r="M231" s="37">
        <v>0</v>
      </c>
      <c r="N231" s="37">
        <v>1</v>
      </c>
      <c r="O231" s="37">
        <f>'Parameter Input'!$P$150</f>
        <v>0.9</v>
      </c>
      <c r="P231" s="55">
        <f>'Parameter Input'!$Q$150</f>
        <v>0.4</v>
      </c>
      <c r="Q231" s="4">
        <f t="shared" si="159"/>
        <v>0.9867978615748374</v>
      </c>
      <c r="R231" s="4">
        <f t="shared" si="159"/>
        <v>0.98114509762858249</v>
      </c>
      <c r="S231" s="4">
        <f t="shared" si="159"/>
        <v>0.97311898315872036</v>
      </c>
      <c r="T231" s="4">
        <f t="shared" si="159"/>
        <v>0.96177484161592774</v>
      </c>
      <c r="U231" s="4">
        <f t="shared" si="159"/>
        <v>0.94584787155511363</v>
      </c>
      <c r="V231" s="4">
        <f t="shared" si="159"/>
        <v>0.92370360150141495</v>
      </c>
      <c r="W231" s="4">
        <f t="shared" si="159"/>
        <v>0.89334463567658451</v>
      </c>
      <c r="X231" s="4">
        <f t="shared" si="159"/>
        <v>0.85254543874327005</v>
      </c>
      <c r="Y231" s="4">
        <f t="shared" si="159"/>
        <v>0.79921300652623883</v>
      </c>
      <c r="Z231" s="4">
        <f t="shared" si="159"/>
        <v>0.73204982249993378</v>
      </c>
      <c r="AA231" s="4">
        <f t="shared" si="159"/>
        <v>0.65145592958786691</v>
      </c>
      <c r="AB231" s="4">
        <f t="shared" si="159"/>
        <v>0.56032247880849573</v>
      </c>
      <c r="AC231" s="4">
        <f t="shared" si="159"/>
        <v>0.46411326873185343</v>
      </c>
      <c r="AD231" s="4">
        <f t="shared" si="159"/>
        <v>0.36979727595523937</v>
      </c>
      <c r="AE231" s="4">
        <f t="shared" si="159"/>
        <v>0.28393948637231203</v>
      </c>
      <c r="AF231" s="4">
        <f t="shared" si="159"/>
        <v>0.21097259161117732</v>
      </c>
      <c r="AG231" s="4">
        <f t="shared" si="159"/>
        <v>0.15253917653798199</v>
      </c>
      <c r="AH231" s="4">
        <f t="shared" si="159"/>
        <v>0.10795188737709993</v>
      </c>
      <c r="AI231" s="4">
        <f t="shared" si="159"/>
        <v>7.5176653938091809E-2</v>
      </c>
      <c r="AJ231" s="4">
        <f t="shared" si="159"/>
        <v>5.1742836177502194E-2</v>
      </c>
      <c r="AK231" s="4">
        <f t="shared" si="159"/>
        <v>3.5319190625345942E-2</v>
      </c>
      <c r="AL231" s="4">
        <f t="shared" si="159"/>
        <v>2.3969442072658165E-2</v>
      </c>
      <c r="AM231" s="4">
        <f t="shared" si="159"/>
        <v>1.6202243558389728E-2</v>
      </c>
      <c r="AN231" s="4">
        <f t="shared" si="159"/>
        <v>1.0922240564108399E-2</v>
      </c>
      <c r="AO231" s="4">
        <f t="shared" si="159"/>
        <v>7.3493212906090566E-3</v>
      </c>
      <c r="AP231" s="4">
        <f t="shared" si="159"/>
        <v>4.9390262185057265E-3</v>
      </c>
      <c r="AQ231" s="4">
        <f t="shared" si="159"/>
        <v>3.3164275492956197E-3</v>
      </c>
      <c r="AR231" s="4">
        <f t="shared" si="159"/>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59"/>
        <v>0.9867978615748374</v>
      </c>
      <c r="R232" s="4">
        <f t="shared" si="159"/>
        <v>0.98114509762858249</v>
      </c>
      <c r="S232" s="4">
        <f t="shared" si="159"/>
        <v>0.97311898315872036</v>
      </c>
      <c r="T232" s="4">
        <f t="shared" si="159"/>
        <v>0.96177484161592774</v>
      </c>
      <c r="U232" s="4">
        <f t="shared" si="159"/>
        <v>0.94584787155511363</v>
      </c>
      <c r="V232" s="4">
        <f t="shared" si="159"/>
        <v>0.92370360150141495</v>
      </c>
      <c r="W232" s="4">
        <f t="shared" si="159"/>
        <v>0.89334463567658451</v>
      </c>
      <c r="X232" s="4">
        <f t="shared" si="159"/>
        <v>0.85254543874327005</v>
      </c>
      <c r="Y232" s="4">
        <f t="shared" si="159"/>
        <v>0.79921300652623883</v>
      </c>
      <c r="Z232" s="4">
        <f t="shared" si="159"/>
        <v>0.73204982249993378</v>
      </c>
      <c r="AA232" s="4">
        <f t="shared" si="159"/>
        <v>0.65145592958786691</v>
      </c>
      <c r="AB232" s="4">
        <f t="shared" si="159"/>
        <v>0.56032247880849573</v>
      </c>
      <c r="AC232" s="4">
        <f t="shared" si="159"/>
        <v>0.46411326873185343</v>
      </c>
      <c r="AD232" s="4">
        <f t="shared" si="159"/>
        <v>0.36979727595523937</v>
      </c>
      <c r="AE232" s="4">
        <f t="shared" si="159"/>
        <v>0.28393948637231203</v>
      </c>
      <c r="AF232" s="4">
        <f t="shared" si="159"/>
        <v>0.21097259161117732</v>
      </c>
      <c r="AG232" s="4">
        <f t="shared" si="159"/>
        <v>0.15253917653798199</v>
      </c>
      <c r="AH232" s="4">
        <f t="shared" si="159"/>
        <v>0.10795188737709993</v>
      </c>
      <c r="AI232" s="4">
        <f t="shared" si="159"/>
        <v>7.5176653938091809E-2</v>
      </c>
      <c r="AJ232" s="4">
        <f t="shared" si="159"/>
        <v>5.1742836177502194E-2</v>
      </c>
      <c r="AK232" s="4">
        <f t="shared" si="159"/>
        <v>3.5319190625345942E-2</v>
      </c>
      <c r="AL232" s="4">
        <f t="shared" si="159"/>
        <v>2.3969442072658165E-2</v>
      </c>
      <c r="AM232" s="4">
        <f t="shared" si="159"/>
        <v>1.6202243558389728E-2</v>
      </c>
      <c r="AN232" s="4">
        <f t="shared" si="159"/>
        <v>1.0922240564108399E-2</v>
      </c>
      <c r="AO232" s="4">
        <f t="shared" si="159"/>
        <v>7.3493212906090566E-3</v>
      </c>
      <c r="AP232" s="4">
        <f t="shared" si="159"/>
        <v>4.9390262185057265E-3</v>
      </c>
      <c r="AQ232" s="4">
        <f t="shared" si="159"/>
        <v>3.3164275492956197E-3</v>
      </c>
      <c r="AR232" s="4">
        <f t="shared" si="159"/>
        <v>2.2256362146679809E-3</v>
      </c>
    </row>
    <row r="233" spans="1:44" x14ac:dyDescent="0.25">
      <c r="A233" s="24" t="s">
        <v>59</v>
      </c>
      <c r="B233" s="47">
        <f>'Parameter Input'!$L$151</f>
        <v>76.777599999999993</v>
      </c>
      <c r="C233" s="48">
        <f>'Parameter Input'!$M$151</f>
        <v>76.777599999999993</v>
      </c>
      <c r="D233" s="1" t="s">
        <v>60</v>
      </c>
      <c r="L233" s="54">
        <f>'Parameter Input'!$O$151</f>
        <v>12</v>
      </c>
      <c r="M233" s="37">
        <v>0</v>
      </c>
      <c r="N233" s="37">
        <v>1</v>
      </c>
      <c r="O233" s="37">
        <f>'Parameter Input'!$P$151</f>
        <v>0.9</v>
      </c>
      <c r="P233" s="55">
        <f>'Parameter Input'!$Q$151</f>
        <v>0.4</v>
      </c>
      <c r="Q233" s="4">
        <f t="shared" si="159"/>
        <v>0.9867978615748374</v>
      </c>
      <c r="R233" s="4">
        <f t="shared" si="159"/>
        <v>0.98114509762858249</v>
      </c>
      <c r="S233" s="4">
        <f t="shared" si="159"/>
        <v>0.97311898315872036</v>
      </c>
      <c r="T233" s="4">
        <f t="shared" si="159"/>
        <v>0.96177484161592774</v>
      </c>
      <c r="U233" s="4">
        <f t="shared" si="159"/>
        <v>0.94584787155511363</v>
      </c>
      <c r="V233" s="4">
        <f t="shared" si="159"/>
        <v>0.92370360150141495</v>
      </c>
      <c r="W233" s="4">
        <f t="shared" si="159"/>
        <v>0.89334463567658451</v>
      </c>
      <c r="X233" s="4">
        <f t="shared" si="159"/>
        <v>0.85254543874327005</v>
      </c>
      <c r="Y233" s="4">
        <f t="shared" si="159"/>
        <v>0.79921300652623883</v>
      </c>
      <c r="Z233" s="4">
        <f t="shared" si="159"/>
        <v>0.73204982249993378</v>
      </c>
      <c r="AA233" s="4">
        <f t="shared" si="159"/>
        <v>0.65145592958786691</v>
      </c>
      <c r="AB233" s="4">
        <f t="shared" si="159"/>
        <v>0.56032247880849573</v>
      </c>
      <c r="AC233" s="4">
        <f t="shared" si="159"/>
        <v>0.46411326873185343</v>
      </c>
      <c r="AD233" s="4">
        <f t="shared" si="159"/>
        <v>0.36979727595523937</v>
      </c>
      <c r="AE233" s="4">
        <f t="shared" si="159"/>
        <v>0.28393948637231203</v>
      </c>
      <c r="AF233" s="4">
        <f t="shared" si="159"/>
        <v>0.21097259161117732</v>
      </c>
      <c r="AG233" s="4">
        <f t="shared" si="159"/>
        <v>0.15253917653798199</v>
      </c>
      <c r="AH233" s="4">
        <f t="shared" si="159"/>
        <v>0.10795188737709993</v>
      </c>
      <c r="AI233" s="4">
        <f t="shared" si="159"/>
        <v>7.5176653938091809E-2</v>
      </c>
      <c r="AJ233" s="4">
        <f t="shared" si="159"/>
        <v>5.1742836177502194E-2</v>
      </c>
      <c r="AK233" s="4">
        <f t="shared" si="159"/>
        <v>3.5319190625345942E-2</v>
      </c>
      <c r="AL233" s="4">
        <f t="shared" si="159"/>
        <v>2.3969442072658165E-2</v>
      </c>
      <c r="AM233" s="4">
        <f t="shared" si="159"/>
        <v>1.6202243558389728E-2</v>
      </c>
      <c r="AN233" s="4">
        <f t="shared" si="159"/>
        <v>1.0922240564108399E-2</v>
      </c>
      <c r="AO233" s="4">
        <f t="shared" si="159"/>
        <v>7.3493212906090566E-3</v>
      </c>
      <c r="AP233" s="4">
        <f t="shared" si="159"/>
        <v>4.9390262185057265E-3</v>
      </c>
      <c r="AQ233" s="4">
        <f t="shared" si="159"/>
        <v>3.3164275492956197E-3</v>
      </c>
      <c r="AR233" s="4">
        <f t="shared" si="159"/>
        <v>2.2256362146679809E-3</v>
      </c>
    </row>
    <row r="234" spans="1:44" x14ac:dyDescent="0.25">
      <c r="A234" s="24" t="s">
        <v>67</v>
      </c>
      <c r="B234" s="45">
        <f>'Parameter Input'!$L$152</f>
        <v>0.1</v>
      </c>
      <c r="C234" s="46">
        <f>'Parameter Input'!$M$152</f>
        <v>0.1</v>
      </c>
      <c r="D234" s="1" t="s">
        <v>68</v>
      </c>
      <c r="L234" s="54">
        <f>'Parameter Input'!$O$152</f>
        <v>12</v>
      </c>
      <c r="M234" s="37">
        <v>0</v>
      </c>
      <c r="N234" s="37">
        <v>1</v>
      </c>
      <c r="O234" s="37">
        <f>'Parameter Input'!$P$152</f>
        <v>0.9</v>
      </c>
      <c r="P234" s="55">
        <f>'Parameter Input'!$Q$152</f>
        <v>0.4</v>
      </c>
      <c r="Q234" s="4">
        <f t="shared" si="159"/>
        <v>0.9867978615748374</v>
      </c>
      <c r="R234" s="4">
        <f t="shared" si="159"/>
        <v>0.98114509762858249</v>
      </c>
      <c r="S234" s="4">
        <f t="shared" si="159"/>
        <v>0.97311898315872036</v>
      </c>
      <c r="T234" s="4">
        <f t="shared" ref="T234:AI241" si="160">$N234+($M234-$N234)*((1/(1+EXP(-$P234*(T$9-$L234)))^$O234))</f>
        <v>0.96177484161592774</v>
      </c>
      <c r="U234" s="4">
        <f t="shared" si="160"/>
        <v>0.94584787155511363</v>
      </c>
      <c r="V234" s="4">
        <f t="shared" si="160"/>
        <v>0.92370360150141495</v>
      </c>
      <c r="W234" s="4">
        <f t="shared" si="160"/>
        <v>0.89334463567658451</v>
      </c>
      <c r="X234" s="4">
        <f t="shared" si="160"/>
        <v>0.85254543874327005</v>
      </c>
      <c r="Y234" s="4">
        <f t="shared" si="160"/>
        <v>0.79921300652623883</v>
      </c>
      <c r="Z234" s="4">
        <f t="shared" si="160"/>
        <v>0.73204982249993378</v>
      </c>
      <c r="AA234" s="4">
        <f t="shared" si="160"/>
        <v>0.65145592958786691</v>
      </c>
      <c r="AB234" s="4">
        <f t="shared" si="160"/>
        <v>0.56032247880849573</v>
      </c>
      <c r="AC234" s="4">
        <f t="shared" si="160"/>
        <v>0.46411326873185343</v>
      </c>
      <c r="AD234" s="4">
        <f t="shared" si="160"/>
        <v>0.36979727595523937</v>
      </c>
      <c r="AE234" s="4">
        <f t="shared" si="160"/>
        <v>0.28393948637231203</v>
      </c>
      <c r="AF234" s="4">
        <f t="shared" si="160"/>
        <v>0.21097259161117732</v>
      </c>
      <c r="AG234" s="4">
        <f t="shared" si="160"/>
        <v>0.15253917653798199</v>
      </c>
      <c r="AH234" s="4">
        <f t="shared" si="160"/>
        <v>0.10795188737709993</v>
      </c>
      <c r="AI234" s="4">
        <f t="shared" si="160"/>
        <v>7.5176653938091809E-2</v>
      </c>
      <c r="AJ234" s="4">
        <f t="shared" ref="AJ234:AR241" si="161">$N234+($M234-$N234)*((1/(1+EXP(-$P234*(AJ$9-$L234)))^$O234))</f>
        <v>5.1742836177502194E-2</v>
      </c>
      <c r="AK234" s="4">
        <f t="shared" si="161"/>
        <v>3.5319190625345942E-2</v>
      </c>
      <c r="AL234" s="4">
        <f t="shared" si="161"/>
        <v>2.3969442072658165E-2</v>
      </c>
      <c r="AM234" s="4">
        <f t="shared" si="161"/>
        <v>1.6202243558389728E-2</v>
      </c>
      <c r="AN234" s="4">
        <f t="shared" si="161"/>
        <v>1.0922240564108399E-2</v>
      </c>
      <c r="AO234" s="4">
        <f t="shared" si="161"/>
        <v>7.3493212906090566E-3</v>
      </c>
      <c r="AP234" s="4">
        <f t="shared" si="161"/>
        <v>4.9390262185057265E-3</v>
      </c>
      <c r="AQ234" s="4">
        <f t="shared" si="161"/>
        <v>3.3164275492956197E-3</v>
      </c>
      <c r="AR234" s="4">
        <f t="shared" si="161"/>
        <v>2.2256362146679809E-3</v>
      </c>
    </row>
    <row r="235" spans="1:44" x14ac:dyDescent="0.25">
      <c r="A235" s="24" t="s">
        <v>206</v>
      </c>
      <c r="B235" s="45">
        <f>'Parameter Input'!L155</f>
        <v>0</v>
      </c>
      <c r="C235" s="46">
        <f>'Parameter Input'!M155</f>
        <v>0</v>
      </c>
      <c r="D235" s="1"/>
      <c r="L235" s="54">
        <f>'Parameter Input'!O155</f>
        <v>17</v>
      </c>
      <c r="M235" s="37">
        <v>0</v>
      </c>
      <c r="N235" s="37">
        <v>1</v>
      </c>
      <c r="O235" s="37">
        <f>'Parameter Input'!P155</f>
        <v>0.9</v>
      </c>
      <c r="P235" s="55">
        <f>'Parameter Input'!Q155</f>
        <v>0.4</v>
      </c>
      <c r="Q235" s="4">
        <f t="shared" ref="Q235:AR235" si="162">$N235+($M235-$N235)*((1/(1+EXP(-$P235*(Q$9-$L235)))^$O235))</f>
        <v>0.99780374543478534</v>
      </c>
      <c r="R235" s="4">
        <f t="shared" si="162"/>
        <v>0.99685359315256394</v>
      </c>
      <c r="S235" s="4">
        <f t="shared" si="162"/>
        <v>0.99549347132349975</v>
      </c>
      <c r="T235" s="4">
        <f t="shared" si="162"/>
        <v>0.99354772139898062</v>
      </c>
      <c r="U235" s="4">
        <f t="shared" si="162"/>
        <v>0.99076681540580536</v>
      </c>
      <c r="V235" s="4">
        <f t="shared" si="162"/>
        <v>0.9867978615748374</v>
      </c>
      <c r="W235" s="4">
        <f t="shared" si="162"/>
        <v>0.98114509762858249</v>
      </c>
      <c r="X235" s="4">
        <f t="shared" si="162"/>
        <v>0.97311898315872036</v>
      </c>
      <c r="Y235" s="4">
        <f t="shared" si="162"/>
        <v>0.96177484161592774</v>
      </c>
      <c r="Z235" s="4">
        <f t="shared" si="162"/>
        <v>0.94584787155511363</v>
      </c>
      <c r="AA235" s="4">
        <f t="shared" si="162"/>
        <v>0.92370360150141495</v>
      </c>
      <c r="AB235" s="4">
        <f t="shared" si="162"/>
        <v>0.89334463567658451</v>
      </c>
      <c r="AC235" s="4">
        <f t="shared" si="162"/>
        <v>0.85254543874327005</v>
      </c>
      <c r="AD235" s="4">
        <f t="shared" si="162"/>
        <v>0.79921300652623883</v>
      </c>
      <c r="AE235" s="4">
        <f t="shared" si="162"/>
        <v>0.73204982249993378</v>
      </c>
      <c r="AF235" s="4">
        <f t="shared" si="162"/>
        <v>0.65145592958786691</v>
      </c>
      <c r="AG235" s="4">
        <f t="shared" si="162"/>
        <v>0.56032247880849573</v>
      </c>
      <c r="AH235" s="4">
        <f t="shared" si="162"/>
        <v>0.46411326873185343</v>
      </c>
      <c r="AI235" s="4">
        <f t="shared" si="162"/>
        <v>0.36979727595523937</v>
      </c>
      <c r="AJ235" s="4">
        <f t="shared" si="162"/>
        <v>0.28393948637231203</v>
      </c>
      <c r="AK235" s="4">
        <f t="shared" si="162"/>
        <v>0.21097259161117732</v>
      </c>
      <c r="AL235" s="4">
        <f t="shared" si="162"/>
        <v>0.15253917653798199</v>
      </c>
      <c r="AM235" s="4">
        <f t="shared" si="162"/>
        <v>0.10795188737709993</v>
      </c>
      <c r="AN235" s="4">
        <f t="shared" si="162"/>
        <v>7.5176653938091809E-2</v>
      </c>
      <c r="AO235" s="4">
        <f t="shared" si="162"/>
        <v>5.1742836177502194E-2</v>
      </c>
      <c r="AP235" s="4">
        <f t="shared" si="162"/>
        <v>3.5319190625345942E-2</v>
      </c>
      <c r="AQ235" s="4">
        <f t="shared" si="162"/>
        <v>2.3969442072658165E-2</v>
      </c>
      <c r="AR235" s="4">
        <f t="shared" si="162"/>
        <v>1.6202243558389728E-2</v>
      </c>
    </row>
    <row r="236" spans="1:44" x14ac:dyDescent="0.25">
      <c r="A236" s="24" t="s">
        <v>41</v>
      </c>
      <c r="B236" s="43">
        <f>'Parameter Input'!$L$149</f>
        <v>20</v>
      </c>
      <c r="C236" s="44">
        <f>'Parameter Input'!$M$149</f>
        <v>20</v>
      </c>
      <c r="D236" s="1" t="s">
        <v>42</v>
      </c>
      <c r="L236" s="54">
        <f>'Parameter Input'!$O$149</f>
        <v>12</v>
      </c>
      <c r="M236" s="37">
        <v>0</v>
      </c>
      <c r="N236" s="37">
        <v>1</v>
      </c>
      <c r="O236" s="37">
        <f>'Parameter Input'!$P$149</f>
        <v>0.9</v>
      </c>
      <c r="P236" s="55">
        <f>'Parameter Input'!$Q$149</f>
        <v>0.4</v>
      </c>
      <c r="Q236" s="4">
        <f t="shared" ref="Q236:AF241" si="163">$N236+($M236-$N236)*((1/(1+EXP(-$P236*(Q$9-$L236)))^$O236))</f>
        <v>0.9867978615748374</v>
      </c>
      <c r="R236" s="4">
        <f t="shared" si="163"/>
        <v>0.98114509762858249</v>
      </c>
      <c r="S236" s="4">
        <f t="shared" si="163"/>
        <v>0.97311898315872036</v>
      </c>
      <c r="T236" s="4">
        <f t="shared" si="163"/>
        <v>0.96177484161592774</v>
      </c>
      <c r="U236" s="4">
        <f t="shared" si="163"/>
        <v>0.94584787155511363</v>
      </c>
      <c r="V236" s="4">
        <f t="shared" si="163"/>
        <v>0.92370360150141495</v>
      </c>
      <c r="W236" s="4">
        <f t="shared" si="163"/>
        <v>0.89334463567658451</v>
      </c>
      <c r="X236" s="4">
        <f t="shared" si="163"/>
        <v>0.85254543874327005</v>
      </c>
      <c r="Y236" s="4">
        <f t="shared" si="163"/>
        <v>0.79921300652623883</v>
      </c>
      <c r="Z236" s="4">
        <f t="shared" si="163"/>
        <v>0.73204982249993378</v>
      </c>
      <c r="AA236" s="4">
        <f t="shared" si="163"/>
        <v>0.65145592958786691</v>
      </c>
      <c r="AB236" s="4">
        <f t="shared" si="163"/>
        <v>0.56032247880849573</v>
      </c>
      <c r="AC236" s="4">
        <f t="shared" si="163"/>
        <v>0.46411326873185343</v>
      </c>
      <c r="AD236" s="4">
        <f t="shared" si="163"/>
        <v>0.36979727595523937</v>
      </c>
      <c r="AE236" s="4">
        <f t="shared" si="163"/>
        <v>0.28393948637231203</v>
      </c>
      <c r="AF236" s="4">
        <f t="shared" si="163"/>
        <v>0.21097259161117732</v>
      </c>
      <c r="AG236" s="4">
        <f t="shared" si="160"/>
        <v>0.15253917653798199</v>
      </c>
      <c r="AH236" s="4">
        <f t="shared" si="160"/>
        <v>0.10795188737709993</v>
      </c>
      <c r="AI236" s="4">
        <f t="shared" si="160"/>
        <v>7.5176653938091809E-2</v>
      </c>
      <c r="AJ236" s="4">
        <f t="shared" si="161"/>
        <v>5.1742836177502194E-2</v>
      </c>
      <c r="AK236" s="4">
        <f t="shared" si="161"/>
        <v>3.5319190625345942E-2</v>
      </c>
      <c r="AL236" s="4">
        <f t="shared" si="161"/>
        <v>2.3969442072658165E-2</v>
      </c>
      <c r="AM236" s="4">
        <f t="shared" si="161"/>
        <v>1.6202243558389728E-2</v>
      </c>
      <c r="AN236" s="4">
        <f t="shared" si="161"/>
        <v>1.0922240564108399E-2</v>
      </c>
      <c r="AO236" s="4">
        <f t="shared" si="161"/>
        <v>7.3493212906090566E-3</v>
      </c>
      <c r="AP236" s="4">
        <f t="shared" si="161"/>
        <v>4.9390262185057265E-3</v>
      </c>
      <c r="AQ236" s="4">
        <f t="shared" si="161"/>
        <v>3.3164275492956197E-3</v>
      </c>
      <c r="AR236" s="4">
        <f t="shared" si="161"/>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3"/>
        <v>0.9867978615748374</v>
      </c>
      <c r="R237" s="4">
        <f t="shared" si="163"/>
        <v>0.98114509762858249</v>
      </c>
      <c r="S237" s="4">
        <f t="shared" si="163"/>
        <v>0.97311898315872036</v>
      </c>
      <c r="T237" s="4">
        <f t="shared" si="163"/>
        <v>0.96177484161592774</v>
      </c>
      <c r="U237" s="4">
        <f t="shared" si="163"/>
        <v>0.94584787155511363</v>
      </c>
      <c r="V237" s="4">
        <f t="shared" si="163"/>
        <v>0.92370360150141495</v>
      </c>
      <c r="W237" s="4">
        <f t="shared" si="163"/>
        <v>0.89334463567658451</v>
      </c>
      <c r="X237" s="4">
        <f t="shared" si="163"/>
        <v>0.85254543874327005</v>
      </c>
      <c r="Y237" s="4">
        <f t="shared" si="163"/>
        <v>0.79921300652623883</v>
      </c>
      <c r="Z237" s="4">
        <f t="shared" si="163"/>
        <v>0.73204982249993378</v>
      </c>
      <c r="AA237" s="4">
        <f t="shared" si="163"/>
        <v>0.65145592958786691</v>
      </c>
      <c r="AB237" s="4">
        <f t="shared" si="163"/>
        <v>0.56032247880849573</v>
      </c>
      <c r="AC237" s="4">
        <f t="shared" si="163"/>
        <v>0.46411326873185343</v>
      </c>
      <c r="AD237" s="4">
        <f t="shared" si="163"/>
        <v>0.36979727595523937</v>
      </c>
      <c r="AE237" s="4">
        <f t="shared" si="163"/>
        <v>0.28393948637231203</v>
      </c>
      <c r="AF237" s="4">
        <f t="shared" si="163"/>
        <v>0.21097259161117732</v>
      </c>
      <c r="AG237" s="4">
        <f t="shared" si="160"/>
        <v>0.15253917653798199</v>
      </c>
      <c r="AH237" s="4">
        <f t="shared" si="160"/>
        <v>0.10795188737709993</v>
      </c>
      <c r="AI237" s="4">
        <f t="shared" si="160"/>
        <v>7.5176653938091809E-2</v>
      </c>
      <c r="AJ237" s="4">
        <f t="shared" si="161"/>
        <v>5.1742836177502194E-2</v>
      </c>
      <c r="AK237" s="4">
        <f t="shared" si="161"/>
        <v>3.5319190625345942E-2</v>
      </c>
      <c r="AL237" s="4">
        <f t="shared" si="161"/>
        <v>2.3969442072658165E-2</v>
      </c>
      <c r="AM237" s="4">
        <f t="shared" si="161"/>
        <v>1.6202243558389728E-2</v>
      </c>
      <c r="AN237" s="4">
        <f t="shared" si="161"/>
        <v>1.0922240564108399E-2</v>
      </c>
      <c r="AO237" s="4">
        <f t="shared" si="161"/>
        <v>7.3493212906090566E-3</v>
      </c>
      <c r="AP237" s="4">
        <f t="shared" si="161"/>
        <v>4.9390262185057265E-3</v>
      </c>
      <c r="AQ237" s="4">
        <f t="shared" si="161"/>
        <v>3.3164275492956197E-3</v>
      </c>
      <c r="AR237" s="4">
        <f t="shared" si="161"/>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3"/>
        <v>0.9867978615748374</v>
      </c>
      <c r="R238" s="4">
        <f t="shared" si="163"/>
        <v>0.98114509762858249</v>
      </c>
      <c r="S238" s="4">
        <f t="shared" si="163"/>
        <v>0.97311898315872036</v>
      </c>
      <c r="T238" s="4">
        <f t="shared" si="163"/>
        <v>0.96177484161592774</v>
      </c>
      <c r="U238" s="4">
        <f t="shared" si="163"/>
        <v>0.94584787155511363</v>
      </c>
      <c r="V238" s="4">
        <f t="shared" si="163"/>
        <v>0.92370360150141495</v>
      </c>
      <c r="W238" s="4">
        <f t="shared" si="163"/>
        <v>0.89334463567658451</v>
      </c>
      <c r="X238" s="4">
        <f t="shared" si="163"/>
        <v>0.85254543874327005</v>
      </c>
      <c r="Y238" s="4">
        <f t="shared" si="163"/>
        <v>0.79921300652623883</v>
      </c>
      <c r="Z238" s="4">
        <f t="shared" si="163"/>
        <v>0.73204982249993378</v>
      </c>
      <c r="AA238" s="4">
        <f t="shared" si="163"/>
        <v>0.65145592958786691</v>
      </c>
      <c r="AB238" s="4">
        <f t="shared" si="163"/>
        <v>0.56032247880849573</v>
      </c>
      <c r="AC238" s="4">
        <f t="shared" si="163"/>
        <v>0.46411326873185343</v>
      </c>
      <c r="AD238" s="4">
        <f t="shared" si="163"/>
        <v>0.36979727595523937</v>
      </c>
      <c r="AE238" s="4">
        <f t="shared" si="163"/>
        <v>0.28393948637231203</v>
      </c>
      <c r="AF238" s="4">
        <f t="shared" si="163"/>
        <v>0.21097259161117732</v>
      </c>
      <c r="AG238" s="4">
        <f t="shared" si="160"/>
        <v>0.15253917653798199</v>
      </c>
      <c r="AH238" s="4">
        <f t="shared" si="160"/>
        <v>0.10795188737709993</v>
      </c>
      <c r="AI238" s="4">
        <f t="shared" si="160"/>
        <v>7.5176653938091809E-2</v>
      </c>
      <c r="AJ238" s="4">
        <f t="shared" si="161"/>
        <v>5.1742836177502194E-2</v>
      </c>
      <c r="AK238" s="4">
        <f t="shared" si="161"/>
        <v>3.5319190625345942E-2</v>
      </c>
      <c r="AL238" s="4">
        <f t="shared" si="161"/>
        <v>2.3969442072658165E-2</v>
      </c>
      <c r="AM238" s="4">
        <f t="shared" si="161"/>
        <v>1.6202243558389728E-2</v>
      </c>
      <c r="AN238" s="4">
        <f t="shared" si="161"/>
        <v>1.0922240564108399E-2</v>
      </c>
      <c r="AO238" s="4">
        <f t="shared" si="161"/>
        <v>7.3493212906090566E-3</v>
      </c>
      <c r="AP238" s="4">
        <f t="shared" si="161"/>
        <v>4.9390262185057265E-3</v>
      </c>
      <c r="AQ238" s="4">
        <f t="shared" si="161"/>
        <v>3.3164275492956197E-3</v>
      </c>
      <c r="AR238" s="4">
        <f t="shared" si="161"/>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3"/>
        <v>0.9867978615748374</v>
      </c>
      <c r="R239" s="4">
        <f t="shared" si="163"/>
        <v>0.98114509762858249</v>
      </c>
      <c r="S239" s="4">
        <f t="shared" si="163"/>
        <v>0.97311898315872036</v>
      </c>
      <c r="T239" s="4">
        <f t="shared" si="163"/>
        <v>0.96177484161592774</v>
      </c>
      <c r="U239" s="4">
        <f t="shared" si="163"/>
        <v>0.94584787155511363</v>
      </c>
      <c r="V239" s="4">
        <f t="shared" si="163"/>
        <v>0.92370360150141495</v>
      </c>
      <c r="W239" s="4">
        <f t="shared" si="163"/>
        <v>0.89334463567658451</v>
      </c>
      <c r="X239" s="4">
        <f t="shared" si="163"/>
        <v>0.85254543874327005</v>
      </c>
      <c r="Y239" s="4">
        <f t="shared" si="163"/>
        <v>0.79921300652623883</v>
      </c>
      <c r="Z239" s="4">
        <f t="shared" si="163"/>
        <v>0.73204982249993378</v>
      </c>
      <c r="AA239" s="4">
        <f t="shared" si="163"/>
        <v>0.65145592958786691</v>
      </c>
      <c r="AB239" s="4">
        <f t="shared" si="163"/>
        <v>0.56032247880849573</v>
      </c>
      <c r="AC239" s="4">
        <f t="shared" si="163"/>
        <v>0.46411326873185343</v>
      </c>
      <c r="AD239" s="4">
        <f t="shared" si="163"/>
        <v>0.36979727595523937</v>
      </c>
      <c r="AE239" s="4">
        <f t="shared" si="163"/>
        <v>0.28393948637231203</v>
      </c>
      <c r="AF239" s="4">
        <f t="shared" si="163"/>
        <v>0.21097259161117732</v>
      </c>
      <c r="AG239" s="4">
        <f t="shared" si="160"/>
        <v>0.15253917653798199</v>
      </c>
      <c r="AH239" s="4">
        <f t="shared" si="160"/>
        <v>0.10795188737709993</v>
      </c>
      <c r="AI239" s="4">
        <f t="shared" si="160"/>
        <v>7.5176653938091809E-2</v>
      </c>
      <c r="AJ239" s="4">
        <f t="shared" si="161"/>
        <v>5.1742836177502194E-2</v>
      </c>
      <c r="AK239" s="4">
        <f t="shared" si="161"/>
        <v>3.5319190625345942E-2</v>
      </c>
      <c r="AL239" s="4">
        <f t="shared" si="161"/>
        <v>2.3969442072658165E-2</v>
      </c>
      <c r="AM239" s="4">
        <f t="shared" si="161"/>
        <v>1.6202243558389728E-2</v>
      </c>
      <c r="AN239" s="4">
        <f t="shared" si="161"/>
        <v>1.0922240564108399E-2</v>
      </c>
      <c r="AO239" s="4">
        <f t="shared" si="161"/>
        <v>7.3493212906090566E-3</v>
      </c>
      <c r="AP239" s="4">
        <f t="shared" si="161"/>
        <v>4.9390262185057265E-3</v>
      </c>
      <c r="AQ239" s="4">
        <f t="shared" si="161"/>
        <v>3.3164275492956197E-3</v>
      </c>
      <c r="AR239" s="4">
        <f t="shared" si="161"/>
        <v>2.2256362146679809E-3</v>
      </c>
    </row>
    <row r="240" spans="1:44" x14ac:dyDescent="0.25">
      <c r="A240" s="24" t="s">
        <v>73</v>
      </c>
      <c r="B240" s="72">
        <f>'Parameter Input'!$L$153</f>
        <v>0</v>
      </c>
      <c r="C240" s="73">
        <f>'Parameter Input'!$M$153</f>
        <v>0</v>
      </c>
      <c r="D240" s="1" t="s">
        <v>57</v>
      </c>
      <c r="L240" s="54">
        <f>'Parameter Input'!$O$153</f>
        <v>12</v>
      </c>
      <c r="M240" s="37">
        <v>0</v>
      </c>
      <c r="N240" s="37">
        <v>1</v>
      </c>
      <c r="O240" s="37">
        <f>'Parameter Input'!$P$153</f>
        <v>0.9</v>
      </c>
      <c r="P240" s="55">
        <f>'Parameter Input'!$Q$153</f>
        <v>0.4</v>
      </c>
      <c r="Q240" s="4">
        <f t="shared" si="163"/>
        <v>0.9867978615748374</v>
      </c>
      <c r="R240" s="4">
        <f t="shared" si="163"/>
        <v>0.98114509762858249</v>
      </c>
      <c r="S240" s="4">
        <f t="shared" si="163"/>
        <v>0.97311898315872036</v>
      </c>
      <c r="T240" s="4">
        <f t="shared" si="163"/>
        <v>0.96177484161592774</v>
      </c>
      <c r="U240" s="4">
        <f t="shared" si="163"/>
        <v>0.94584787155511363</v>
      </c>
      <c r="V240" s="4">
        <f t="shared" si="163"/>
        <v>0.92370360150141495</v>
      </c>
      <c r="W240" s="4">
        <f t="shared" si="163"/>
        <v>0.89334463567658451</v>
      </c>
      <c r="X240" s="4">
        <f t="shared" si="163"/>
        <v>0.85254543874327005</v>
      </c>
      <c r="Y240" s="4">
        <f t="shared" si="163"/>
        <v>0.79921300652623883</v>
      </c>
      <c r="Z240" s="4">
        <f t="shared" si="163"/>
        <v>0.73204982249993378</v>
      </c>
      <c r="AA240" s="4">
        <f t="shared" si="163"/>
        <v>0.65145592958786691</v>
      </c>
      <c r="AB240" s="4">
        <f t="shared" si="163"/>
        <v>0.56032247880849573</v>
      </c>
      <c r="AC240" s="4">
        <f t="shared" si="163"/>
        <v>0.46411326873185343</v>
      </c>
      <c r="AD240" s="4">
        <f t="shared" si="163"/>
        <v>0.36979727595523937</v>
      </c>
      <c r="AE240" s="4">
        <f t="shared" si="163"/>
        <v>0.28393948637231203</v>
      </c>
      <c r="AF240" s="4">
        <f t="shared" si="163"/>
        <v>0.21097259161117732</v>
      </c>
      <c r="AG240" s="4">
        <f t="shared" si="160"/>
        <v>0.15253917653798199</v>
      </c>
      <c r="AH240" s="4">
        <f t="shared" si="160"/>
        <v>0.10795188737709993</v>
      </c>
      <c r="AI240" s="4">
        <f t="shared" si="160"/>
        <v>7.5176653938091809E-2</v>
      </c>
      <c r="AJ240" s="4">
        <f t="shared" si="161"/>
        <v>5.1742836177502194E-2</v>
      </c>
      <c r="AK240" s="4">
        <f t="shared" si="161"/>
        <v>3.5319190625345942E-2</v>
      </c>
      <c r="AL240" s="4">
        <f t="shared" si="161"/>
        <v>2.3969442072658165E-2</v>
      </c>
      <c r="AM240" s="4">
        <f t="shared" si="161"/>
        <v>1.6202243558389728E-2</v>
      </c>
      <c r="AN240" s="4">
        <f t="shared" si="161"/>
        <v>1.0922240564108399E-2</v>
      </c>
      <c r="AO240" s="4">
        <f t="shared" si="161"/>
        <v>7.3493212906090566E-3</v>
      </c>
      <c r="AP240" s="4">
        <f t="shared" si="161"/>
        <v>4.9390262185057265E-3</v>
      </c>
      <c r="AQ240" s="4">
        <f t="shared" si="161"/>
        <v>3.3164275492956197E-3</v>
      </c>
      <c r="AR240" s="4">
        <f t="shared" si="161"/>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3"/>
        <v>0.9867978615748374</v>
      </c>
      <c r="R241" s="4">
        <f t="shared" si="163"/>
        <v>0.98114509762858249</v>
      </c>
      <c r="S241" s="4">
        <f t="shared" si="163"/>
        <v>0.97311898315872036</v>
      </c>
      <c r="T241" s="4">
        <f t="shared" si="163"/>
        <v>0.96177484161592774</v>
      </c>
      <c r="U241" s="4">
        <f t="shared" si="163"/>
        <v>0.94584787155511363</v>
      </c>
      <c r="V241" s="4">
        <f t="shared" si="163"/>
        <v>0.92370360150141495</v>
      </c>
      <c r="W241" s="4">
        <f t="shared" si="163"/>
        <v>0.89334463567658451</v>
      </c>
      <c r="X241" s="4">
        <f t="shared" si="163"/>
        <v>0.85254543874327005</v>
      </c>
      <c r="Y241" s="4">
        <f t="shared" si="163"/>
        <v>0.79921300652623883</v>
      </c>
      <c r="Z241" s="4">
        <f t="shared" si="163"/>
        <v>0.73204982249993378</v>
      </c>
      <c r="AA241" s="4">
        <f t="shared" si="163"/>
        <v>0.65145592958786691</v>
      </c>
      <c r="AB241" s="4">
        <f t="shared" si="163"/>
        <v>0.56032247880849573</v>
      </c>
      <c r="AC241" s="4">
        <f t="shared" si="163"/>
        <v>0.46411326873185343</v>
      </c>
      <c r="AD241" s="4">
        <f t="shared" si="163"/>
        <v>0.36979727595523937</v>
      </c>
      <c r="AE241" s="4">
        <f t="shared" si="163"/>
        <v>0.28393948637231203</v>
      </c>
      <c r="AF241" s="4">
        <f t="shared" si="163"/>
        <v>0.21097259161117732</v>
      </c>
      <c r="AG241" s="4">
        <f t="shared" si="160"/>
        <v>0.15253917653798199</v>
      </c>
      <c r="AH241" s="4">
        <f t="shared" si="160"/>
        <v>0.10795188737709993</v>
      </c>
      <c r="AI241" s="4">
        <f t="shared" si="160"/>
        <v>7.5176653938091809E-2</v>
      </c>
      <c r="AJ241" s="4">
        <f t="shared" si="161"/>
        <v>5.1742836177502194E-2</v>
      </c>
      <c r="AK241" s="4">
        <f t="shared" si="161"/>
        <v>3.5319190625345942E-2</v>
      </c>
      <c r="AL241" s="4">
        <f t="shared" si="161"/>
        <v>2.3969442072658165E-2</v>
      </c>
      <c r="AM241" s="4">
        <f t="shared" si="161"/>
        <v>1.6202243558389728E-2</v>
      </c>
      <c r="AN241" s="4">
        <f t="shared" si="161"/>
        <v>1.0922240564108399E-2</v>
      </c>
      <c r="AO241" s="4">
        <f t="shared" si="161"/>
        <v>7.3493212906090566E-3</v>
      </c>
      <c r="AP241" s="4">
        <f t="shared" si="161"/>
        <v>4.9390262185057265E-3</v>
      </c>
      <c r="AQ241" s="4">
        <f t="shared" si="161"/>
        <v>3.3164275492956197E-3</v>
      </c>
      <c r="AR241" s="4">
        <f t="shared" si="161"/>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4">A225</f>
        <v>Capex vehicle</v>
      </c>
      <c r="B245" s="62">
        <f t="shared" ref="B245:B253" si="165">$B225+($C225-$B225)*(1-Q225)</f>
        <v>3500000</v>
      </c>
      <c r="C245" s="62">
        <f t="shared" ref="C245:C253" si="166">$B225+($C225-$B225)*(1-R225)</f>
        <v>3500000</v>
      </c>
      <c r="D245" s="62">
        <f t="shared" ref="D245:D253" si="167">$B225+($C225-$B225)*(1-S225)</f>
        <v>3500000</v>
      </c>
      <c r="E245" s="62">
        <f t="shared" ref="E245:E253" si="168">$B225+($C225-$B225)*(1-T225)</f>
        <v>3500000</v>
      </c>
      <c r="F245" s="62">
        <f t="shared" ref="F245:F253" si="169">$B225+($C225-$B225)*(1-U225)</f>
        <v>3500000</v>
      </c>
      <c r="G245" s="62">
        <f t="shared" ref="G245:G253" si="170">$B225+($C225-$B225)*(1-V225)</f>
        <v>3500000</v>
      </c>
      <c r="H245" s="62">
        <f t="shared" ref="H245:H253" si="171">$B225+($C225-$B225)*(1-W225)</f>
        <v>3500000</v>
      </c>
      <c r="I245" s="62">
        <f t="shared" ref="I245:I253" si="172">$B225+($C225-$B225)*(1-X225)</f>
        <v>3500000</v>
      </c>
      <c r="J245" s="62">
        <f t="shared" ref="J245:J253" si="173">$B225+($C225-$B225)*(1-Y225)</f>
        <v>3500000</v>
      </c>
      <c r="K245" s="62">
        <f t="shared" ref="K245:K253" si="174">$B225+($C225-$B225)*(1-Z225)</f>
        <v>3500000</v>
      </c>
      <c r="L245" s="62">
        <f t="shared" ref="L245:L253" si="175">$B225+($C225-$B225)*(1-AA225)</f>
        <v>3500000</v>
      </c>
      <c r="M245" s="62">
        <f t="shared" ref="M245:M253" si="176">$B225+($C225-$B225)*(1-AB225)</f>
        <v>3500000</v>
      </c>
      <c r="N245" s="62">
        <f t="shared" ref="N245:N253" si="177">$B225+($C225-$B225)*(1-AC225)</f>
        <v>3500000</v>
      </c>
      <c r="O245" s="62">
        <f t="shared" ref="O245:O253" si="178">$B225+($C225-$B225)*(1-AD225)</f>
        <v>3500000</v>
      </c>
      <c r="P245" s="62">
        <f t="shared" ref="P245:P253" si="179">$B225+($C225-$B225)*(1-AE225)</f>
        <v>3500000</v>
      </c>
      <c r="Q245" s="62">
        <f t="shared" ref="Q245:Q253" si="180">$B225+($C225-$B225)*(1-AF225)</f>
        <v>3500000</v>
      </c>
      <c r="R245" s="62">
        <f t="shared" ref="R245:R253" si="181">$B225+($C225-$B225)*(1-AG225)</f>
        <v>3500000</v>
      </c>
      <c r="S245" s="62">
        <f t="shared" ref="S245:S253" si="182">$B225+($C225-$B225)*(1-AH225)</f>
        <v>3500000</v>
      </c>
      <c r="T245" s="62">
        <f t="shared" ref="T245:T253" si="183">$B225+($C225-$B225)*(1-AI225)</f>
        <v>3500000</v>
      </c>
      <c r="U245" s="62">
        <f t="shared" ref="U245:U253" si="184">$B225+($C225-$B225)*(1-AJ225)</f>
        <v>3500000</v>
      </c>
      <c r="V245" s="62">
        <f t="shared" ref="V245:V253" si="185">$B225+($C225-$B225)*(1-AK225)</f>
        <v>3500000</v>
      </c>
      <c r="W245" s="62">
        <f t="shared" ref="W245:W253" si="186">$B225+($C225-$B225)*(1-AL225)</f>
        <v>3500000</v>
      </c>
      <c r="X245" s="62">
        <f t="shared" ref="X245:X253" si="187">$B225+($C225-$B225)*(1-AM225)</f>
        <v>3500000</v>
      </c>
      <c r="Y245" s="62">
        <f t="shared" ref="Y245:Y253" si="188">$B225+($C225-$B225)*(1-AN225)</f>
        <v>3500000</v>
      </c>
      <c r="Z245" s="62">
        <f t="shared" ref="Z245:Z253" si="189">$B225+($C225-$B225)*(1-AO225)</f>
        <v>3500000</v>
      </c>
      <c r="AA245" s="62">
        <f t="shared" ref="AA245:AA253" si="190">$B225+($C225-$B225)*(1-AP225)</f>
        <v>3500000</v>
      </c>
      <c r="AB245" s="62">
        <f t="shared" ref="AB245:AB253" si="191">$B225+($C225-$B225)*(1-AQ225)</f>
        <v>3500000</v>
      </c>
      <c r="AC245" s="62">
        <f t="shared" ref="AC245:AC253" si="192">$B225+($C225-$B225)*(1-AR225)</f>
        <v>3500000</v>
      </c>
    </row>
    <row r="246" spans="1:44" x14ac:dyDescent="0.25">
      <c r="A246" s="30" t="str">
        <f t="shared" si="164"/>
        <v>Residual value (vehicle)</v>
      </c>
      <c r="B246" s="62">
        <f t="shared" si="165"/>
        <v>-520379.25155119307</v>
      </c>
      <c r="C246" s="62">
        <f t="shared" si="166"/>
        <v>-518400.78417000384</v>
      </c>
      <c r="D246" s="62">
        <f t="shared" si="167"/>
        <v>-515591.64410555211</v>
      </c>
      <c r="E246" s="62">
        <f t="shared" si="168"/>
        <v>-511621.1945655747</v>
      </c>
      <c r="F246" s="62">
        <f t="shared" si="169"/>
        <v>-506046.75504428975</v>
      </c>
      <c r="G246" s="62">
        <f t="shared" si="170"/>
        <v>-498296.26052549522</v>
      </c>
      <c r="H246" s="62">
        <f t="shared" si="171"/>
        <v>-487670.62248680455</v>
      </c>
      <c r="I246" s="62">
        <f t="shared" si="172"/>
        <v>-473390.90356014454</v>
      </c>
      <c r="J246" s="62">
        <f t="shared" si="173"/>
        <v>-454724.55228418356</v>
      </c>
      <c r="K246" s="62">
        <f t="shared" si="174"/>
        <v>-431217.43787497684</v>
      </c>
      <c r="L246" s="62">
        <f t="shared" si="175"/>
        <v>-403009.57535575342</v>
      </c>
      <c r="M246" s="62">
        <f t="shared" si="176"/>
        <v>-371112.8675829735</v>
      </c>
      <c r="N246" s="62">
        <f t="shared" si="177"/>
        <v>-337439.64405614871</v>
      </c>
      <c r="O246" s="62">
        <f t="shared" si="178"/>
        <v>-304429.04658433376</v>
      </c>
      <c r="P246" s="62">
        <f t="shared" si="179"/>
        <v>-274378.82023030921</v>
      </c>
      <c r="Q246" s="62">
        <f t="shared" si="180"/>
        <v>-248840.40706391208</v>
      </c>
      <c r="R246" s="62">
        <f t="shared" si="181"/>
        <v>-228388.71178829367</v>
      </c>
      <c r="S246" s="62">
        <f t="shared" si="182"/>
        <v>-212783.16058198496</v>
      </c>
      <c r="T246" s="62">
        <f t="shared" si="183"/>
        <v>-201311.8288783321</v>
      </c>
      <c r="U246" s="62">
        <f t="shared" si="184"/>
        <v>-193109.99266212579</v>
      </c>
      <c r="V246" s="62">
        <f t="shared" si="185"/>
        <v>-187361.71671887109</v>
      </c>
      <c r="W246" s="62">
        <f t="shared" si="186"/>
        <v>-183389.30472543038</v>
      </c>
      <c r="X246" s="62">
        <f t="shared" si="187"/>
        <v>-180670.78524543642</v>
      </c>
      <c r="Y246" s="62">
        <f t="shared" si="188"/>
        <v>-178822.78419743793</v>
      </c>
      <c r="Z246" s="62">
        <f t="shared" si="189"/>
        <v>-177572.26245171315</v>
      </c>
      <c r="AA246" s="62">
        <f t="shared" si="190"/>
        <v>-176728.659176477</v>
      </c>
      <c r="AB246" s="62">
        <f t="shared" si="191"/>
        <v>-176160.74964225345</v>
      </c>
      <c r="AC246" s="62">
        <f t="shared" si="192"/>
        <v>-175778.97267513379</v>
      </c>
    </row>
    <row r="247" spans="1:44" x14ac:dyDescent="0.25">
      <c r="A247" s="30" t="str">
        <f t="shared" si="164"/>
        <v>Capex costumization</v>
      </c>
      <c r="B247" s="62">
        <f t="shared" si="165"/>
        <v>2800000</v>
      </c>
      <c r="C247" s="62">
        <f t="shared" si="166"/>
        <v>2800000</v>
      </c>
      <c r="D247" s="62">
        <f t="shared" si="167"/>
        <v>2800000</v>
      </c>
      <c r="E247" s="62">
        <f t="shared" si="168"/>
        <v>2800000</v>
      </c>
      <c r="F247" s="62">
        <f t="shared" si="169"/>
        <v>2800000</v>
      </c>
      <c r="G247" s="62">
        <f t="shared" si="170"/>
        <v>2800000</v>
      </c>
      <c r="H247" s="62">
        <f t="shared" si="171"/>
        <v>2800000</v>
      </c>
      <c r="I247" s="62">
        <f t="shared" si="172"/>
        <v>2800000</v>
      </c>
      <c r="J247" s="62">
        <f t="shared" si="173"/>
        <v>2800000</v>
      </c>
      <c r="K247" s="62">
        <f t="shared" si="174"/>
        <v>2800000</v>
      </c>
      <c r="L247" s="62">
        <f t="shared" si="175"/>
        <v>2800000</v>
      </c>
      <c r="M247" s="62">
        <f t="shared" si="176"/>
        <v>2800000</v>
      </c>
      <c r="N247" s="62">
        <f t="shared" si="177"/>
        <v>2800000</v>
      </c>
      <c r="O247" s="62">
        <f t="shared" si="178"/>
        <v>2800000</v>
      </c>
      <c r="P247" s="62">
        <f t="shared" si="179"/>
        <v>2800000</v>
      </c>
      <c r="Q247" s="62">
        <f t="shared" si="180"/>
        <v>2800000</v>
      </c>
      <c r="R247" s="62">
        <f t="shared" si="181"/>
        <v>2800000</v>
      </c>
      <c r="S247" s="62">
        <f t="shared" si="182"/>
        <v>2800000</v>
      </c>
      <c r="T247" s="62">
        <f t="shared" si="183"/>
        <v>2800000</v>
      </c>
      <c r="U247" s="62">
        <f t="shared" si="184"/>
        <v>2800000</v>
      </c>
      <c r="V247" s="62">
        <f t="shared" si="185"/>
        <v>2800000</v>
      </c>
      <c r="W247" s="62">
        <f t="shared" si="186"/>
        <v>2800000</v>
      </c>
      <c r="X247" s="62">
        <f t="shared" si="187"/>
        <v>2800000</v>
      </c>
      <c r="Y247" s="62">
        <f t="shared" si="188"/>
        <v>2800000</v>
      </c>
      <c r="Z247" s="62">
        <f t="shared" si="189"/>
        <v>2800000</v>
      </c>
      <c r="AA247" s="62">
        <f t="shared" si="190"/>
        <v>2800000</v>
      </c>
      <c r="AB247" s="62">
        <f t="shared" si="191"/>
        <v>2800000</v>
      </c>
      <c r="AC247" s="62">
        <f t="shared" si="192"/>
        <v>2800000</v>
      </c>
    </row>
    <row r="248" spans="1:44" x14ac:dyDescent="0.25">
      <c r="A248" s="30" t="str">
        <f t="shared" si="164"/>
        <v>Residual value (costumization)</v>
      </c>
      <c r="B248" s="62">
        <f t="shared" si="165"/>
        <v>-140000</v>
      </c>
      <c r="C248" s="62">
        <f t="shared" si="166"/>
        <v>-140000</v>
      </c>
      <c r="D248" s="62">
        <f t="shared" si="167"/>
        <v>-140000</v>
      </c>
      <c r="E248" s="62">
        <f t="shared" si="168"/>
        <v>-140000</v>
      </c>
      <c r="F248" s="62">
        <f t="shared" si="169"/>
        <v>-140000</v>
      </c>
      <c r="G248" s="62">
        <f t="shared" si="170"/>
        <v>-140000</v>
      </c>
      <c r="H248" s="62">
        <f t="shared" si="171"/>
        <v>-140000</v>
      </c>
      <c r="I248" s="62">
        <f t="shared" si="172"/>
        <v>-140000</v>
      </c>
      <c r="J248" s="62">
        <f t="shared" si="173"/>
        <v>-140000</v>
      </c>
      <c r="K248" s="62">
        <f t="shared" si="174"/>
        <v>-140000</v>
      </c>
      <c r="L248" s="62">
        <f t="shared" si="175"/>
        <v>-140000</v>
      </c>
      <c r="M248" s="62">
        <f t="shared" si="176"/>
        <v>-140000</v>
      </c>
      <c r="N248" s="62">
        <f t="shared" si="177"/>
        <v>-140000</v>
      </c>
      <c r="O248" s="62">
        <f t="shared" si="178"/>
        <v>-140000</v>
      </c>
      <c r="P248" s="62">
        <f t="shared" si="179"/>
        <v>-140000</v>
      </c>
      <c r="Q248" s="62">
        <f t="shared" si="180"/>
        <v>-140000</v>
      </c>
      <c r="R248" s="62">
        <f t="shared" si="181"/>
        <v>-140000</v>
      </c>
      <c r="S248" s="62">
        <f t="shared" si="182"/>
        <v>-140000</v>
      </c>
      <c r="T248" s="62">
        <f t="shared" si="183"/>
        <v>-140000</v>
      </c>
      <c r="U248" s="62">
        <f t="shared" si="184"/>
        <v>-140000</v>
      </c>
      <c r="V248" s="62">
        <f t="shared" si="185"/>
        <v>-140000</v>
      </c>
      <c r="W248" s="62">
        <f t="shared" si="186"/>
        <v>-140000</v>
      </c>
      <c r="X248" s="62">
        <f t="shared" si="187"/>
        <v>-140000</v>
      </c>
      <c r="Y248" s="62">
        <f t="shared" si="188"/>
        <v>-140000</v>
      </c>
      <c r="Z248" s="62">
        <f t="shared" si="189"/>
        <v>-140000</v>
      </c>
      <c r="AA248" s="62">
        <f t="shared" si="190"/>
        <v>-140000</v>
      </c>
      <c r="AB248" s="62">
        <f t="shared" si="191"/>
        <v>-140000</v>
      </c>
      <c r="AC248" s="62">
        <f t="shared" si="192"/>
        <v>-140000</v>
      </c>
    </row>
    <row r="249" spans="1:44" x14ac:dyDescent="0.25">
      <c r="A249" s="30" t="str">
        <f t="shared" si="164"/>
        <v>WACC</v>
      </c>
      <c r="B249" s="62">
        <f t="shared" si="165"/>
        <v>0.06</v>
      </c>
      <c r="C249" s="62">
        <f t="shared" si="166"/>
        <v>0.06</v>
      </c>
      <c r="D249" s="62">
        <f t="shared" si="167"/>
        <v>0.06</v>
      </c>
      <c r="E249" s="62">
        <f t="shared" si="168"/>
        <v>0.06</v>
      </c>
      <c r="F249" s="62">
        <f t="shared" si="169"/>
        <v>0.06</v>
      </c>
      <c r="G249" s="62">
        <f t="shared" si="170"/>
        <v>0.06</v>
      </c>
      <c r="H249" s="62">
        <f t="shared" si="171"/>
        <v>0.06</v>
      </c>
      <c r="I249" s="62">
        <f t="shared" si="172"/>
        <v>0.06</v>
      </c>
      <c r="J249" s="62">
        <f t="shared" si="173"/>
        <v>0.06</v>
      </c>
      <c r="K249" s="62">
        <f t="shared" si="174"/>
        <v>0.06</v>
      </c>
      <c r="L249" s="62">
        <f t="shared" si="175"/>
        <v>0.06</v>
      </c>
      <c r="M249" s="62">
        <f t="shared" si="176"/>
        <v>0.06</v>
      </c>
      <c r="N249" s="62">
        <f t="shared" si="177"/>
        <v>0.06</v>
      </c>
      <c r="O249" s="62">
        <f t="shared" si="178"/>
        <v>0.06</v>
      </c>
      <c r="P249" s="62">
        <f t="shared" si="179"/>
        <v>0.06</v>
      </c>
      <c r="Q249" s="62">
        <f t="shared" si="180"/>
        <v>0.06</v>
      </c>
      <c r="R249" s="62">
        <f t="shared" si="181"/>
        <v>0.06</v>
      </c>
      <c r="S249" s="62">
        <f t="shared" si="182"/>
        <v>0.06</v>
      </c>
      <c r="T249" s="62">
        <f t="shared" si="183"/>
        <v>0.06</v>
      </c>
      <c r="U249" s="62">
        <f t="shared" si="184"/>
        <v>0.06</v>
      </c>
      <c r="V249" s="62">
        <f t="shared" si="185"/>
        <v>0.06</v>
      </c>
      <c r="W249" s="62">
        <f t="shared" si="186"/>
        <v>0.06</v>
      </c>
      <c r="X249" s="62">
        <f t="shared" si="187"/>
        <v>0.06</v>
      </c>
      <c r="Y249" s="62">
        <f t="shared" si="188"/>
        <v>0.06</v>
      </c>
      <c r="Z249" s="62">
        <f t="shared" si="189"/>
        <v>0.06</v>
      </c>
      <c r="AA249" s="62">
        <f t="shared" si="190"/>
        <v>0.06</v>
      </c>
      <c r="AB249" s="62">
        <f t="shared" si="191"/>
        <v>0.06</v>
      </c>
      <c r="AC249" s="62">
        <f t="shared" si="192"/>
        <v>0.06</v>
      </c>
    </row>
    <row r="250" spans="1:44" x14ac:dyDescent="0.25">
      <c r="A250" s="30" t="str">
        <f t="shared" si="164"/>
        <v>Opex fix (admin, crew, insurance)</v>
      </c>
      <c r="B250" s="62">
        <f t="shared" si="165"/>
        <v>610000</v>
      </c>
      <c r="C250" s="62">
        <f t="shared" si="166"/>
        <v>610000</v>
      </c>
      <c r="D250" s="62">
        <f t="shared" si="167"/>
        <v>610000</v>
      </c>
      <c r="E250" s="62">
        <f t="shared" si="168"/>
        <v>610000</v>
      </c>
      <c r="F250" s="62">
        <f t="shared" si="169"/>
        <v>610000</v>
      </c>
      <c r="G250" s="62">
        <f t="shared" si="170"/>
        <v>610000</v>
      </c>
      <c r="H250" s="62">
        <f t="shared" si="171"/>
        <v>610000</v>
      </c>
      <c r="I250" s="62">
        <f t="shared" si="172"/>
        <v>610000</v>
      </c>
      <c r="J250" s="62">
        <f t="shared" si="173"/>
        <v>610000</v>
      </c>
      <c r="K250" s="62">
        <f t="shared" si="174"/>
        <v>610000</v>
      </c>
      <c r="L250" s="62">
        <f t="shared" si="175"/>
        <v>610000</v>
      </c>
      <c r="M250" s="62">
        <f t="shared" si="176"/>
        <v>610000</v>
      </c>
      <c r="N250" s="62">
        <f t="shared" si="177"/>
        <v>610000</v>
      </c>
      <c r="O250" s="62">
        <f t="shared" si="178"/>
        <v>610000</v>
      </c>
      <c r="P250" s="62">
        <f t="shared" si="179"/>
        <v>610000</v>
      </c>
      <c r="Q250" s="62">
        <f t="shared" si="180"/>
        <v>610000</v>
      </c>
      <c r="R250" s="62">
        <f t="shared" si="181"/>
        <v>610000</v>
      </c>
      <c r="S250" s="62">
        <f t="shared" si="182"/>
        <v>610000</v>
      </c>
      <c r="T250" s="62">
        <f t="shared" si="183"/>
        <v>610000</v>
      </c>
      <c r="U250" s="62">
        <f t="shared" si="184"/>
        <v>610000</v>
      </c>
      <c r="V250" s="62">
        <f t="shared" si="185"/>
        <v>610000</v>
      </c>
      <c r="W250" s="62">
        <f t="shared" si="186"/>
        <v>610000</v>
      </c>
      <c r="X250" s="62">
        <f t="shared" si="187"/>
        <v>610000</v>
      </c>
      <c r="Y250" s="62">
        <f t="shared" si="188"/>
        <v>610000</v>
      </c>
      <c r="Z250" s="62">
        <f t="shared" si="189"/>
        <v>610000</v>
      </c>
      <c r="AA250" s="62">
        <f t="shared" si="190"/>
        <v>610000</v>
      </c>
      <c r="AB250" s="62">
        <f t="shared" si="191"/>
        <v>610000</v>
      </c>
      <c r="AC250" s="62">
        <f t="shared" si="192"/>
        <v>610000</v>
      </c>
    </row>
    <row r="251" spans="1:44" x14ac:dyDescent="0.25">
      <c r="A251" s="30" t="str">
        <f t="shared" si="164"/>
        <v>Opex maintenance &amp; repair</v>
      </c>
      <c r="B251" s="62">
        <f t="shared" si="165"/>
        <v>1050000</v>
      </c>
      <c r="C251" s="62">
        <f t="shared" si="166"/>
        <v>1050000</v>
      </c>
      <c r="D251" s="62">
        <f t="shared" si="167"/>
        <v>1050000</v>
      </c>
      <c r="E251" s="62">
        <f t="shared" si="168"/>
        <v>1050000</v>
      </c>
      <c r="F251" s="62">
        <f t="shared" si="169"/>
        <v>1050000</v>
      </c>
      <c r="G251" s="62">
        <f t="shared" si="170"/>
        <v>1050000</v>
      </c>
      <c r="H251" s="62">
        <f t="shared" si="171"/>
        <v>1050000</v>
      </c>
      <c r="I251" s="62">
        <f t="shared" si="172"/>
        <v>1050000</v>
      </c>
      <c r="J251" s="62">
        <f t="shared" si="173"/>
        <v>1050000</v>
      </c>
      <c r="K251" s="62">
        <f t="shared" si="174"/>
        <v>1050000</v>
      </c>
      <c r="L251" s="62">
        <f t="shared" si="175"/>
        <v>1050000</v>
      </c>
      <c r="M251" s="62">
        <f t="shared" si="176"/>
        <v>1050000</v>
      </c>
      <c r="N251" s="62">
        <f t="shared" si="177"/>
        <v>1050000</v>
      </c>
      <c r="O251" s="62">
        <f t="shared" si="178"/>
        <v>1050000</v>
      </c>
      <c r="P251" s="62">
        <f t="shared" si="179"/>
        <v>1050000</v>
      </c>
      <c r="Q251" s="62">
        <f t="shared" si="180"/>
        <v>1050000</v>
      </c>
      <c r="R251" s="62">
        <f t="shared" si="181"/>
        <v>1050000</v>
      </c>
      <c r="S251" s="62">
        <f t="shared" si="182"/>
        <v>1050000</v>
      </c>
      <c r="T251" s="62">
        <f t="shared" si="183"/>
        <v>1050000</v>
      </c>
      <c r="U251" s="62">
        <f t="shared" si="184"/>
        <v>1050000</v>
      </c>
      <c r="V251" s="62">
        <f t="shared" si="185"/>
        <v>1050000</v>
      </c>
      <c r="W251" s="62">
        <f t="shared" si="186"/>
        <v>1050000</v>
      </c>
      <c r="X251" s="62">
        <f t="shared" si="187"/>
        <v>1050000</v>
      </c>
      <c r="Y251" s="62">
        <f t="shared" si="188"/>
        <v>1050000</v>
      </c>
      <c r="Z251" s="62">
        <f t="shared" si="189"/>
        <v>1050000</v>
      </c>
      <c r="AA251" s="62">
        <f t="shared" si="190"/>
        <v>1050000</v>
      </c>
      <c r="AB251" s="62">
        <f t="shared" si="191"/>
        <v>1050000</v>
      </c>
      <c r="AC251" s="62">
        <f t="shared" si="192"/>
        <v>1050000</v>
      </c>
    </row>
    <row r="252" spans="1:44" x14ac:dyDescent="0.25">
      <c r="A252" s="30" t="str">
        <f t="shared" si="164"/>
        <v>Opex var (mode-fees, shunting)</v>
      </c>
      <c r="B252" s="62">
        <f t="shared" si="165"/>
        <v>3.6414565826330532</v>
      </c>
      <c r="C252" s="62">
        <f t="shared" si="166"/>
        <v>3.6414565826330532</v>
      </c>
      <c r="D252" s="62">
        <f t="shared" si="167"/>
        <v>3.6414565826330532</v>
      </c>
      <c r="E252" s="62">
        <f t="shared" si="168"/>
        <v>3.6414565826330532</v>
      </c>
      <c r="F252" s="62">
        <f t="shared" si="169"/>
        <v>3.6414565826330532</v>
      </c>
      <c r="G252" s="62">
        <f t="shared" si="170"/>
        <v>3.6414565826330532</v>
      </c>
      <c r="H252" s="62">
        <f t="shared" si="171"/>
        <v>3.6414565826330532</v>
      </c>
      <c r="I252" s="62">
        <f t="shared" si="172"/>
        <v>3.6414565826330532</v>
      </c>
      <c r="J252" s="62">
        <f t="shared" si="173"/>
        <v>3.6414565826330532</v>
      </c>
      <c r="K252" s="62">
        <f t="shared" si="174"/>
        <v>3.6414565826330532</v>
      </c>
      <c r="L252" s="62">
        <f t="shared" si="175"/>
        <v>3.6414565826330532</v>
      </c>
      <c r="M252" s="62">
        <f t="shared" si="176"/>
        <v>3.6414565826330532</v>
      </c>
      <c r="N252" s="62">
        <f t="shared" si="177"/>
        <v>3.6414565826330532</v>
      </c>
      <c r="O252" s="62">
        <f t="shared" si="178"/>
        <v>3.6414565826330532</v>
      </c>
      <c r="P252" s="62">
        <f t="shared" si="179"/>
        <v>3.6414565826330532</v>
      </c>
      <c r="Q252" s="62">
        <f t="shared" si="180"/>
        <v>3.6414565826330532</v>
      </c>
      <c r="R252" s="62">
        <f t="shared" si="181"/>
        <v>3.6414565826330532</v>
      </c>
      <c r="S252" s="62">
        <f t="shared" si="182"/>
        <v>3.6414565826330532</v>
      </c>
      <c r="T252" s="62">
        <f t="shared" si="183"/>
        <v>3.6414565826330532</v>
      </c>
      <c r="U252" s="62">
        <f t="shared" si="184"/>
        <v>3.6414565826330532</v>
      </c>
      <c r="V252" s="62">
        <f t="shared" si="185"/>
        <v>3.6414565826330532</v>
      </c>
      <c r="W252" s="62">
        <f t="shared" si="186"/>
        <v>3.6414565826330532</v>
      </c>
      <c r="X252" s="62">
        <f t="shared" si="187"/>
        <v>3.6414565826330532</v>
      </c>
      <c r="Y252" s="62">
        <f t="shared" si="188"/>
        <v>3.6414565826330532</v>
      </c>
      <c r="Z252" s="62">
        <f t="shared" si="189"/>
        <v>3.6414565826330532</v>
      </c>
      <c r="AA252" s="62">
        <f t="shared" si="190"/>
        <v>3.6414565826330532</v>
      </c>
      <c r="AB252" s="62">
        <f t="shared" si="191"/>
        <v>3.6414565826330532</v>
      </c>
      <c r="AC252" s="62">
        <f t="shared" si="192"/>
        <v>3.6414565826330532</v>
      </c>
    </row>
    <row r="253" spans="1:44" x14ac:dyDescent="0.25">
      <c r="A253" s="30" t="str">
        <f t="shared" si="164"/>
        <v>Fuel Economy</v>
      </c>
      <c r="B253" s="62">
        <f t="shared" si="165"/>
        <v>76.777599999999993</v>
      </c>
      <c r="C253" s="62">
        <f t="shared" si="166"/>
        <v>76.777599999999993</v>
      </c>
      <c r="D253" s="62">
        <f t="shared" si="167"/>
        <v>76.777599999999993</v>
      </c>
      <c r="E253" s="62">
        <f t="shared" si="168"/>
        <v>76.777599999999993</v>
      </c>
      <c r="F253" s="62">
        <f t="shared" si="169"/>
        <v>76.777599999999993</v>
      </c>
      <c r="G253" s="62">
        <f t="shared" si="170"/>
        <v>76.777599999999993</v>
      </c>
      <c r="H253" s="62">
        <f t="shared" si="171"/>
        <v>76.777599999999993</v>
      </c>
      <c r="I253" s="62">
        <f t="shared" si="172"/>
        <v>76.777599999999993</v>
      </c>
      <c r="J253" s="62">
        <f t="shared" si="173"/>
        <v>76.777599999999993</v>
      </c>
      <c r="K253" s="62">
        <f t="shared" si="174"/>
        <v>76.777599999999993</v>
      </c>
      <c r="L253" s="62">
        <f t="shared" si="175"/>
        <v>76.777599999999993</v>
      </c>
      <c r="M253" s="62">
        <f t="shared" si="176"/>
        <v>76.777599999999993</v>
      </c>
      <c r="N253" s="62">
        <f t="shared" si="177"/>
        <v>76.777599999999993</v>
      </c>
      <c r="O253" s="62">
        <f t="shared" si="178"/>
        <v>76.777599999999993</v>
      </c>
      <c r="P253" s="62">
        <f t="shared" si="179"/>
        <v>76.777599999999993</v>
      </c>
      <c r="Q253" s="62">
        <f t="shared" si="180"/>
        <v>76.777599999999993</v>
      </c>
      <c r="R253" s="62">
        <f t="shared" si="181"/>
        <v>76.777599999999993</v>
      </c>
      <c r="S253" s="62">
        <f t="shared" si="182"/>
        <v>76.777599999999993</v>
      </c>
      <c r="T253" s="62">
        <f t="shared" si="183"/>
        <v>76.777599999999993</v>
      </c>
      <c r="U253" s="62">
        <f t="shared" si="184"/>
        <v>76.777599999999993</v>
      </c>
      <c r="V253" s="62">
        <f t="shared" si="185"/>
        <v>76.777599999999993</v>
      </c>
      <c r="W253" s="62">
        <f t="shared" si="186"/>
        <v>76.777599999999993</v>
      </c>
      <c r="X253" s="62">
        <f t="shared" si="187"/>
        <v>76.777599999999993</v>
      </c>
      <c r="Y253" s="62">
        <f t="shared" si="188"/>
        <v>76.777599999999993</v>
      </c>
      <c r="Z253" s="62">
        <f t="shared" si="189"/>
        <v>76.777599999999993</v>
      </c>
      <c r="AA253" s="62">
        <f t="shared" si="190"/>
        <v>76.777599999999993</v>
      </c>
      <c r="AB253" s="62">
        <f t="shared" si="191"/>
        <v>76.777599999999993</v>
      </c>
      <c r="AC253" s="62">
        <f t="shared" si="192"/>
        <v>76.777599999999993</v>
      </c>
    </row>
    <row r="254" spans="1:44" x14ac:dyDescent="0.25">
      <c r="A254" s="30" t="str">
        <f t="shared" si="164"/>
        <v>Fuel Cost</v>
      </c>
      <c r="B254" s="62">
        <f>'Parameter Input'!J8</f>
        <v>5.7951260504201685E-2</v>
      </c>
      <c r="C254" s="62">
        <f>'Parameter Input'!K8</f>
        <v>5.3954621848739497E-2</v>
      </c>
      <c r="D254" s="62">
        <f>'Parameter Input'!L8</f>
        <v>4.9957983193277315E-2</v>
      </c>
      <c r="E254" s="62">
        <f>'Parameter Input'!M8</f>
        <v>4.5961344537815127E-2</v>
      </c>
      <c r="F254" s="62">
        <f>'Parameter Input'!N8</f>
        <v>4.1964705882352946E-2</v>
      </c>
      <c r="G254" s="62">
        <f>'Parameter Input'!O8</f>
        <v>3.7968067226890764E-2</v>
      </c>
      <c r="H254" s="62">
        <f>'Parameter Input'!P8</f>
        <v>3.3971428571428583E-2</v>
      </c>
      <c r="I254" s="62">
        <f>'Parameter Input'!Q8</f>
        <v>2.9974789915966391E-2</v>
      </c>
      <c r="J254" s="62">
        <f>'Parameter Input'!R8</f>
        <v>2.9368157262905165E-2</v>
      </c>
      <c r="K254" s="62">
        <f>'Parameter Input'!S8</f>
        <v>2.8761524609843939E-2</v>
      </c>
      <c r="L254" s="62">
        <f>'Parameter Input'!T8</f>
        <v>2.8154891956782713E-2</v>
      </c>
      <c r="M254" s="62">
        <f>'Parameter Input'!U8</f>
        <v>2.7548259303721487E-2</v>
      </c>
      <c r="N254" s="62">
        <f>'Parameter Input'!V8</f>
        <v>2.6941626650660268E-2</v>
      </c>
      <c r="O254" s="62">
        <f>'Parameter Input'!W8</f>
        <v>2.6334993997599043E-2</v>
      </c>
      <c r="P254" s="62">
        <f>'Parameter Input'!X8</f>
        <v>2.5728361344537817E-2</v>
      </c>
      <c r="Q254" s="62">
        <f>'Parameter Input'!Y8</f>
        <v>2.5121728691476591E-2</v>
      </c>
      <c r="R254" s="62">
        <f>'Parameter Input'!Z8</f>
        <v>2.4515096038415365E-2</v>
      </c>
      <c r="S254" s="62">
        <f>'Parameter Input'!AA8</f>
        <v>2.3908463385354146E-2</v>
      </c>
      <c r="T254" s="62">
        <f>'Parameter Input'!AB8</f>
        <v>2.330183073229292E-2</v>
      </c>
      <c r="U254" s="62">
        <f>'Parameter Input'!AC8</f>
        <v>2.2695198079231694E-2</v>
      </c>
      <c r="V254" s="62">
        <f>'Parameter Input'!AD8</f>
        <v>2.2088565426170468E-2</v>
      </c>
      <c r="W254" s="62">
        <f>'Parameter Input'!AE8</f>
        <v>2.1481932773109242E-2</v>
      </c>
      <c r="X254" s="62">
        <f>'Parameter Input'!AF8</f>
        <v>2.0875300120048023E-2</v>
      </c>
      <c r="Y254" s="62">
        <f>'Parameter Input'!AG8</f>
        <v>2.0268667466986797E-2</v>
      </c>
      <c r="Z254" s="62">
        <f>'Parameter Input'!AH8</f>
        <v>1.9662034813925571E-2</v>
      </c>
      <c r="AA254" s="62">
        <f>'Parameter Input'!AI8</f>
        <v>1.9055402160864345E-2</v>
      </c>
      <c r="AB254" s="62">
        <f>'Parameter Input'!AJ8</f>
        <v>1.8448769507803119E-2</v>
      </c>
      <c r="AC254" s="62">
        <f>'Parameter Input'!AK8</f>
        <v>1.78421368547419E-2</v>
      </c>
    </row>
    <row r="255" spans="1:44" x14ac:dyDescent="0.25">
      <c r="A255" s="30" t="str">
        <f t="shared" si="164"/>
        <v>Emission Cost</v>
      </c>
      <c r="B255" s="66">
        <f>$B235+($C235-$B235)*(1-Q235)</f>
        <v>0</v>
      </c>
      <c r="C255" s="66">
        <f t="shared" ref="C255:AC255" si="193">$B235+($C235-$B235)*(1-R235)</f>
        <v>0</v>
      </c>
      <c r="D255" s="66">
        <f t="shared" si="193"/>
        <v>0</v>
      </c>
      <c r="E255" s="66">
        <f t="shared" si="193"/>
        <v>0</v>
      </c>
      <c r="F255" s="66">
        <f t="shared" si="193"/>
        <v>0</v>
      </c>
      <c r="G255" s="66">
        <f t="shared" si="193"/>
        <v>0</v>
      </c>
      <c r="H255" s="66">
        <f t="shared" si="193"/>
        <v>0</v>
      </c>
      <c r="I255" s="66">
        <f t="shared" si="193"/>
        <v>0</v>
      </c>
      <c r="J255" s="66">
        <f t="shared" si="193"/>
        <v>0</v>
      </c>
      <c r="K255" s="66">
        <f t="shared" si="193"/>
        <v>0</v>
      </c>
      <c r="L255" s="66">
        <f t="shared" si="193"/>
        <v>0</v>
      </c>
      <c r="M255" s="66">
        <f t="shared" si="193"/>
        <v>0</v>
      </c>
      <c r="N255" s="66">
        <f t="shared" si="193"/>
        <v>0</v>
      </c>
      <c r="O255" s="66">
        <f t="shared" si="193"/>
        <v>0</v>
      </c>
      <c r="P255" s="66">
        <f t="shared" si="193"/>
        <v>0</v>
      </c>
      <c r="Q255" s="66">
        <f t="shared" si="193"/>
        <v>0</v>
      </c>
      <c r="R255" s="66">
        <f t="shared" si="193"/>
        <v>0</v>
      </c>
      <c r="S255" s="66">
        <f t="shared" si="193"/>
        <v>0</v>
      </c>
      <c r="T255" s="66">
        <f t="shared" si="193"/>
        <v>0</v>
      </c>
      <c r="U255" s="66">
        <f t="shared" si="193"/>
        <v>0</v>
      </c>
      <c r="V255" s="66">
        <f t="shared" si="193"/>
        <v>0</v>
      </c>
      <c r="W255" s="66">
        <f t="shared" si="193"/>
        <v>0</v>
      </c>
      <c r="X255" s="66">
        <f t="shared" si="193"/>
        <v>0</v>
      </c>
      <c r="Y255" s="66">
        <f t="shared" si="193"/>
        <v>0</v>
      </c>
      <c r="Z255" s="66">
        <f t="shared" si="193"/>
        <v>0</v>
      </c>
      <c r="AA255" s="66">
        <f t="shared" si="193"/>
        <v>0</v>
      </c>
      <c r="AB255" s="66">
        <f t="shared" si="193"/>
        <v>0</v>
      </c>
      <c r="AC255" s="66">
        <f t="shared" si="193"/>
        <v>0</v>
      </c>
    </row>
    <row r="256" spans="1:44" x14ac:dyDescent="0.25">
      <c r="A256" s="30" t="str">
        <f t="shared" si="164"/>
        <v>Lifetime vehicle</v>
      </c>
      <c r="B256" s="62">
        <f>$B236+($C236-$B236)*(1-Q236)</f>
        <v>20</v>
      </c>
      <c r="C256" s="62">
        <f t="shared" ref="C256:L258" si="194">$B236+($C236-$B236)*(1-R236)</f>
        <v>20</v>
      </c>
      <c r="D256" s="62">
        <f t="shared" si="194"/>
        <v>20</v>
      </c>
      <c r="E256" s="62">
        <f t="shared" si="194"/>
        <v>20</v>
      </c>
      <c r="F256" s="62">
        <f t="shared" si="194"/>
        <v>20</v>
      </c>
      <c r="G256" s="62">
        <f t="shared" si="194"/>
        <v>20</v>
      </c>
      <c r="H256" s="62">
        <f t="shared" si="194"/>
        <v>20</v>
      </c>
      <c r="I256" s="62">
        <f t="shared" si="194"/>
        <v>20</v>
      </c>
      <c r="J256" s="62">
        <f t="shared" si="194"/>
        <v>20</v>
      </c>
      <c r="K256" s="62">
        <f t="shared" si="194"/>
        <v>20</v>
      </c>
      <c r="L256" s="62">
        <f t="shared" si="194"/>
        <v>20</v>
      </c>
      <c r="M256" s="62">
        <f t="shared" ref="M256:V258" si="195">$B236+($C236-$B236)*(1-AB236)</f>
        <v>20</v>
      </c>
      <c r="N256" s="62">
        <f t="shared" si="195"/>
        <v>20</v>
      </c>
      <c r="O256" s="62">
        <f t="shared" si="195"/>
        <v>20</v>
      </c>
      <c r="P256" s="62">
        <f t="shared" si="195"/>
        <v>20</v>
      </c>
      <c r="Q256" s="62">
        <f t="shared" si="195"/>
        <v>20</v>
      </c>
      <c r="R256" s="62">
        <f t="shared" si="195"/>
        <v>20</v>
      </c>
      <c r="S256" s="62">
        <f t="shared" si="195"/>
        <v>20</v>
      </c>
      <c r="T256" s="62">
        <f t="shared" si="195"/>
        <v>20</v>
      </c>
      <c r="U256" s="62">
        <f t="shared" si="195"/>
        <v>20</v>
      </c>
      <c r="V256" s="62">
        <f t="shared" si="195"/>
        <v>20</v>
      </c>
      <c r="W256" s="62">
        <f t="shared" ref="W256:AC258" si="196">$B236+($C236-$B236)*(1-AL236)</f>
        <v>20</v>
      </c>
      <c r="X256" s="62">
        <f t="shared" si="196"/>
        <v>20</v>
      </c>
      <c r="Y256" s="62">
        <f t="shared" si="196"/>
        <v>20</v>
      </c>
      <c r="Z256" s="62">
        <f t="shared" si="196"/>
        <v>20</v>
      </c>
      <c r="AA256" s="62">
        <f t="shared" si="196"/>
        <v>20</v>
      </c>
      <c r="AB256" s="62">
        <f t="shared" si="196"/>
        <v>20</v>
      </c>
      <c r="AC256" s="62">
        <f t="shared" si="196"/>
        <v>20</v>
      </c>
    </row>
    <row r="257" spans="1:29" x14ac:dyDescent="0.25">
      <c r="A257" s="30" t="str">
        <f t="shared" si="164"/>
        <v>Lifetime costumization</v>
      </c>
      <c r="B257" s="62">
        <f>$B237+($C237-$B237)*(1-Q237)</f>
        <v>30</v>
      </c>
      <c r="C257" s="62">
        <f t="shared" si="194"/>
        <v>30</v>
      </c>
      <c r="D257" s="62">
        <f t="shared" si="194"/>
        <v>30</v>
      </c>
      <c r="E257" s="62">
        <f t="shared" si="194"/>
        <v>30</v>
      </c>
      <c r="F257" s="62">
        <f t="shared" si="194"/>
        <v>30</v>
      </c>
      <c r="G257" s="62">
        <f t="shared" si="194"/>
        <v>30</v>
      </c>
      <c r="H257" s="62">
        <f t="shared" si="194"/>
        <v>30</v>
      </c>
      <c r="I257" s="62">
        <f t="shared" si="194"/>
        <v>30</v>
      </c>
      <c r="J257" s="62">
        <f t="shared" si="194"/>
        <v>30</v>
      </c>
      <c r="K257" s="62">
        <f t="shared" si="194"/>
        <v>30</v>
      </c>
      <c r="L257" s="62">
        <f t="shared" si="194"/>
        <v>30</v>
      </c>
      <c r="M257" s="62">
        <f t="shared" si="195"/>
        <v>30</v>
      </c>
      <c r="N257" s="62">
        <f t="shared" si="195"/>
        <v>30</v>
      </c>
      <c r="O257" s="62">
        <f t="shared" si="195"/>
        <v>30</v>
      </c>
      <c r="P257" s="62">
        <f t="shared" si="195"/>
        <v>30</v>
      </c>
      <c r="Q257" s="62">
        <f t="shared" si="195"/>
        <v>30</v>
      </c>
      <c r="R257" s="62">
        <f t="shared" si="195"/>
        <v>30</v>
      </c>
      <c r="S257" s="62">
        <f t="shared" si="195"/>
        <v>30</v>
      </c>
      <c r="T257" s="62">
        <f t="shared" si="195"/>
        <v>30</v>
      </c>
      <c r="U257" s="62">
        <f t="shared" si="195"/>
        <v>30</v>
      </c>
      <c r="V257" s="62">
        <f t="shared" si="195"/>
        <v>30</v>
      </c>
      <c r="W257" s="62">
        <f t="shared" si="196"/>
        <v>30</v>
      </c>
      <c r="X257" s="62">
        <f t="shared" si="196"/>
        <v>30</v>
      </c>
      <c r="Y257" s="62">
        <f t="shared" si="196"/>
        <v>30</v>
      </c>
      <c r="Z257" s="62">
        <f t="shared" si="196"/>
        <v>30</v>
      </c>
      <c r="AA257" s="62">
        <f t="shared" si="196"/>
        <v>30</v>
      </c>
      <c r="AB257" s="62">
        <f t="shared" si="196"/>
        <v>30</v>
      </c>
      <c r="AC257" s="62">
        <f t="shared" si="196"/>
        <v>30</v>
      </c>
    </row>
    <row r="258" spans="1:29" x14ac:dyDescent="0.25">
      <c r="A258" s="30" t="str">
        <f t="shared" si="164"/>
        <v>Tonnage .</v>
      </c>
      <c r="B258" s="62">
        <f>$B238+($C238-$B238)*(1-Q238)</f>
        <v>2240</v>
      </c>
      <c r="C258" s="62">
        <f t="shared" si="194"/>
        <v>2240</v>
      </c>
      <c r="D258" s="62">
        <f t="shared" si="194"/>
        <v>2240</v>
      </c>
      <c r="E258" s="62">
        <f t="shared" si="194"/>
        <v>2240</v>
      </c>
      <c r="F258" s="62">
        <f t="shared" si="194"/>
        <v>2240</v>
      </c>
      <c r="G258" s="62">
        <f t="shared" si="194"/>
        <v>2240</v>
      </c>
      <c r="H258" s="62">
        <f t="shared" si="194"/>
        <v>2240</v>
      </c>
      <c r="I258" s="62">
        <f t="shared" si="194"/>
        <v>2240</v>
      </c>
      <c r="J258" s="62">
        <f t="shared" si="194"/>
        <v>2240</v>
      </c>
      <c r="K258" s="62">
        <f t="shared" si="194"/>
        <v>2240</v>
      </c>
      <c r="L258" s="62">
        <f t="shared" si="194"/>
        <v>2240</v>
      </c>
      <c r="M258" s="62">
        <f t="shared" si="195"/>
        <v>2240</v>
      </c>
      <c r="N258" s="62">
        <f t="shared" si="195"/>
        <v>2240</v>
      </c>
      <c r="O258" s="62">
        <f t="shared" si="195"/>
        <v>2240</v>
      </c>
      <c r="P258" s="62">
        <f t="shared" si="195"/>
        <v>2240</v>
      </c>
      <c r="Q258" s="62">
        <f t="shared" si="195"/>
        <v>2240</v>
      </c>
      <c r="R258" s="62">
        <f t="shared" si="195"/>
        <v>2240</v>
      </c>
      <c r="S258" s="62">
        <f t="shared" si="195"/>
        <v>2240</v>
      </c>
      <c r="T258" s="62">
        <f t="shared" si="195"/>
        <v>2240</v>
      </c>
      <c r="U258" s="62">
        <f t="shared" si="195"/>
        <v>2240</v>
      </c>
      <c r="V258" s="62">
        <f t="shared" si="195"/>
        <v>2240</v>
      </c>
      <c r="W258" s="62">
        <f t="shared" si="196"/>
        <v>2240</v>
      </c>
      <c r="X258" s="62">
        <f t="shared" si="196"/>
        <v>2240</v>
      </c>
      <c r="Y258" s="62">
        <f t="shared" si="196"/>
        <v>2240</v>
      </c>
      <c r="Z258" s="62">
        <f t="shared" si="196"/>
        <v>2240</v>
      </c>
      <c r="AA258" s="62">
        <f t="shared" si="196"/>
        <v>2240</v>
      </c>
      <c r="AB258" s="62">
        <f t="shared" si="196"/>
        <v>2240</v>
      </c>
      <c r="AC258" s="62">
        <f t="shared" si="196"/>
        <v>2240</v>
      </c>
    </row>
    <row r="259" spans="1:29" x14ac:dyDescent="0.25">
      <c r="A259" s="30" t="str">
        <f t="shared" si="164"/>
        <v>Market failure (av. utilization)</v>
      </c>
      <c r="B259" s="62">
        <f t="shared" ref="B259:K260" si="197">($B239+($C239-$B239)*(1-Q239))*B$44</f>
        <v>955.73333333333335</v>
      </c>
      <c r="C259" s="62">
        <f t="shared" si="197"/>
        <v>955.73333333333335</v>
      </c>
      <c r="D259" s="62">
        <f t="shared" si="197"/>
        <v>955.73333333333335</v>
      </c>
      <c r="E259" s="62">
        <f t="shared" si="197"/>
        <v>955.73333333333335</v>
      </c>
      <c r="F259" s="62">
        <f t="shared" si="197"/>
        <v>955.73333333333335</v>
      </c>
      <c r="G259" s="62">
        <f t="shared" si="197"/>
        <v>955.73333333333335</v>
      </c>
      <c r="H259" s="62">
        <f t="shared" si="197"/>
        <v>955.73333333333335</v>
      </c>
      <c r="I259" s="62">
        <f t="shared" si="197"/>
        <v>955.73333333333335</v>
      </c>
      <c r="J259" s="62">
        <f t="shared" si="197"/>
        <v>955.73333333333335</v>
      </c>
      <c r="K259" s="62">
        <f t="shared" si="197"/>
        <v>955.73333333333335</v>
      </c>
      <c r="L259" s="62">
        <f t="shared" ref="L259:U260" si="198">($B239+($C239-$B239)*(1-AA239))*L$44</f>
        <v>955.73333333333335</v>
      </c>
      <c r="M259" s="62">
        <f t="shared" si="198"/>
        <v>955.73333333333335</v>
      </c>
      <c r="N259" s="62">
        <f t="shared" si="198"/>
        <v>955.73333333333335</v>
      </c>
      <c r="O259" s="62">
        <f t="shared" si="198"/>
        <v>955.73333333333335</v>
      </c>
      <c r="P259" s="62">
        <f t="shared" si="198"/>
        <v>955.73333333333335</v>
      </c>
      <c r="Q259" s="62">
        <f t="shared" si="198"/>
        <v>955.73333333333335</v>
      </c>
      <c r="R259" s="62">
        <f t="shared" si="198"/>
        <v>955.73333333333335</v>
      </c>
      <c r="S259" s="62">
        <f t="shared" si="198"/>
        <v>955.73333333333335</v>
      </c>
      <c r="T259" s="62">
        <f t="shared" si="198"/>
        <v>955.73333333333335</v>
      </c>
      <c r="U259" s="62">
        <f t="shared" si="198"/>
        <v>955.73333333333335</v>
      </c>
      <c r="V259" s="62">
        <f t="shared" ref="V259:AC260" si="199">($B239+($C239-$B239)*(1-AK239))*V$44</f>
        <v>955.73333333333335</v>
      </c>
      <c r="W259" s="62">
        <f t="shared" si="199"/>
        <v>955.73333333333335</v>
      </c>
      <c r="X259" s="62">
        <f t="shared" si="199"/>
        <v>955.73333333333335</v>
      </c>
      <c r="Y259" s="62">
        <f t="shared" si="199"/>
        <v>955.73333333333335</v>
      </c>
      <c r="Z259" s="62">
        <f t="shared" si="199"/>
        <v>955.73333333333335</v>
      </c>
      <c r="AA259" s="62">
        <f t="shared" si="199"/>
        <v>955.73333333333335</v>
      </c>
      <c r="AB259" s="62">
        <f t="shared" si="199"/>
        <v>955.73333333333335</v>
      </c>
      <c r="AC259" s="62">
        <f t="shared" si="199"/>
        <v>955.73333333333335</v>
      </c>
    </row>
    <row r="260" spans="1:29" x14ac:dyDescent="0.25">
      <c r="A260" s="30" t="s">
        <v>73</v>
      </c>
      <c r="B260" s="62">
        <f t="shared" si="197"/>
        <v>0</v>
      </c>
      <c r="C260" s="62">
        <f t="shared" si="197"/>
        <v>0</v>
      </c>
      <c r="D260" s="62">
        <f t="shared" si="197"/>
        <v>0</v>
      </c>
      <c r="E260" s="62">
        <f t="shared" si="197"/>
        <v>0</v>
      </c>
      <c r="F260" s="62">
        <f t="shared" si="197"/>
        <v>0</v>
      </c>
      <c r="G260" s="62">
        <f t="shared" si="197"/>
        <v>0</v>
      </c>
      <c r="H260" s="62">
        <f t="shared" si="197"/>
        <v>0</v>
      </c>
      <c r="I260" s="62">
        <f t="shared" si="197"/>
        <v>0</v>
      </c>
      <c r="J260" s="62">
        <f t="shared" si="197"/>
        <v>0</v>
      </c>
      <c r="K260" s="62">
        <f t="shared" si="197"/>
        <v>0</v>
      </c>
      <c r="L260" s="62">
        <f t="shared" si="198"/>
        <v>0</v>
      </c>
      <c r="M260" s="62">
        <f t="shared" si="198"/>
        <v>0</v>
      </c>
      <c r="N260" s="62">
        <f t="shared" si="198"/>
        <v>0</v>
      </c>
      <c r="O260" s="62">
        <f t="shared" si="198"/>
        <v>0</v>
      </c>
      <c r="P260" s="62">
        <f t="shared" si="198"/>
        <v>0</v>
      </c>
      <c r="Q260" s="62">
        <f t="shared" si="198"/>
        <v>0</v>
      </c>
      <c r="R260" s="62">
        <f t="shared" si="198"/>
        <v>0</v>
      </c>
      <c r="S260" s="62">
        <f t="shared" si="198"/>
        <v>0</v>
      </c>
      <c r="T260" s="62">
        <f t="shared" si="198"/>
        <v>0</v>
      </c>
      <c r="U260" s="62">
        <f t="shared" si="198"/>
        <v>0</v>
      </c>
      <c r="V260" s="62">
        <f t="shared" si="199"/>
        <v>0</v>
      </c>
      <c r="W260" s="62">
        <f t="shared" si="199"/>
        <v>0</v>
      </c>
      <c r="X260" s="62">
        <f t="shared" si="199"/>
        <v>0</v>
      </c>
      <c r="Y260" s="62">
        <f t="shared" si="199"/>
        <v>0</v>
      </c>
      <c r="Z260" s="62">
        <f t="shared" si="199"/>
        <v>0</v>
      </c>
      <c r="AA260" s="62">
        <f t="shared" si="199"/>
        <v>0</v>
      </c>
      <c r="AB260" s="62">
        <f t="shared" si="199"/>
        <v>0</v>
      </c>
      <c r="AC260" s="62">
        <f t="shared" si="199"/>
        <v>0</v>
      </c>
    </row>
    <row r="261" spans="1:29" x14ac:dyDescent="0.25">
      <c r="A261" s="30" t="str">
        <f>A241</f>
        <v>Annual Mileage</v>
      </c>
      <c r="B261" s="62">
        <f t="shared" ref="B261:AC261" si="200">$B241+($C241-$B241)*(1-Q241)</f>
        <v>178500</v>
      </c>
      <c r="C261" s="62">
        <f t="shared" si="200"/>
        <v>178500</v>
      </c>
      <c r="D261" s="62">
        <f t="shared" si="200"/>
        <v>178500</v>
      </c>
      <c r="E261" s="62">
        <f t="shared" si="200"/>
        <v>178500</v>
      </c>
      <c r="F261" s="62">
        <f t="shared" si="200"/>
        <v>178500</v>
      </c>
      <c r="G261" s="62">
        <f t="shared" si="200"/>
        <v>178500</v>
      </c>
      <c r="H261" s="62">
        <f t="shared" si="200"/>
        <v>178500</v>
      </c>
      <c r="I261" s="62">
        <f t="shared" si="200"/>
        <v>178500</v>
      </c>
      <c r="J261" s="62">
        <f t="shared" si="200"/>
        <v>178500</v>
      </c>
      <c r="K261" s="62">
        <f t="shared" si="200"/>
        <v>178500</v>
      </c>
      <c r="L261" s="62">
        <f t="shared" si="200"/>
        <v>178500</v>
      </c>
      <c r="M261" s="62">
        <f t="shared" si="200"/>
        <v>178500</v>
      </c>
      <c r="N261" s="62">
        <f t="shared" si="200"/>
        <v>178500</v>
      </c>
      <c r="O261" s="62">
        <f t="shared" si="200"/>
        <v>178500</v>
      </c>
      <c r="P261" s="62">
        <f t="shared" si="200"/>
        <v>178500</v>
      </c>
      <c r="Q261" s="62">
        <f t="shared" si="200"/>
        <v>178500</v>
      </c>
      <c r="R261" s="62">
        <f t="shared" si="200"/>
        <v>178500</v>
      </c>
      <c r="S261" s="62">
        <f t="shared" si="200"/>
        <v>178500</v>
      </c>
      <c r="T261" s="62">
        <f t="shared" si="200"/>
        <v>178500</v>
      </c>
      <c r="U261" s="62">
        <f t="shared" si="200"/>
        <v>178500</v>
      </c>
      <c r="V261" s="62">
        <f t="shared" si="200"/>
        <v>178500</v>
      </c>
      <c r="W261" s="62">
        <f t="shared" si="200"/>
        <v>178500</v>
      </c>
      <c r="X261" s="62">
        <f t="shared" si="200"/>
        <v>178500</v>
      </c>
      <c r="Y261" s="62">
        <f t="shared" si="200"/>
        <v>178500</v>
      </c>
      <c r="Z261" s="62">
        <f t="shared" si="200"/>
        <v>178500</v>
      </c>
      <c r="AA261" s="62">
        <f t="shared" si="200"/>
        <v>178500</v>
      </c>
      <c r="AB261" s="62">
        <f t="shared" si="200"/>
        <v>178500</v>
      </c>
      <c r="AC261" s="62">
        <f t="shared" si="200"/>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1">((1+C249)^C256)*C249/(((1+C249)^C256)-1)*(C245)</f>
        <v>305145.94941897993</v>
      </c>
      <c r="D264" s="63">
        <f t="shared" si="201"/>
        <v>305145.94941897993</v>
      </c>
      <c r="E264" s="63">
        <f t="shared" si="201"/>
        <v>305145.94941897993</v>
      </c>
      <c r="F264" s="63">
        <f t="shared" si="201"/>
        <v>305145.94941897993</v>
      </c>
      <c r="G264" s="63">
        <f t="shared" si="201"/>
        <v>305145.94941897993</v>
      </c>
      <c r="H264" s="63">
        <f t="shared" si="201"/>
        <v>305145.94941897993</v>
      </c>
      <c r="I264" s="63">
        <f t="shared" si="201"/>
        <v>305145.94941897993</v>
      </c>
      <c r="J264" s="63">
        <f t="shared" si="201"/>
        <v>305145.94941897993</v>
      </c>
      <c r="K264" s="63">
        <f t="shared" si="201"/>
        <v>305145.94941897993</v>
      </c>
      <c r="L264" s="63">
        <f t="shared" si="201"/>
        <v>305145.94941897993</v>
      </c>
      <c r="M264" s="63">
        <f t="shared" si="201"/>
        <v>305145.94941897993</v>
      </c>
      <c r="N264" s="63">
        <f t="shared" si="201"/>
        <v>305145.94941897993</v>
      </c>
      <c r="O264" s="63">
        <f t="shared" si="201"/>
        <v>305145.94941897993</v>
      </c>
      <c r="P264" s="63">
        <f t="shared" si="201"/>
        <v>305145.94941897993</v>
      </c>
      <c r="Q264" s="63">
        <f t="shared" si="201"/>
        <v>305145.94941897993</v>
      </c>
      <c r="R264" s="63">
        <f t="shared" si="201"/>
        <v>305145.94941897993</v>
      </c>
      <c r="S264" s="63">
        <f t="shared" si="201"/>
        <v>305145.94941897993</v>
      </c>
      <c r="T264" s="63">
        <f t="shared" si="201"/>
        <v>305145.94941897993</v>
      </c>
      <c r="U264" s="63">
        <f t="shared" si="201"/>
        <v>305145.94941897993</v>
      </c>
      <c r="V264" s="63">
        <f t="shared" si="201"/>
        <v>305145.94941897993</v>
      </c>
      <c r="W264" s="63">
        <f t="shared" si="201"/>
        <v>305145.94941897993</v>
      </c>
      <c r="X264" s="63">
        <f t="shared" si="201"/>
        <v>305145.94941897993</v>
      </c>
      <c r="Y264" s="63">
        <f t="shared" si="201"/>
        <v>305145.94941897993</v>
      </c>
      <c r="Z264" s="63">
        <f t="shared" si="201"/>
        <v>305145.94941897993</v>
      </c>
      <c r="AA264" s="63">
        <f t="shared" si="201"/>
        <v>305145.94941897993</v>
      </c>
      <c r="AB264" s="63">
        <f t="shared" si="201"/>
        <v>305145.94941897993</v>
      </c>
      <c r="AC264" s="63">
        <f t="shared" si="201"/>
        <v>305145.94941897993</v>
      </c>
    </row>
    <row r="265" spans="1:29" x14ac:dyDescent="0.25">
      <c r="A265" s="30" t="str">
        <f>A246</f>
        <v>Residual value (vehicle)</v>
      </c>
      <c r="B265" s="62">
        <f>((1+B249)^B256)*B249/(((1+B249)^B256)-1)*(B246)</f>
        <v>-45369.034506436277</v>
      </c>
      <c r="C265" s="62">
        <f t="shared" ref="C265:AC265" si="202">((1+C249)^C256)*C249/(((1+C249)^C256)-1)*(C246)</f>
        <v>-45196.542704314146</v>
      </c>
      <c r="D265" s="62">
        <f t="shared" si="202"/>
        <v>-44951.629072308999</v>
      </c>
      <c r="E265" s="62">
        <f t="shared" si="202"/>
        <v>-44605.467188167124</v>
      </c>
      <c r="F265" s="62">
        <f t="shared" si="202"/>
        <v>-44119.462148109647</v>
      </c>
      <c r="G265" s="62">
        <f t="shared" si="202"/>
        <v>-43443.738717137028</v>
      </c>
      <c r="H265" s="62">
        <f t="shared" si="202"/>
        <v>-42517.347172137401</v>
      </c>
      <c r="I265" s="62">
        <f t="shared" si="202"/>
        <v>-41272.376203762586</v>
      </c>
      <c r="J265" s="62">
        <f t="shared" si="202"/>
        <v>-39644.958637393647</v>
      </c>
      <c r="K265" s="62">
        <f t="shared" si="202"/>
        <v>-37595.501281822799</v>
      </c>
      <c r="L265" s="62">
        <f t="shared" si="202"/>
        <v>-35136.211284820376</v>
      </c>
      <c r="M265" s="62">
        <f t="shared" si="202"/>
        <v>-32355.310948630464</v>
      </c>
      <c r="N265" s="62">
        <f t="shared" si="202"/>
        <v>-29419.525873461753</v>
      </c>
      <c r="O265" s="62">
        <f t="shared" si="202"/>
        <v>-26541.511557340396</v>
      </c>
      <c r="P265" s="62">
        <f t="shared" si="202"/>
        <v>-23921.595885610663</v>
      </c>
      <c r="Q265" s="62">
        <f t="shared" si="202"/>
        <v>-21695.040647806538</v>
      </c>
      <c r="R265" s="62">
        <f t="shared" si="202"/>
        <v>-19911.968655776182</v>
      </c>
      <c r="S265" s="62">
        <f t="shared" si="202"/>
        <v>-18551.40558747459</v>
      </c>
      <c r="T265" s="62">
        <f t="shared" si="202"/>
        <v>-17551.282614957105</v>
      </c>
      <c r="U265" s="62">
        <f t="shared" si="202"/>
        <v>-16836.209158050464</v>
      </c>
      <c r="V265" s="62">
        <f t="shared" si="202"/>
        <v>-16335.048266557109</v>
      </c>
      <c r="W265" s="62">
        <f t="shared" si="202"/>
        <v>-15988.715286779448</v>
      </c>
      <c r="X265" s="62">
        <f t="shared" si="202"/>
        <v>-15751.702370283236</v>
      </c>
      <c r="Y265" s="62">
        <f t="shared" si="202"/>
        <v>-15590.58521762073</v>
      </c>
      <c r="Z265" s="62">
        <f t="shared" si="202"/>
        <v>-15481.559033229796</v>
      </c>
      <c r="AA265" s="62">
        <f t="shared" si="202"/>
        <v>-15408.009855414111</v>
      </c>
      <c r="AB265" s="62">
        <f t="shared" si="202"/>
        <v>-15358.496914269901</v>
      </c>
      <c r="AC265" s="62">
        <f t="shared" si="202"/>
        <v>-15325.211858527608</v>
      </c>
    </row>
    <row r="266" spans="1:29" x14ac:dyDescent="0.25">
      <c r="A266" s="30" t="str">
        <f>A247</f>
        <v>Capex costumization</v>
      </c>
      <c r="B266" s="62">
        <f>((1+B249)^B257)*B249/(((1+B249)^B257)-1)*(B247)</f>
        <v>203416.95217213215</v>
      </c>
      <c r="C266" s="62">
        <f t="shared" ref="C266:AC266" si="203">((1+C249)^C257)*C249/(((1+C249)^C257)-1)*(C247)</f>
        <v>203416.95217213215</v>
      </c>
      <c r="D266" s="62">
        <f t="shared" si="203"/>
        <v>203416.95217213215</v>
      </c>
      <c r="E266" s="62">
        <f t="shared" si="203"/>
        <v>203416.95217213215</v>
      </c>
      <c r="F266" s="62">
        <f t="shared" si="203"/>
        <v>203416.95217213215</v>
      </c>
      <c r="G266" s="62">
        <f t="shared" si="203"/>
        <v>203416.95217213215</v>
      </c>
      <c r="H266" s="62">
        <f t="shared" si="203"/>
        <v>203416.95217213215</v>
      </c>
      <c r="I266" s="62">
        <f t="shared" si="203"/>
        <v>203416.95217213215</v>
      </c>
      <c r="J266" s="62">
        <f t="shared" si="203"/>
        <v>203416.95217213215</v>
      </c>
      <c r="K266" s="62">
        <f t="shared" si="203"/>
        <v>203416.95217213215</v>
      </c>
      <c r="L266" s="62">
        <f t="shared" si="203"/>
        <v>203416.95217213215</v>
      </c>
      <c r="M266" s="62">
        <f t="shared" si="203"/>
        <v>203416.95217213215</v>
      </c>
      <c r="N266" s="62">
        <f t="shared" si="203"/>
        <v>203416.95217213215</v>
      </c>
      <c r="O266" s="62">
        <f t="shared" si="203"/>
        <v>203416.95217213215</v>
      </c>
      <c r="P266" s="62">
        <f t="shared" si="203"/>
        <v>203416.95217213215</v>
      </c>
      <c r="Q266" s="62">
        <f t="shared" si="203"/>
        <v>203416.95217213215</v>
      </c>
      <c r="R266" s="62">
        <f t="shared" si="203"/>
        <v>203416.95217213215</v>
      </c>
      <c r="S266" s="62">
        <f t="shared" si="203"/>
        <v>203416.95217213215</v>
      </c>
      <c r="T266" s="62">
        <f t="shared" si="203"/>
        <v>203416.95217213215</v>
      </c>
      <c r="U266" s="62">
        <f t="shared" si="203"/>
        <v>203416.95217213215</v>
      </c>
      <c r="V266" s="62">
        <f t="shared" si="203"/>
        <v>203416.95217213215</v>
      </c>
      <c r="W266" s="62">
        <f t="shared" si="203"/>
        <v>203416.95217213215</v>
      </c>
      <c r="X266" s="62">
        <f t="shared" si="203"/>
        <v>203416.95217213215</v>
      </c>
      <c r="Y266" s="62">
        <f t="shared" si="203"/>
        <v>203416.95217213215</v>
      </c>
      <c r="Z266" s="62">
        <f t="shared" si="203"/>
        <v>203416.95217213215</v>
      </c>
      <c r="AA266" s="62">
        <f t="shared" si="203"/>
        <v>203416.95217213215</v>
      </c>
      <c r="AB266" s="62">
        <f t="shared" si="203"/>
        <v>203416.95217213215</v>
      </c>
      <c r="AC266" s="62">
        <f t="shared" si="203"/>
        <v>203416.95217213215</v>
      </c>
    </row>
    <row r="267" spans="1:29" x14ac:dyDescent="0.25">
      <c r="A267" s="30" t="str">
        <f>A248</f>
        <v>Residual value (costumization)</v>
      </c>
      <c r="B267" s="62">
        <f>((1+B249)^B257)*B249/(((1+B249)^B257)-1)*(B248)</f>
        <v>-10170.847608606608</v>
      </c>
      <c r="C267" s="62">
        <f t="shared" ref="C267:AC267" si="204">((1+C249)^C257)*C249/(((1+C249)^C257)-1)*(C248)</f>
        <v>-10170.847608606608</v>
      </c>
      <c r="D267" s="62">
        <f t="shared" si="204"/>
        <v>-10170.847608606608</v>
      </c>
      <c r="E267" s="62">
        <f t="shared" si="204"/>
        <v>-10170.847608606608</v>
      </c>
      <c r="F267" s="62">
        <f t="shared" si="204"/>
        <v>-10170.847608606608</v>
      </c>
      <c r="G267" s="62">
        <f t="shared" si="204"/>
        <v>-10170.847608606608</v>
      </c>
      <c r="H267" s="62">
        <f t="shared" si="204"/>
        <v>-10170.847608606608</v>
      </c>
      <c r="I267" s="62">
        <f t="shared" si="204"/>
        <v>-10170.847608606608</v>
      </c>
      <c r="J267" s="62">
        <f t="shared" si="204"/>
        <v>-10170.847608606608</v>
      </c>
      <c r="K267" s="62">
        <f t="shared" si="204"/>
        <v>-10170.847608606608</v>
      </c>
      <c r="L267" s="62">
        <f t="shared" si="204"/>
        <v>-10170.847608606608</v>
      </c>
      <c r="M267" s="62">
        <f t="shared" si="204"/>
        <v>-10170.847608606608</v>
      </c>
      <c r="N267" s="62">
        <f t="shared" si="204"/>
        <v>-10170.847608606608</v>
      </c>
      <c r="O267" s="62">
        <f t="shared" si="204"/>
        <v>-10170.847608606608</v>
      </c>
      <c r="P267" s="62">
        <f t="shared" si="204"/>
        <v>-10170.847608606608</v>
      </c>
      <c r="Q267" s="62">
        <f t="shared" si="204"/>
        <v>-10170.847608606608</v>
      </c>
      <c r="R267" s="62">
        <f t="shared" si="204"/>
        <v>-10170.847608606608</v>
      </c>
      <c r="S267" s="62">
        <f t="shared" si="204"/>
        <v>-10170.847608606608</v>
      </c>
      <c r="T267" s="62">
        <f t="shared" si="204"/>
        <v>-10170.847608606608</v>
      </c>
      <c r="U267" s="62">
        <f t="shared" si="204"/>
        <v>-10170.847608606608</v>
      </c>
      <c r="V267" s="62">
        <f t="shared" si="204"/>
        <v>-10170.847608606608</v>
      </c>
      <c r="W267" s="62">
        <f t="shared" si="204"/>
        <v>-10170.847608606608</v>
      </c>
      <c r="X267" s="62">
        <f t="shared" si="204"/>
        <v>-10170.847608606608</v>
      </c>
      <c r="Y267" s="62">
        <f t="shared" si="204"/>
        <v>-10170.847608606608</v>
      </c>
      <c r="Z267" s="62">
        <f t="shared" si="204"/>
        <v>-10170.847608606608</v>
      </c>
      <c r="AA267" s="62">
        <f t="shared" si="204"/>
        <v>-10170.847608606608</v>
      </c>
      <c r="AB267" s="62">
        <f t="shared" si="204"/>
        <v>-10170.847608606608</v>
      </c>
      <c r="AC267" s="62">
        <f t="shared" si="204"/>
        <v>-10170.847608606608</v>
      </c>
    </row>
    <row r="268" spans="1:29" x14ac:dyDescent="0.25">
      <c r="A268" s="30" t="str">
        <f t="shared" ref="A268:AC268" si="205">A250</f>
        <v>Opex fix (admin, crew, insurance)</v>
      </c>
      <c r="B268" s="62">
        <f t="shared" si="205"/>
        <v>610000</v>
      </c>
      <c r="C268" s="62">
        <f t="shared" si="205"/>
        <v>610000</v>
      </c>
      <c r="D268" s="62">
        <f t="shared" si="205"/>
        <v>610000</v>
      </c>
      <c r="E268" s="62">
        <f t="shared" si="205"/>
        <v>610000</v>
      </c>
      <c r="F268" s="62">
        <f t="shared" si="205"/>
        <v>610000</v>
      </c>
      <c r="G268" s="62">
        <f t="shared" si="205"/>
        <v>610000</v>
      </c>
      <c r="H268" s="62">
        <f t="shared" si="205"/>
        <v>610000</v>
      </c>
      <c r="I268" s="62">
        <f t="shared" si="205"/>
        <v>610000</v>
      </c>
      <c r="J268" s="62">
        <f t="shared" si="205"/>
        <v>610000</v>
      </c>
      <c r="K268" s="62">
        <f t="shared" si="205"/>
        <v>610000</v>
      </c>
      <c r="L268" s="62">
        <f t="shared" si="205"/>
        <v>610000</v>
      </c>
      <c r="M268" s="62">
        <f t="shared" si="205"/>
        <v>610000</v>
      </c>
      <c r="N268" s="62">
        <f t="shared" si="205"/>
        <v>610000</v>
      </c>
      <c r="O268" s="62">
        <f t="shared" si="205"/>
        <v>610000</v>
      </c>
      <c r="P268" s="62">
        <f t="shared" si="205"/>
        <v>610000</v>
      </c>
      <c r="Q268" s="62">
        <f t="shared" si="205"/>
        <v>610000</v>
      </c>
      <c r="R268" s="62">
        <f t="shared" si="205"/>
        <v>610000</v>
      </c>
      <c r="S268" s="62">
        <f t="shared" si="205"/>
        <v>610000</v>
      </c>
      <c r="T268" s="62">
        <f t="shared" si="205"/>
        <v>610000</v>
      </c>
      <c r="U268" s="62">
        <f t="shared" si="205"/>
        <v>610000</v>
      </c>
      <c r="V268" s="62">
        <f t="shared" si="205"/>
        <v>610000</v>
      </c>
      <c r="W268" s="62">
        <f t="shared" si="205"/>
        <v>610000</v>
      </c>
      <c r="X268" s="62">
        <f t="shared" si="205"/>
        <v>610000</v>
      </c>
      <c r="Y268" s="62">
        <f t="shared" si="205"/>
        <v>610000</v>
      </c>
      <c r="Z268" s="62">
        <f t="shared" si="205"/>
        <v>610000</v>
      </c>
      <c r="AA268" s="62">
        <f t="shared" si="205"/>
        <v>610000</v>
      </c>
      <c r="AB268" s="62">
        <f t="shared" si="205"/>
        <v>610000</v>
      </c>
      <c r="AC268" s="62">
        <f t="shared" si="205"/>
        <v>610000</v>
      </c>
    </row>
    <row r="269" spans="1:29" x14ac:dyDescent="0.25">
      <c r="A269" s="30" t="str">
        <f t="shared" ref="A269:AC269" si="206">A251</f>
        <v>Opex maintenance &amp; repair</v>
      </c>
      <c r="B269" s="62">
        <f t="shared" si="206"/>
        <v>1050000</v>
      </c>
      <c r="C269" s="62">
        <f t="shared" si="206"/>
        <v>1050000</v>
      </c>
      <c r="D269" s="62">
        <f t="shared" si="206"/>
        <v>1050000</v>
      </c>
      <c r="E269" s="62">
        <f t="shared" si="206"/>
        <v>1050000</v>
      </c>
      <c r="F269" s="62">
        <f t="shared" si="206"/>
        <v>1050000</v>
      </c>
      <c r="G269" s="62">
        <f t="shared" si="206"/>
        <v>1050000</v>
      </c>
      <c r="H269" s="62">
        <f t="shared" si="206"/>
        <v>1050000</v>
      </c>
      <c r="I269" s="62">
        <f t="shared" si="206"/>
        <v>1050000</v>
      </c>
      <c r="J269" s="62">
        <f t="shared" si="206"/>
        <v>1050000</v>
      </c>
      <c r="K269" s="62">
        <f t="shared" si="206"/>
        <v>1050000</v>
      </c>
      <c r="L269" s="62">
        <f t="shared" si="206"/>
        <v>1050000</v>
      </c>
      <c r="M269" s="62">
        <f t="shared" si="206"/>
        <v>1050000</v>
      </c>
      <c r="N269" s="62">
        <f t="shared" si="206"/>
        <v>1050000</v>
      </c>
      <c r="O269" s="62">
        <f t="shared" si="206"/>
        <v>1050000</v>
      </c>
      <c r="P269" s="62">
        <f t="shared" si="206"/>
        <v>1050000</v>
      </c>
      <c r="Q269" s="62">
        <f t="shared" si="206"/>
        <v>1050000</v>
      </c>
      <c r="R269" s="62">
        <f t="shared" si="206"/>
        <v>1050000</v>
      </c>
      <c r="S269" s="62">
        <f t="shared" si="206"/>
        <v>1050000</v>
      </c>
      <c r="T269" s="62">
        <f t="shared" si="206"/>
        <v>1050000</v>
      </c>
      <c r="U269" s="62">
        <f t="shared" si="206"/>
        <v>1050000</v>
      </c>
      <c r="V269" s="62">
        <f t="shared" si="206"/>
        <v>1050000</v>
      </c>
      <c r="W269" s="62">
        <f t="shared" si="206"/>
        <v>1050000</v>
      </c>
      <c r="X269" s="62">
        <f t="shared" si="206"/>
        <v>1050000</v>
      </c>
      <c r="Y269" s="62">
        <f t="shared" si="206"/>
        <v>1050000</v>
      </c>
      <c r="Z269" s="62">
        <f t="shared" si="206"/>
        <v>1050000</v>
      </c>
      <c r="AA269" s="62">
        <f t="shared" si="206"/>
        <v>1050000</v>
      </c>
      <c r="AB269" s="62">
        <f t="shared" si="206"/>
        <v>1050000</v>
      </c>
      <c r="AC269" s="62">
        <f t="shared" si="206"/>
        <v>1050000</v>
      </c>
    </row>
    <row r="270" spans="1:29" x14ac:dyDescent="0.25">
      <c r="A270" s="30" t="str">
        <f>A252</f>
        <v>Opex var (mode-fees, shunting)</v>
      </c>
      <c r="B270" s="62">
        <f>B252*B261</f>
        <v>650000</v>
      </c>
      <c r="C270" s="62">
        <f t="shared" ref="C270:AC270" si="207">C252*C261</f>
        <v>650000</v>
      </c>
      <c r="D270" s="62">
        <f t="shared" si="207"/>
        <v>650000</v>
      </c>
      <c r="E270" s="62">
        <f t="shared" si="207"/>
        <v>650000</v>
      </c>
      <c r="F270" s="62">
        <f t="shared" si="207"/>
        <v>650000</v>
      </c>
      <c r="G270" s="62">
        <f t="shared" si="207"/>
        <v>650000</v>
      </c>
      <c r="H270" s="62">
        <f t="shared" si="207"/>
        <v>650000</v>
      </c>
      <c r="I270" s="62">
        <f t="shared" si="207"/>
        <v>650000</v>
      </c>
      <c r="J270" s="62">
        <f t="shared" si="207"/>
        <v>650000</v>
      </c>
      <c r="K270" s="62">
        <f t="shared" si="207"/>
        <v>650000</v>
      </c>
      <c r="L270" s="62">
        <f t="shared" si="207"/>
        <v>650000</v>
      </c>
      <c r="M270" s="62">
        <f t="shared" si="207"/>
        <v>650000</v>
      </c>
      <c r="N270" s="62">
        <f t="shared" si="207"/>
        <v>650000</v>
      </c>
      <c r="O270" s="62">
        <f t="shared" si="207"/>
        <v>650000</v>
      </c>
      <c r="P270" s="62">
        <f t="shared" si="207"/>
        <v>650000</v>
      </c>
      <c r="Q270" s="62">
        <f t="shared" si="207"/>
        <v>650000</v>
      </c>
      <c r="R270" s="62">
        <f t="shared" si="207"/>
        <v>650000</v>
      </c>
      <c r="S270" s="62">
        <f t="shared" si="207"/>
        <v>650000</v>
      </c>
      <c r="T270" s="62">
        <f t="shared" si="207"/>
        <v>650000</v>
      </c>
      <c r="U270" s="62">
        <f t="shared" si="207"/>
        <v>650000</v>
      </c>
      <c r="V270" s="62">
        <f t="shared" si="207"/>
        <v>650000</v>
      </c>
      <c r="W270" s="62">
        <f t="shared" si="207"/>
        <v>650000</v>
      </c>
      <c r="X270" s="62">
        <f t="shared" si="207"/>
        <v>650000</v>
      </c>
      <c r="Y270" s="62">
        <f t="shared" si="207"/>
        <v>650000</v>
      </c>
      <c r="Z270" s="62">
        <f t="shared" si="207"/>
        <v>650000</v>
      </c>
      <c r="AA270" s="62">
        <f t="shared" si="207"/>
        <v>650000</v>
      </c>
      <c r="AB270" s="62">
        <f t="shared" si="207"/>
        <v>650000</v>
      </c>
      <c r="AC270" s="62">
        <f t="shared" si="207"/>
        <v>650000</v>
      </c>
    </row>
    <row r="271" spans="1:29" x14ac:dyDescent="0.25">
      <c r="A271" s="30" t="str">
        <f>A254</f>
        <v>Fuel Cost</v>
      </c>
      <c r="B271" s="62">
        <f>B253*B254*B261</f>
        <v>794210.52768000006</v>
      </c>
      <c r="C271" s="62">
        <f t="shared" ref="C271:AC271" si="208">C253*C254*C261</f>
        <v>739437.38783999986</v>
      </c>
      <c r="D271" s="62">
        <f t="shared" si="208"/>
        <v>684664.24800000002</v>
      </c>
      <c r="E271" s="62">
        <f t="shared" si="208"/>
        <v>629891.10815999995</v>
      </c>
      <c r="F271" s="62">
        <f t="shared" si="208"/>
        <v>575117.96831999999</v>
      </c>
      <c r="G271" s="62">
        <f t="shared" si="208"/>
        <v>520344.82848000008</v>
      </c>
      <c r="H271" s="62">
        <f t="shared" si="208"/>
        <v>465571.68864000007</v>
      </c>
      <c r="I271" s="62">
        <f t="shared" si="208"/>
        <v>410798.54879999999</v>
      </c>
      <c r="J271" s="62">
        <f t="shared" si="208"/>
        <v>402484.76864571427</v>
      </c>
      <c r="K271" s="62">
        <f t="shared" si="208"/>
        <v>394170.98849142861</v>
      </c>
      <c r="L271" s="62">
        <f t="shared" si="208"/>
        <v>385857.20833714283</v>
      </c>
      <c r="M271" s="62">
        <f t="shared" si="208"/>
        <v>377543.42818285705</v>
      </c>
      <c r="N271" s="62">
        <f t="shared" si="208"/>
        <v>369229.64802857145</v>
      </c>
      <c r="O271" s="62">
        <f t="shared" si="208"/>
        <v>360915.86787428573</v>
      </c>
      <c r="P271" s="62">
        <f t="shared" si="208"/>
        <v>352602.08772000001</v>
      </c>
      <c r="Q271" s="62">
        <f t="shared" si="208"/>
        <v>344288.30756571429</v>
      </c>
      <c r="R271" s="62">
        <f t="shared" si="208"/>
        <v>335974.52741142851</v>
      </c>
      <c r="S271" s="62">
        <f t="shared" si="208"/>
        <v>327660.74725714285</v>
      </c>
      <c r="T271" s="62">
        <f t="shared" si="208"/>
        <v>319346.96710285713</v>
      </c>
      <c r="U271" s="62">
        <f t="shared" si="208"/>
        <v>311033.18694857141</v>
      </c>
      <c r="V271" s="62">
        <f t="shared" si="208"/>
        <v>302719.40679428569</v>
      </c>
      <c r="W271" s="62">
        <f t="shared" si="208"/>
        <v>294405.62663999997</v>
      </c>
      <c r="X271" s="62">
        <f t="shared" si="208"/>
        <v>286091.84648571431</v>
      </c>
      <c r="Y271" s="62">
        <f t="shared" si="208"/>
        <v>277778.06633142853</v>
      </c>
      <c r="Z271" s="62">
        <f t="shared" si="208"/>
        <v>269464.28617714281</v>
      </c>
      <c r="AA271" s="62">
        <f t="shared" si="208"/>
        <v>261150.50602285712</v>
      </c>
      <c r="AB271" s="62">
        <f t="shared" si="208"/>
        <v>252836.72586857138</v>
      </c>
      <c r="AC271" s="62">
        <f t="shared" si="208"/>
        <v>244522.94571428571</v>
      </c>
    </row>
    <row r="272" spans="1:29" ht="15.75" thickBot="1" x14ac:dyDescent="0.3">
      <c r="A272" s="59" t="str">
        <f>A235</f>
        <v>Emission Cost</v>
      </c>
      <c r="B272" s="62">
        <f>B255*B261</f>
        <v>0</v>
      </c>
      <c r="C272" s="62">
        <f t="shared" ref="C272:AC272" si="209">C255*C261</f>
        <v>0</v>
      </c>
      <c r="D272" s="62">
        <f t="shared" si="209"/>
        <v>0</v>
      </c>
      <c r="E272" s="62">
        <f t="shared" si="209"/>
        <v>0</v>
      </c>
      <c r="F272" s="62">
        <f t="shared" si="209"/>
        <v>0</v>
      </c>
      <c r="G272" s="62">
        <f t="shared" si="209"/>
        <v>0</v>
      </c>
      <c r="H272" s="62">
        <f t="shared" si="209"/>
        <v>0</v>
      </c>
      <c r="I272" s="62">
        <f t="shared" si="209"/>
        <v>0</v>
      </c>
      <c r="J272" s="62">
        <f t="shared" si="209"/>
        <v>0</v>
      </c>
      <c r="K272" s="62">
        <f t="shared" si="209"/>
        <v>0</v>
      </c>
      <c r="L272" s="62">
        <f t="shared" si="209"/>
        <v>0</v>
      </c>
      <c r="M272" s="62">
        <f t="shared" si="209"/>
        <v>0</v>
      </c>
      <c r="N272" s="62">
        <f t="shared" si="209"/>
        <v>0</v>
      </c>
      <c r="O272" s="62">
        <f t="shared" si="209"/>
        <v>0</v>
      </c>
      <c r="P272" s="62">
        <f t="shared" si="209"/>
        <v>0</v>
      </c>
      <c r="Q272" s="62">
        <f t="shared" si="209"/>
        <v>0</v>
      </c>
      <c r="R272" s="62">
        <f t="shared" si="209"/>
        <v>0</v>
      </c>
      <c r="S272" s="62">
        <f t="shared" si="209"/>
        <v>0</v>
      </c>
      <c r="T272" s="62">
        <f t="shared" si="209"/>
        <v>0</v>
      </c>
      <c r="U272" s="62">
        <f t="shared" si="209"/>
        <v>0</v>
      </c>
      <c r="V272" s="62">
        <f t="shared" si="209"/>
        <v>0</v>
      </c>
      <c r="W272" s="62">
        <f t="shared" si="209"/>
        <v>0</v>
      </c>
      <c r="X272" s="62">
        <f t="shared" si="209"/>
        <v>0</v>
      </c>
      <c r="Y272" s="62">
        <f t="shared" si="209"/>
        <v>0</v>
      </c>
      <c r="Z272" s="62">
        <f t="shared" si="209"/>
        <v>0</v>
      </c>
      <c r="AA272" s="62">
        <f t="shared" si="209"/>
        <v>0</v>
      </c>
      <c r="AB272" s="62">
        <f t="shared" si="209"/>
        <v>0</v>
      </c>
      <c r="AC272" s="62">
        <f t="shared" si="209"/>
        <v>0</v>
      </c>
    </row>
    <row r="273" spans="1:29" ht="15.75" thickBot="1" x14ac:dyDescent="0.3">
      <c r="A273" s="31" t="s">
        <v>209</v>
      </c>
      <c r="B273" s="64">
        <f>B264+B265+B266+B267+B268+B269+B270+B271+B272</f>
        <v>3557233.5471560694</v>
      </c>
      <c r="C273" s="64">
        <f t="shared" ref="C273:AC273" si="210">C264+C265+C266+C267+C268+C269+C270+C271+C272</f>
        <v>3502632.8991181916</v>
      </c>
      <c r="D273" s="64">
        <f t="shared" si="210"/>
        <v>3448104.6729101967</v>
      </c>
      <c r="E273" s="64">
        <f t="shared" si="210"/>
        <v>3393677.694954338</v>
      </c>
      <c r="F273" s="64">
        <f t="shared" si="210"/>
        <v>3339390.5601543961</v>
      </c>
      <c r="G273" s="64">
        <f t="shared" si="210"/>
        <v>3285293.1437453688</v>
      </c>
      <c r="H273" s="64">
        <f t="shared" si="210"/>
        <v>3231446.3954503685</v>
      </c>
      <c r="I273" s="64">
        <f t="shared" si="210"/>
        <v>3177918.2265787427</v>
      </c>
      <c r="J273" s="64">
        <f t="shared" si="210"/>
        <v>3171231.8639908256</v>
      </c>
      <c r="K273" s="64">
        <f t="shared" si="210"/>
        <v>3164967.5411921111</v>
      </c>
      <c r="L273" s="64">
        <f t="shared" si="210"/>
        <v>3159113.0510348277</v>
      </c>
      <c r="M273" s="64">
        <f t="shared" si="210"/>
        <v>3153580.1712167319</v>
      </c>
      <c r="N273" s="64">
        <f t="shared" si="210"/>
        <v>3148202.1761376155</v>
      </c>
      <c r="O273" s="64">
        <f t="shared" si="210"/>
        <v>3142766.4102994506</v>
      </c>
      <c r="P273" s="64">
        <f t="shared" si="210"/>
        <v>3137072.5458168951</v>
      </c>
      <c r="Q273" s="64">
        <f t="shared" si="210"/>
        <v>3130985.3209004132</v>
      </c>
      <c r="R273" s="64">
        <f t="shared" si="210"/>
        <v>3124454.6127381576</v>
      </c>
      <c r="S273" s="64">
        <f t="shared" si="210"/>
        <v>3117501.3956521736</v>
      </c>
      <c r="T273" s="64">
        <f t="shared" si="210"/>
        <v>3110187.7384704058</v>
      </c>
      <c r="U273" s="64">
        <f t="shared" si="210"/>
        <v>3102589.0317730261</v>
      </c>
      <c r="V273" s="64">
        <f t="shared" si="210"/>
        <v>3094776.4125102344</v>
      </c>
      <c r="W273" s="64">
        <f t="shared" si="210"/>
        <v>3086808.9653357258</v>
      </c>
      <c r="X273" s="64">
        <f t="shared" si="210"/>
        <v>3078732.1980979368</v>
      </c>
      <c r="Y273" s="64">
        <f t="shared" si="210"/>
        <v>3070579.5350963133</v>
      </c>
      <c r="Z273" s="64">
        <f t="shared" si="210"/>
        <v>3062374.7811264186</v>
      </c>
      <c r="AA273" s="64">
        <f t="shared" si="210"/>
        <v>3054134.5501499483</v>
      </c>
      <c r="AB273" s="64">
        <f t="shared" si="210"/>
        <v>3045870.2829368068</v>
      </c>
      <c r="AC273" s="64">
        <f t="shared" si="210"/>
        <v>3037589.7878382634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1">A264</f>
        <v>Capex vehicle</v>
      </c>
      <c r="B276" s="65">
        <f>((1+B249)^B256)*B249/(((1+B249)^B256)-1)*(B245)/B261</f>
        <v>1.7095011171931649</v>
      </c>
      <c r="C276" s="65">
        <f t="shared" ref="C276:AC276" si="212">((1+C249)^C256)*C249/(((1+C249)^C256)-1)*(C245)/C261</f>
        <v>1.7095011171931649</v>
      </c>
      <c r="D276" s="65">
        <f t="shared" si="212"/>
        <v>1.7095011171931649</v>
      </c>
      <c r="E276" s="65">
        <f t="shared" si="212"/>
        <v>1.7095011171931649</v>
      </c>
      <c r="F276" s="65">
        <f t="shared" si="212"/>
        <v>1.7095011171931649</v>
      </c>
      <c r="G276" s="65">
        <f t="shared" si="212"/>
        <v>1.7095011171931649</v>
      </c>
      <c r="H276" s="65">
        <f t="shared" si="212"/>
        <v>1.7095011171931649</v>
      </c>
      <c r="I276" s="65">
        <f t="shared" si="212"/>
        <v>1.7095011171931649</v>
      </c>
      <c r="J276" s="65">
        <f t="shared" si="212"/>
        <v>1.7095011171931649</v>
      </c>
      <c r="K276" s="65">
        <f t="shared" si="212"/>
        <v>1.7095011171931649</v>
      </c>
      <c r="L276" s="65">
        <f t="shared" si="212"/>
        <v>1.7095011171931649</v>
      </c>
      <c r="M276" s="65">
        <f t="shared" si="212"/>
        <v>1.7095011171931649</v>
      </c>
      <c r="N276" s="65">
        <f t="shared" si="212"/>
        <v>1.7095011171931649</v>
      </c>
      <c r="O276" s="65">
        <f t="shared" si="212"/>
        <v>1.7095011171931649</v>
      </c>
      <c r="P276" s="65">
        <f t="shared" si="212"/>
        <v>1.7095011171931649</v>
      </c>
      <c r="Q276" s="65">
        <f t="shared" si="212"/>
        <v>1.7095011171931649</v>
      </c>
      <c r="R276" s="65">
        <f t="shared" si="212"/>
        <v>1.7095011171931649</v>
      </c>
      <c r="S276" s="65">
        <f t="shared" si="212"/>
        <v>1.7095011171931649</v>
      </c>
      <c r="T276" s="65">
        <f t="shared" si="212"/>
        <v>1.7095011171931649</v>
      </c>
      <c r="U276" s="65">
        <f t="shared" si="212"/>
        <v>1.7095011171931649</v>
      </c>
      <c r="V276" s="65">
        <f t="shared" si="212"/>
        <v>1.7095011171931649</v>
      </c>
      <c r="W276" s="65">
        <f t="shared" si="212"/>
        <v>1.7095011171931649</v>
      </c>
      <c r="X276" s="65">
        <f t="shared" si="212"/>
        <v>1.7095011171931649</v>
      </c>
      <c r="Y276" s="65">
        <f t="shared" si="212"/>
        <v>1.7095011171931649</v>
      </c>
      <c r="Z276" s="65">
        <f t="shared" si="212"/>
        <v>1.7095011171931649</v>
      </c>
      <c r="AA276" s="65">
        <f t="shared" si="212"/>
        <v>1.7095011171931649</v>
      </c>
      <c r="AB276" s="65">
        <f t="shared" si="212"/>
        <v>1.7095011171931649</v>
      </c>
      <c r="AC276" s="65">
        <f t="shared" si="212"/>
        <v>1.7095011171931649</v>
      </c>
    </row>
    <row r="277" spans="1:29" x14ac:dyDescent="0.25">
      <c r="A277" s="30" t="str">
        <f t="shared" si="211"/>
        <v>Residual value (vehicle)</v>
      </c>
      <c r="B277" s="66">
        <f>((1+B249)^B256)*B249/(((1+B249)^B256)-1)*(B246)/B261</f>
        <v>-0.25416826054025926</v>
      </c>
      <c r="C277" s="66">
        <f t="shared" ref="C277:AC277" si="213">((1+C249)^C256)*C249/(((1+C249)^C256)-1)*(C246)/C261</f>
        <v>-0.2532019199121241</v>
      </c>
      <c r="D277" s="66">
        <f t="shared" si="213"/>
        <v>-0.25182985474682912</v>
      </c>
      <c r="E277" s="66">
        <f t="shared" si="213"/>
        <v>-0.24989057248272897</v>
      </c>
      <c r="F277" s="66">
        <f t="shared" si="213"/>
        <v>-0.24716785517148263</v>
      </c>
      <c r="G277" s="66">
        <f t="shared" si="213"/>
        <v>-0.2433822897318601</v>
      </c>
      <c r="H277" s="66">
        <f t="shared" si="213"/>
        <v>-0.23819242113242242</v>
      </c>
      <c r="I277" s="66">
        <f t="shared" si="213"/>
        <v>-0.23121779385861393</v>
      </c>
      <c r="J277" s="66">
        <f t="shared" si="213"/>
        <v>-0.22210060861284955</v>
      </c>
      <c r="K277" s="66">
        <f t="shared" si="213"/>
        <v>-0.21061905480012771</v>
      </c>
      <c r="L277" s="66">
        <f t="shared" si="213"/>
        <v>-0.19684151980291528</v>
      </c>
      <c r="M277" s="66">
        <f t="shared" si="213"/>
        <v>-0.18126224621081494</v>
      </c>
      <c r="N277" s="66">
        <f t="shared" si="213"/>
        <v>-0.16481527099978574</v>
      </c>
      <c r="O277" s="66">
        <f t="shared" si="213"/>
        <v>-0.14869194149770532</v>
      </c>
      <c r="P277" s="66">
        <f t="shared" si="213"/>
        <v>-0.13401454277653033</v>
      </c>
      <c r="Q277" s="66">
        <f t="shared" si="213"/>
        <v>-0.12154084396530274</v>
      </c>
      <c r="R277" s="66">
        <f t="shared" si="213"/>
        <v>-0.11155164513039878</v>
      </c>
      <c r="S277" s="66">
        <f t="shared" si="213"/>
        <v>-0.10392944306708454</v>
      </c>
      <c r="T277" s="66">
        <f t="shared" si="213"/>
        <v>-9.8326513249059416E-2</v>
      </c>
      <c r="U277" s="66">
        <f t="shared" si="213"/>
        <v>-9.4320499484876544E-2</v>
      </c>
      <c r="V277" s="66">
        <f t="shared" si="213"/>
        <v>-9.1512875442896963E-2</v>
      </c>
      <c r="W277" s="66">
        <f t="shared" si="213"/>
        <v>-8.9572634659828843E-2</v>
      </c>
      <c r="X277" s="66">
        <f t="shared" si="213"/>
        <v>-8.8244831206068547E-2</v>
      </c>
      <c r="Y277" s="66">
        <f t="shared" si="213"/>
        <v>-8.734221410431782E-2</v>
      </c>
      <c r="Z277" s="66">
        <f t="shared" si="213"/>
        <v>-8.6731423155348999E-2</v>
      </c>
      <c r="AA277" s="66">
        <f t="shared" si="213"/>
        <v>-8.631938294349642E-2</v>
      </c>
      <c r="AB277" s="66">
        <f t="shared" si="213"/>
        <v>-8.6041999519719331E-2</v>
      </c>
      <c r="AC277" s="66">
        <f t="shared" si="213"/>
        <v>-8.5855528619202287E-2</v>
      </c>
    </row>
    <row r="278" spans="1:29" x14ac:dyDescent="0.25">
      <c r="A278" s="30" t="str">
        <f t="shared" si="211"/>
        <v>Capex costumization</v>
      </c>
      <c r="B278" s="66">
        <f>((1+B249)^B257)*B249/(((1+B249)^B257)-1)*(B247)/B261</f>
        <v>1.1395907684713287</v>
      </c>
      <c r="C278" s="66">
        <f t="shared" ref="C278:AC278" si="214">((1+C249)^C257)*C249/(((1+C249)^C257)-1)*(C247)/C261</f>
        <v>1.1395907684713287</v>
      </c>
      <c r="D278" s="66">
        <f t="shared" si="214"/>
        <v>1.1395907684713287</v>
      </c>
      <c r="E278" s="66">
        <f t="shared" si="214"/>
        <v>1.1395907684713287</v>
      </c>
      <c r="F278" s="66">
        <f t="shared" si="214"/>
        <v>1.1395907684713287</v>
      </c>
      <c r="G278" s="66">
        <f t="shared" si="214"/>
        <v>1.1395907684713287</v>
      </c>
      <c r="H278" s="66">
        <f t="shared" si="214"/>
        <v>1.1395907684713287</v>
      </c>
      <c r="I278" s="66">
        <f t="shared" si="214"/>
        <v>1.1395907684713287</v>
      </c>
      <c r="J278" s="66">
        <f t="shared" si="214"/>
        <v>1.1395907684713287</v>
      </c>
      <c r="K278" s="66">
        <f t="shared" si="214"/>
        <v>1.1395907684713287</v>
      </c>
      <c r="L278" s="66">
        <f t="shared" si="214"/>
        <v>1.1395907684713287</v>
      </c>
      <c r="M278" s="66">
        <f t="shared" si="214"/>
        <v>1.1395907684713287</v>
      </c>
      <c r="N278" s="66">
        <f t="shared" si="214"/>
        <v>1.1395907684713287</v>
      </c>
      <c r="O278" s="66">
        <f t="shared" si="214"/>
        <v>1.1395907684713287</v>
      </c>
      <c r="P278" s="66">
        <f t="shared" si="214"/>
        <v>1.1395907684713287</v>
      </c>
      <c r="Q278" s="66">
        <f t="shared" si="214"/>
        <v>1.1395907684713287</v>
      </c>
      <c r="R278" s="66">
        <f t="shared" si="214"/>
        <v>1.1395907684713287</v>
      </c>
      <c r="S278" s="66">
        <f t="shared" si="214"/>
        <v>1.1395907684713287</v>
      </c>
      <c r="T278" s="66">
        <f t="shared" si="214"/>
        <v>1.1395907684713287</v>
      </c>
      <c r="U278" s="66">
        <f t="shared" si="214"/>
        <v>1.1395907684713287</v>
      </c>
      <c r="V278" s="66">
        <f t="shared" si="214"/>
        <v>1.1395907684713287</v>
      </c>
      <c r="W278" s="66">
        <f t="shared" si="214"/>
        <v>1.1395907684713287</v>
      </c>
      <c r="X278" s="66">
        <f t="shared" si="214"/>
        <v>1.1395907684713287</v>
      </c>
      <c r="Y278" s="66">
        <f t="shared" si="214"/>
        <v>1.1395907684713287</v>
      </c>
      <c r="Z278" s="66">
        <f t="shared" si="214"/>
        <v>1.1395907684713287</v>
      </c>
      <c r="AA278" s="66">
        <f t="shared" si="214"/>
        <v>1.1395907684713287</v>
      </c>
      <c r="AB278" s="66">
        <f t="shared" si="214"/>
        <v>1.1395907684713287</v>
      </c>
      <c r="AC278" s="66">
        <f t="shared" si="214"/>
        <v>1.1395907684713287</v>
      </c>
    </row>
    <row r="279" spans="1:29" x14ac:dyDescent="0.25">
      <c r="A279" s="30" t="str">
        <f t="shared" si="211"/>
        <v>Residual value (costumization)</v>
      </c>
      <c r="B279" s="66">
        <f>((1+B249)^B257)*B249/(((1+B249)^B257)-1)*(B248)/B261</f>
        <v>-5.6979538423566428E-2</v>
      </c>
      <c r="C279" s="66">
        <f t="shared" ref="C279:AC279" si="215">((1+C249)^C257)*C249/(((1+C249)^C257)-1)*(C248)/C261</f>
        <v>-5.6979538423566428E-2</v>
      </c>
      <c r="D279" s="66">
        <f t="shared" si="215"/>
        <v>-5.6979538423566428E-2</v>
      </c>
      <c r="E279" s="66">
        <f t="shared" si="215"/>
        <v>-5.6979538423566428E-2</v>
      </c>
      <c r="F279" s="66">
        <f t="shared" si="215"/>
        <v>-5.6979538423566428E-2</v>
      </c>
      <c r="G279" s="66">
        <f t="shared" si="215"/>
        <v>-5.6979538423566428E-2</v>
      </c>
      <c r="H279" s="66">
        <f t="shared" si="215"/>
        <v>-5.6979538423566428E-2</v>
      </c>
      <c r="I279" s="66">
        <f t="shared" si="215"/>
        <v>-5.6979538423566428E-2</v>
      </c>
      <c r="J279" s="66">
        <f t="shared" si="215"/>
        <v>-5.6979538423566428E-2</v>
      </c>
      <c r="K279" s="66">
        <f t="shared" si="215"/>
        <v>-5.6979538423566428E-2</v>
      </c>
      <c r="L279" s="66">
        <f t="shared" si="215"/>
        <v>-5.6979538423566428E-2</v>
      </c>
      <c r="M279" s="66">
        <f t="shared" si="215"/>
        <v>-5.6979538423566428E-2</v>
      </c>
      <c r="N279" s="66">
        <f t="shared" si="215"/>
        <v>-5.6979538423566428E-2</v>
      </c>
      <c r="O279" s="66">
        <f t="shared" si="215"/>
        <v>-5.6979538423566428E-2</v>
      </c>
      <c r="P279" s="66">
        <f t="shared" si="215"/>
        <v>-5.6979538423566428E-2</v>
      </c>
      <c r="Q279" s="66">
        <f t="shared" si="215"/>
        <v>-5.6979538423566428E-2</v>
      </c>
      <c r="R279" s="66">
        <f t="shared" si="215"/>
        <v>-5.6979538423566428E-2</v>
      </c>
      <c r="S279" s="66">
        <f t="shared" si="215"/>
        <v>-5.6979538423566428E-2</v>
      </c>
      <c r="T279" s="66">
        <f t="shared" si="215"/>
        <v>-5.6979538423566428E-2</v>
      </c>
      <c r="U279" s="66">
        <f t="shared" si="215"/>
        <v>-5.6979538423566428E-2</v>
      </c>
      <c r="V279" s="66">
        <f t="shared" si="215"/>
        <v>-5.6979538423566428E-2</v>
      </c>
      <c r="W279" s="66">
        <f t="shared" si="215"/>
        <v>-5.6979538423566428E-2</v>
      </c>
      <c r="X279" s="66">
        <f t="shared" si="215"/>
        <v>-5.6979538423566428E-2</v>
      </c>
      <c r="Y279" s="66">
        <f t="shared" si="215"/>
        <v>-5.6979538423566428E-2</v>
      </c>
      <c r="Z279" s="66">
        <f t="shared" si="215"/>
        <v>-5.6979538423566428E-2</v>
      </c>
      <c r="AA279" s="66">
        <f t="shared" si="215"/>
        <v>-5.6979538423566428E-2</v>
      </c>
      <c r="AB279" s="66">
        <f t="shared" si="215"/>
        <v>-5.6979538423566428E-2</v>
      </c>
      <c r="AC279" s="66">
        <f t="shared" si="215"/>
        <v>-5.6979538423566428E-2</v>
      </c>
    </row>
    <row r="280" spans="1:29" x14ac:dyDescent="0.25">
      <c r="A280" s="30" t="str">
        <f t="shared" si="211"/>
        <v>Opex fix (admin, crew, insurance)</v>
      </c>
      <c r="B280" s="66">
        <f>B250/B261</f>
        <v>3.4173669467787113</v>
      </c>
      <c r="C280" s="66">
        <f t="shared" ref="C280:AC280" si="216">C250/C261</f>
        <v>3.4173669467787113</v>
      </c>
      <c r="D280" s="66">
        <f t="shared" si="216"/>
        <v>3.4173669467787113</v>
      </c>
      <c r="E280" s="66">
        <f t="shared" si="216"/>
        <v>3.4173669467787113</v>
      </c>
      <c r="F280" s="66">
        <f t="shared" si="216"/>
        <v>3.4173669467787113</v>
      </c>
      <c r="G280" s="66">
        <f t="shared" si="216"/>
        <v>3.4173669467787113</v>
      </c>
      <c r="H280" s="66">
        <f t="shared" si="216"/>
        <v>3.4173669467787113</v>
      </c>
      <c r="I280" s="66">
        <f t="shared" si="216"/>
        <v>3.4173669467787113</v>
      </c>
      <c r="J280" s="66">
        <f t="shared" si="216"/>
        <v>3.4173669467787113</v>
      </c>
      <c r="K280" s="66">
        <f t="shared" si="216"/>
        <v>3.4173669467787113</v>
      </c>
      <c r="L280" s="66">
        <f t="shared" si="216"/>
        <v>3.4173669467787113</v>
      </c>
      <c r="M280" s="66">
        <f t="shared" si="216"/>
        <v>3.4173669467787113</v>
      </c>
      <c r="N280" s="66">
        <f t="shared" si="216"/>
        <v>3.4173669467787113</v>
      </c>
      <c r="O280" s="66">
        <f t="shared" si="216"/>
        <v>3.4173669467787113</v>
      </c>
      <c r="P280" s="66">
        <f t="shared" si="216"/>
        <v>3.4173669467787113</v>
      </c>
      <c r="Q280" s="66">
        <f t="shared" si="216"/>
        <v>3.4173669467787113</v>
      </c>
      <c r="R280" s="66">
        <f t="shared" si="216"/>
        <v>3.4173669467787113</v>
      </c>
      <c r="S280" s="66">
        <f t="shared" si="216"/>
        <v>3.4173669467787113</v>
      </c>
      <c r="T280" s="66">
        <f t="shared" si="216"/>
        <v>3.4173669467787113</v>
      </c>
      <c r="U280" s="66">
        <f t="shared" si="216"/>
        <v>3.4173669467787113</v>
      </c>
      <c r="V280" s="66">
        <f t="shared" si="216"/>
        <v>3.4173669467787113</v>
      </c>
      <c r="W280" s="66">
        <f t="shared" si="216"/>
        <v>3.4173669467787113</v>
      </c>
      <c r="X280" s="66">
        <f t="shared" si="216"/>
        <v>3.4173669467787113</v>
      </c>
      <c r="Y280" s="66">
        <f t="shared" si="216"/>
        <v>3.4173669467787113</v>
      </c>
      <c r="Z280" s="66">
        <f t="shared" si="216"/>
        <v>3.4173669467787113</v>
      </c>
      <c r="AA280" s="66">
        <f t="shared" si="216"/>
        <v>3.4173669467787113</v>
      </c>
      <c r="AB280" s="66">
        <f t="shared" si="216"/>
        <v>3.4173669467787113</v>
      </c>
      <c r="AC280" s="66">
        <f t="shared" si="216"/>
        <v>3.4173669467787113</v>
      </c>
    </row>
    <row r="281" spans="1:29" x14ac:dyDescent="0.25">
      <c r="A281" s="30" t="str">
        <f t="shared" si="211"/>
        <v>Opex maintenance &amp; repair</v>
      </c>
      <c r="B281" s="66">
        <f>B251/B261</f>
        <v>5.882352941176471</v>
      </c>
      <c r="C281" s="66">
        <f t="shared" ref="C281:AC281" si="217">C251/C261</f>
        <v>5.882352941176471</v>
      </c>
      <c r="D281" s="66">
        <f t="shared" si="217"/>
        <v>5.882352941176471</v>
      </c>
      <c r="E281" s="66">
        <f t="shared" si="217"/>
        <v>5.882352941176471</v>
      </c>
      <c r="F281" s="66">
        <f t="shared" si="217"/>
        <v>5.882352941176471</v>
      </c>
      <c r="G281" s="66">
        <f t="shared" si="217"/>
        <v>5.882352941176471</v>
      </c>
      <c r="H281" s="66">
        <f t="shared" si="217"/>
        <v>5.882352941176471</v>
      </c>
      <c r="I281" s="66">
        <f t="shared" si="217"/>
        <v>5.882352941176471</v>
      </c>
      <c r="J281" s="66">
        <f t="shared" si="217"/>
        <v>5.882352941176471</v>
      </c>
      <c r="K281" s="66">
        <f t="shared" si="217"/>
        <v>5.882352941176471</v>
      </c>
      <c r="L281" s="66">
        <f t="shared" si="217"/>
        <v>5.882352941176471</v>
      </c>
      <c r="M281" s="66">
        <f t="shared" si="217"/>
        <v>5.882352941176471</v>
      </c>
      <c r="N281" s="66">
        <f t="shared" si="217"/>
        <v>5.882352941176471</v>
      </c>
      <c r="O281" s="66">
        <f t="shared" si="217"/>
        <v>5.882352941176471</v>
      </c>
      <c r="P281" s="66">
        <f t="shared" si="217"/>
        <v>5.882352941176471</v>
      </c>
      <c r="Q281" s="66">
        <f t="shared" si="217"/>
        <v>5.882352941176471</v>
      </c>
      <c r="R281" s="66">
        <f t="shared" si="217"/>
        <v>5.882352941176471</v>
      </c>
      <c r="S281" s="66">
        <f t="shared" si="217"/>
        <v>5.882352941176471</v>
      </c>
      <c r="T281" s="66">
        <f t="shared" si="217"/>
        <v>5.882352941176471</v>
      </c>
      <c r="U281" s="66">
        <f t="shared" si="217"/>
        <v>5.882352941176471</v>
      </c>
      <c r="V281" s="66">
        <f t="shared" si="217"/>
        <v>5.882352941176471</v>
      </c>
      <c r="W281" s="66">
        <f t="shared" si="217"/>
        <v>5.882352941176471</v>
      </c>
      <c r="X281" s="66">
        <f t="shared" si="217"/>
        <v>5.882352941176471</v>
      </c>
      <c r="Y281" s="66">
        <f t="shared" si="217"/>
        <v>5.882352941176471</v>
      </c>
      <c r="Z281" s="66">
        <f t="shared" si="217"/>
        <v>5.882352941176471</v>
      </c>
      <c r="AA281" s="66">
        <f t="shared" si="217"/>
        <v>5.882352941176471</v>
      </c>
      <c r="AB281" s="66">
        <f t="shared" si="217"/>
        <v>5.882352941176471</v>
      </c>
      <c r="AC281" s="66">
        <f t="shared" si="217"/>
        <v>5.882352941176471</v>
      </c>
    </row>
    <row r="282" spans="1:29" x14ac:dyDescent="0.25">
      <c r="A282" s="30" t="str">
        <f t="shared" si="211"/>
        <v>Opex var (mode-fees, shunting)</v>
      </c>
      <c r="B282" s="66">
        <f>B252*B261/B261</f>
        <v>3.6414565826330532</v>
      </c>
      <c r="C282" s="66">
        <f t="shared" ref="C282:AC282" si="218">C252*C261/C261</f>
        <v>3.6414565826330532</v>
      </c>
      <c r="D282" s="66">
        <f t="shared" si="218"/>
        <v>3.6414565826330532</v>
      </c>
      <c r="E282" s="66">
        <f t="shared" si="218"/>
        <v>3.6414565826330532</v>
      </c>
      <c r="F282" s="66">
        <f t="shared" si="218"/>
        <v>3.6414565826330532</v>
      </c>
      <c r="G282" s="66">
        <f t="shared" si="218"/>
        <v>3.6414565826330532</v>
      </c>
      <c r="H282" s="66">
        <f t="shared" si="218"/>
        <v>3.6414565826330532</v>
      </c>
      <c r="I282" s="66">
        <f t="shared" si="218"/>
        <v>3.6414565826330532</v>
      </c>
      <c r="J282" s="66">
        <f t="shared" si="218"/>
        <v>3.6414565826330532</v>
      </c>
      <c r="K282" s="66">
        <f t="shared" si="218"/>
        <v>3.6414565826330532</v>
      </c>
      <c r="L282" s="66">
        <f t="shared" si="218"/>
        <v>3.6414565826330532</v>
      </c>
      <c r="M282" s="66">
        <f t="shared" si="218"/>
        <v>3.6414565826330532</v>
      </c>
      <c r="N282" s="66">
        <f t="shared" si="218"/>
        <v>3.6414565826330532</v>
      </c>
      <c r="O282" s="66">
        <f t="shared" si="218"/>
        <v>3.6414565826330532</v>
      </c>
      <c r="P282" s="66">
        <f t="shared" si="218"/>
        <v>3.6414565826330532</v>
      </c>
      <c r="Q282" s="66">
        <f t="shared" si="218"/>
        <v>3.6414565826330532</v>
      </c>
      <c r="R282" s="66">
        <f t="shared" si="218"/>
        <v>3.6414565826330532</v>
      </c>
      <c r="S282" s="66">
        <f t="shared" si="218"/>
        <v>3.6414565826330532</v>
      </c>
      <c r="T282" s="66">
        <f t="shared" si="218"/>
        <v>3.6414565826330532</v>
      </c>
      <c r="U282" s="66">
        <f t="shared" si="218"/>
        <v>3.6414565826330532</v>
      </c>
      <c r="V282" s="66">
        <f t="shared" si="218"/>
        <v>3.6414565826330532</v>
      </c>
      <c r="W282" s="66">
        <f t="shared" si="218"/>
        <v>3.6414565826330532</v>
      </c>
      <c r="X282" s="66">
        <f t="shared" si="218"/>
        <v>3.6414565826330532</v>
      </c>
      <c r="Y282" s="66">
        <f t="shared" si="218"/>
        <v>3.6414565826330532</v>
      </c>
      <c r="Z282" s="66">
        <f t="shared" si="218"/>
        <v>3.6414565826330532</v>
      </c>
      <c r="AA282" s="66">
        <f t="shared" si="218"/>
        <v>3.6414565826330532</v>
      </c>
      <c r="AB282" s="66">
        <f t="shared" si="218"/>
        <v>3.6414565826330532</v>
      </c>
      <c r="AC282" s="66">
        <f t="shared" si="218"/>
        <v>3.6414565826330532</v>
      </c>
    </row>
    <row r="283" spans="1:29" x14ac:dyDescent="0.25">
      <c r="A283" s="30" t="str">
        <f t="shared" si="211"/>
        <v>Fuel Cost</v>
      </c>
      <c r="B283" s="66">
        <f>B253*B254*B261/B261</f>
        <v>4.4493586984873952</v>
      </c>
      <c r="C283" s="66">
        <f t="shared" ref="C283:AC283" si="219">C253*C254*C261/C261</f>
        <v>4.1425063744537809</v>
      </c>
      <c r="D283" s="66">
        <f t="shared" si="219"/>
        <v>3.8356540504201684</v>
      </c>
      <c r="E283" s="66">
        <f t="shared" si="219"/>
        <v>3.5288017263865541</v>
      </c>
      <c r="F283" s="66">
        <f t="shared" si="219"/>
        <v>3.2219494023529411</v>
      </c>
      <c r="G283" s="66">
        <f t="shared" si="219"/>
        <v>2.9150970783193282</v>
      </c>
      <c r="H283" s="66">
        <f t="shared" si="219"/>
        <v>2.6082447542857148</v>
      </c>
      <c r="I283" s="66">
        <f t="shared" si="219"/>
        <v>2.3013924302521009</v>
      </c>
      <c r="J283" s="66">
        <f t="shared" si="219"/>
        <v>2.2548166310684272</v>
      </c>
      <c r="K283" s="66">
        <f t="shared" si="219"/>
        <v>2.208240831884754</v>
      </c>
      <c r="L283" s="66">
        <f t="shared" si="219"/>
        <v>2.1616650327010802</v>
      </c>
      <c r="M283" s="66">
        <f t="shared" si="219"/>
        <v>2.1150892335174065</v>
      </c>
      <c r="N283" s="66">
        <f t="shared" si="219"/>
        <v>2.0685134343337337</v>
      </c>
      <c r="O283" s="66">
        <f t="shared" si="219"/>
        <v>2.02193763515006</v>
      </c>
      <c r="P283" s="66">
        <f t="shared" si="219"/>
        <v>1.9753618359663867</v>
      </c>
      <c r="Q283" s="66">
        <f t="shared" si="219"/>
        <v>1.9287860367827132</v>
      </c>
      <c r="R283" s="66">
        <f t="shared" si="219"/>
        <v>1.8822102375990393</v>
      </c>
      <c r="S283" s="66">
        <f t="shared" si="219"/>
        <v>1.8356344384153662</v>
      </c>
      <c r="T283" s="66">
        <f t="shared" si="219"/>
        <v>1.7890586392316927</v>
      </c>
      <c r="U283" s="66">
        <f t="shared" si="219"/>
        <v>1.742482840048019</v>
      </c>
      <c r="V283" s="66">
        <f t="shared" si="219"/>
        <v>1.6959070408643455</v>
      </c>
      <c r="W283" s="66">
        <f t="shared" si="219"/>
        <v>1.649331241680672</v>
      </c>
      <c r="X283" s="66">
        <f t="shared" si="219"/>
        <v>1.602755442496999</v>
      </c>
      <c r="Y283" s="66">
        <f t="shared" si="219"/>
        <v>1.556179643313325</v>
      </c>
      <c r="Z283" s="66">
        <f t="shared" si="219"/>
        <v>1.5096038441296515</v>
      </c>
      <c r="AA283" s="66">
        <f t="shared" si="219"/>
        <v>1.4630280449459783</v>
      </c>
      <c r="AB283" s="66">
        <f t="shared" si="219"/>
        <v>1.4164522457623046</v>
      </c>
      <c r="AC283" s="66">
        <f t="shared" si="219"/>
        <v>1.3698764465786315</v>
      </c>
    </row>
    <row r="284" spans="1:29" ht="15.75" thickBot="1" x14ac:dyDescent="0.3">
      <c r="A284" s="59" t="str">
        <f>A235</f>
        <v>Emission Cost</v>
      </c>
      <c r="B284" s="66">
        <f>B255</f>
        <v>0</v>
      </c>
      <c r="C284" s="66">
        <f t="shared" ref="C284:AC284" si="220">C255</f>
        <v>0</v>
      </c>
      <c r="D284" s="66">
        <f t="shared" si="220"/>
        <v>0</v>
      </c>
      <c r="E284" s="66">
        <f t="shared" si="220"/>
        <v>0</v>
      </c>
      <c r="F284" s="66">
        <f t="shared" si="220"/>
        <v>0</v>
      </c>
      <c r="G284" s="66">
        <f t="shared" si="220"/>
        <v>0</v>
      </c>
      <c r="H284" s="66">
        <f t="shared" si="220"/>
        <v>0</v>
      </c>
      <c r="I284" s="66">
        <f t="shared" si="220"/>
        <v>0</v>
      </c>
      <c r="J284" s="66">
        <f t="shared" si="220"/>
        <v>0</v>
      </c>
      <c r="K284" s="66">
        <f t="shared" si="220"/>
        <v>0</v>
      </c>
      <c r="L284" s="66">
        <f t="shared" si="220"/>
        <v>0</v>
      </c>
      <c r="M284" s="66">
        <f t="shared" si="220"/>
        <v>0</v>
      </c>
      <c r="N284" s="66">
        <f t="shared" si="220"/>
        <v>0</v>
      </c>
      <c r="O284" s="66">
        <f t="shared" si="220"/>
        <v>0</v>
      </c>
      <c r="P284" s="66">
        <f t="shared" si="220"/>
        <v>0</v>
      </c>
      <c r="Q284" s="66">
        <f t="shared" si="220"/>
        <v>0</v>
      </c>
      <c r="R284" s="66">
        <f t="shared" si="220"/>
        <v>0</v>
      </c>
      <c r="S284" s="66">
        <f t="shared" si="220"/>
        <v>0</v>
      </c>
      <c r="T284" s="66">
        <f t="shared" si="220"/>
        <v>0</v>
      </c>
      <c r="U284" s="66">
        <f t="shared" si="220"/>
        <v>0</v>
      </c>
      <c r="V284" s="66">
        <f t="shared" si="220"/>
        <v>0</v>
      </c>
      <c r="W284" s="66">
        <f t="shared" si="220"/>
        <v>0</v>
      </c>
      <c r="X284" s="66">
        <f t="shared" si="220"/>
        <v>0</v>
      </c>
      <c r="Y284" s="66">
        <f t="shared" si="220"/>
        <v>0</v>
      </c>
      <c r="Z284" s="66">
        <f t="shared" si="220"/>
        <v>0</v>
      </c>
      <c r="AA284" s="66">
        <f t="shared" si="220"/>
        <v>0</v>
      </c>
      <c r="AB284" s="66">
        <f t="shared" si="220"/>
        <v>0</v>
      </c>
      <c r="AC284" s="66">
        <f t="shared" si="220"/>
        <v>0</v>
      </c>
    </row>
    <row r="285" spans="1:29" ht="15.75" thickBot="1" x14ac:dyDescent="0.3">
      <c r="A285" s="31" t="s">
        <v>63</v>
      </c>
      <c r="B285" s="76">
        <f>B276+B277+B278-B279+B280+B281+B282+B283+B284</f>
        <v>20.04243833262343</v>
      </c>
      <c r="C285" s="76">
        <f t="shared" ref="C285:AC285" si="221">C276+C277+C278-C279+C280+C281+C282+C283+C284</f>
        <v>19.736552349217952</v>
      </c>
      <c r="D285" s="76">
        <f t="shared" si="221"/>
        <v>19.431072090349634</v>
      </c>
      <c r="E285" s="76">
        <f t="shared" si="221"/>
        <v>19.126159048580121</v>
      </c>
      <c r="F285" s="76">
        <f t="shared" si="221"/>
        <v>18.822029441857755</v>
      </c>
      <c r="G285" s="76">
        <f t="shared" si="221"/>
        <v>18.518962683263762</v>
      </c>
      <c r="H285" s="76">
        <f t="shared" si="221"/>
        <v>18.217300227829586</v>
      </c>
      <c r="I285" s="76">
        <f t="shared" si="221"/>
        <v>17.917422531069782</v>
      </c>
      <c r="J285" s="76">
        <f t="shared" si="221"/>
        <v>17.879963917131871</v>
      </c>
      <c r="K285" s="76">
        <f t="shared" si="221"/>
        <v>17.844869671760922</v>
      </c>
      <c r="L285" s="76">
        <f t="shared" si="221"/>
        <v>17.812071407574457</v>
      </c>
      <c r="M285" s="76">
        <f t="shared" si="221"/>
        <v>17.781074881982885</v>
      </c>
      <c r="N285" s="76">
        <f t="shared" si="221"/>
        <v>17.750946058010243</v>
      </c>
      <c r="O285" s="76">
        <f t="shared" si="221"/>
        <v>17.720493588328651</v>
      </c>
      <c r="P285" s="76">
        <f t="shared" si="221"/>
        <v>17.688595187866152</v>
      </c>
      <c r="Q285" s="76">
        <f t="shared" si="221"/>
        <v>17.654493087493705</v>
      </c>
      <c r="R285" s="76">
        <f t="shared" si="221"/>
        <v>17.617906487144936</v>
      </c>
      <c r="S285" s="76">
        <f t="shared" si="221"/>
        <v>17.578952890024578</v>
      </c>
      <c r="T285" s="76">
        <f t="shared" si="221"/>
        <v>17.537980020658928</v>
      </c>
      <c r="U285" s="76">
        <f t="shared" si="221"/>
        <v>17.495410235239437</v>
      </c>
      <c r="V285" s="76">
        <f t="shared" si="221"/>
        <v>17.451642060097743</v>
      </c>
      <c r="W285" s="76">
        <f t="shared" si="221"/>
        <v>17.40700650169714</v>
      </c>
      <c r="X285" s="76">
        <f t="shared" si="221"/>
        <v>17.361758505967224</v>
      </c>
      <c r="Y285" s="76">
        <f t="shared" si="221"/>
        <v>17.316085323885304</v>
      </c>
      <c r="Z285" s="76">
        <f t="shared" si="221"/>
        <v>17.270120315650598</v>
      </c>
      <c r="AA285" s="76">
        <f t="shared" si="221"/>
        <v>17.223956556678775</v>
      </c>
      <c r="AB285" s="76">
        <f t="shared" si="221"/>
        <v>17.177658140918879</v>
      </c>
      <c r="AC285" s="76">
        <f t="shared" si="221"/>
        <v>17.131268812635724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2">A264</f>
        <v>Capex vehicle</v>
      </c>
      <c r="B288" s="65">
        <f>((1+B249)^B256)*B249/(((1+B249)^B256)-1)*(B245)/B261/(B258)</f>
        <v>7.6317014160409149E-4</v>
      </c>
      <c r="C288" s="65">
        <f t="shared" ref="C288:AC288" si="223">((1+C249)^C256)*C249/(((1+C249)^C256)-1)*(C245)/C261/(C258)</f>
        <v>7.6317014160409149E-4</v>
      </c>
      <c r="D288" s="65">
        <f t="shared" si="223"/>
        <v>7.6317014160409149E-4</v>
      </c>
      <c r="E288" s="65">
        <f t="shared" si="223"/>
        <v>7.6317014160409149E-4</v>
      </c>
      <c r="F288" s="65">
        <f t="shared" si="223"/>
        <v>7.6317014160409149E-4</v>
      </c>
      <c r="G288" s="65">
        <f t="shared" si="223"/>
        <v>7.6317014160409149E-4</v>
      </c>
      <c r="H288" s="65">
        <f t="shared" si="223"/>
        <v>7.6317014160409149E-4</v>
      </c>
      <c r="I288" s="65">
        <f t="shared" si="223"/>
        <v>7.6317014160409149E-4</v>
      </c>
      <c r="J288" s="65">
        <f t="shared" si="223"/>
        <v>7.6317014160409149E-4</v>
      </c>
      <c r="K288" s="65">
        <f t="shared" si="223"/>
        <v>7.6317014160409149E-4</v>
      </c>
      <c r="L288" s="65">
        <f t="shared" si="223"/>
        <v>7.6317014160409149E-4</v>
      </c>
      <c r="M288" s="65">
        <f t="shared" si="223"/>
        <v>7.6317014160409149E-4</v>
      </c>
      <c r="N288" s="65">
        <f t="shared" si="223"/>
        <v>7.6317014160409149E-4</v>
      </c>
      <c r="O288" s="65">
        <f t="shared" si="223"/>
        <v>7.6317014160409149E-4</v>
      </c>
      <c r="P288" s="65">
        <f t="shared" si="223"/>
        <v>7.6317014160409149E-4</v>
      </c>
      <c r="Q288" s="65">
        <f t="shared" si="223"/>
        <v>7.6317014160409149E-4</v>
      </c>
      <c r="R288" s="65">
        <f t="shared" si="223"/>
        <v>7.6317014160409149E-4</v>
      </c>
      <c r="S288" s="65">
        <f t="shared" si="223"/>
        <v>7.6317014160409149E-4</v>
      </c>
      <c r="T288" s="65">
        <f t="shared" si="223"/>
        <v>7.6317014160409149E-4</v>
      </c>
      <c r="U288" s="65">
        <f t="shared" si="223"/>
        <v>7.6317014160409149E-4</v>
      </c>
      <c r="V288" s="65">
        <f t="shared" si="223"/>
        <v>7.6317014160409149E-4</v>
      </c>
      <c r="W288" s="65">
        <f t="shared" si="223"/>
        <v>7.6317014160409149E-4</v>
      </c>
      <c r="X288" s="65">
        <f t="shared" si="223"/>
        <v>7.6317014160409149E-4</v>
      </c>
      <c r="Y288" s="65">
        <f t="shared" si="223"/>
        <v>7.6317014160409149E-4</v>
      </c>
      <c r="Z288" s="65">
        <f t="shared" si="223"/>
        <v>7.6317014160409149E-4</v>
      </c>
      <c r="AA288" s="65">
        <f t="shared" si="223"/>
        <v>7.6317014160409149E-4</v>
      </c>
      <c r="AB288" s="65">
        <f t="shared" si="223"/>
        <v>7.6317014160409149E-4</v>
      </c>
      <c r="AC288" s="65">
        <f t="shared" si="223"/>
        <v>7.6317014160409149E-4</v>
      </c>
    </row>
    <row r="289" spans="1:29" x14ac:dyDescent="0.25">
      <c r="A289" s="30" t="str">
        <f t="shared" si="222"/>
        <v>Residual value (vehicle)</v>
      </c>
      <c r="B289" s="68">
        <f>((1+B249)^B256)*B249/(((1+B249)^B256)-1)*(B246)/B261/(B258)</f>
        <v>-1.1346797345547289E-4</v>
      </c>
      <c r="C289" s="68">
        <f t="shared" ref="C289:AC289" si="224">((1+C249)^C256)*C249/(((1+C249)^C256)-1)*(C246)/C261/(C258)</f>
        <v>-1.1303657138934111E-4</v>
      </c>
      <c r="D289" s="68">
        <f t="shared" si="224"/>
        <v>-1.1242404229769157E-4</v>
      </c>
      <c r="E289" s="68">
        <f t="shared" si="224"/>
        <v>-1.1155829128693258E-4</v>
      </c>
      <c r="F289" s="68">
        <f t="shared" si="224"/>
        <v>-1.1034279248726903E-4</v>
      </c>
      <c r="G289" s="68">
        <f t="shared" si="224"/>
        <v>-1.0865280791600897E-4</v>
      </c>
      <c r="H289" s="68">
        <f t="shared" si="224"/>
        <v>-1.0633590229126001E-4</v>
      </c>
      <c r="I289" s="68">
        <f t="shared" si="224"/>
        <v>-1.0322222940116694E-4</v>
      </c>
      <c r="J289" s="68">
        <f t="shared" si="224"/>
        <v>-9.9152057416450692E-5</v>
      </c>
      <c r="K289" s="68">
        <f t="shared" si="224"/>
        <v>-9.4026363750057009E-5</v>
      </c>
      <c r="L289" s="68">
        <f t="shared" si="224"/>
        <v>-8.7875678483444322E-5</v>
      </c>
      <c r="M289" s="68">
        <f t="shared" si="224"/>
        <v>-8.0920645629828101E-5</v>
      </c>
      <c r="N289" s="68">
        <f t="shared" si="224"/>
        <v>-7.357824598204721E-5</v>
      </c>
      <c r="O289" s="68">
        <f t="shared" si="224"/>
        <v>-6.6380331025761298E-5</v>
      </c>
      <c r="P289" s="68">
        <f t="shared" si="224"/>
        <v>-5.982792088237961E-5</v>
      </c>
      <c r="Q289" s="68">
        <f t="shared" si="224"/>
        <v>-5.4259305341653007E-5</v>
      </c>
      <c r="R289" s="68">
        <f t="shared" si="224"/>
        <v>-4.9799841576070884E-5</v>
      </c>
      <c r="S289" s="68">
        <f t="shared" si="224"/>
        <v>-4.6397072797805602E-5</v>
      </c>
      <c r="T289" s="68">
        <f t="shared" si="224"/>
        <v>-4.3895764843330094E-5</v>
      </c>
      <c r="U289" s="68">
        <f t="shared" si="224"/>
        <v>-4.2107365841462744E-5</v>
      </c>
      <c r="V289" s="68">
        <f t="shared" si="224"/>
        <v>-4.0853962251293284E-5</v>
      </c>
      <c r="W289" s="68">
        <f t="shared" si="224"/>
        <v>-3.9987783330280735E-5</v>
      </c>
      <c r="X289" s="68">
        <f t="shared" si="224"/>
        <v>-3.93950139312806E-5</v>
      </c>
      <c r="Y289" s="68">
        <f t="shared" si="224"/>
        <v>-3.8992059867999029E-5</v>
      </c>
      <c r="Z289" s="68">
        <f t="shared" si="224"/>
        <v>-3.8719385337209372E-5</v>
      </c>
      <c r="AA289" s="68">
        <f t="shared" si="224"/>
        <v>-3.8535438814060903E-5</v>
      </c>
      <c r="AB289" s="68">
        <f t="shared" si="224"/>
        <v>-3.8411606928446129E-5</v>
      </c>
      <c r="AC289" s="68">
        <f t="shared" si="224"/>
        <v>-3.832836099071531E-5</v>
      </c>
    </row>
    <row r="290" spans="1:29" x14ac:dyDescent="0.25">
      <c r="A290" s="30" t="str">
        <f t="shared" si="222"/>
        <v>Capex costumization</v>
      </c>
      <c r="B290" s="66">
        <f>((1+B249)^B257)*B249/(((1+B249)^B257)-1)*(B247)/B261/(B258)</f>
        <v>5.087458787818432E-4</v>
      </c>
      <c r="C290" s="66">
        <f t="shared" ref="C290:AC290" si="225">((1+C249)^C257)*C249/(((1+C249)^C257)-1)*(C247)/C261/(C258)</f>
        <v>5.087458787818432E-4</v>
      </c>
      <c r="D290" s="66">
        <f t="shared" si="225"/>
        <v>5.087458787818432E-4</v>
      </c>
      <c r="E290" s="66">
        <f t="shared" si="225"/>
        <v>5.087458787818432E-4</v>
      </c>
      <c r="F290" s="66">
        <f t="shared" si="225"/>
        <v>5.087458787818432E-4</v>
      </c>
      <c r="G290" s="66">
        <f t="shared" si="225"/>
        <v>5.087458787818432E-4</v>
      </c>
      <c r="H290" s="66">
        <f t="shared" si="225"/>
        <v>5.087458787818432E-4</v>
      </c>
      <c r="I290" s="66">
        <f t="shared" si="225"/>
        <v>5.087458787818432E-4</v>
      </c>
      <c r="J290" s="66">
        <f t="shared" si="225"/>
        <v>5.087458787818432E-4</v>
      </c>
      <c r="K290" s="66">
        <f t="shared" si="225"/>
        <v>5.087458787818432E-4</v>
      </c>
      <c r="L290" s="66">
        <f t="shared" si="225"/>
        <v>5.087458787818432E-4</v>
      </c>
      <c r="M290" s="66">
        <f t="shared" si="225"/>
        <v>5.087458787818432E-4</v>
      </c>
      <c r="N290" s="66">
        <f t="shared" si="225"/>
        <v>5.087458787818432E-4</v>
      </c>
      <c r="O290" s="66">
        <f t="shared" si="225"/>
        <v>5.087458787818432E-4</v>
      </c>
      <c r="P290" s="66">
        <f t="shared" si="225"/>
        <v>5.087458787818432E-4</v>
      </c>
      <c r="Q290" s="66">
        <f t="shared" si="225"/>
        <v>5.087458787818432E-4</v>
      </c>
      <c r="R290" s="66">
        <f t="shared" si="225"/>
        <v>5.087458787818432E-4</v>
      </c>
      <c r="S290" s="66">
        <f t="shared" si="225"/>
        <v>5.087458787818432E-4</v>
      </c>
      <c r="T290" s="66">
        <f t="shared" si="225"/>
        <v>5.087458787818432E-4</v>
      </c>
      <c r="U290" s="66">
        <f t="shared" si="225"/>
        <v>5.087458787818432E-4</v>
      </c>
      <c r="V290" s="66">
        <f t="shared" si="225"/>
        <v>5.087458787818432E-4</v>
      </c>
      <c r="W290" s="66">
        <f t="shared" si="225"/>
        <v>5.087458787818432E-4</v>
      </c>
      <c r="X290" s="66">
        <f t="shared" si="225"/>
        <v>5.087458787818432E-4</v>
      </c>
      <c r="Y290" s="66">
        <f t="shared" si="225"/>
        <v>5.087458787818432E-4</v>
      </c>
      <c r="Z290" s="66">
        <f t="shared" si="225"/>
        <v>5.087458787818432E-4</v>
      </c>
      <c r="AA290" s="66">
        <f t="shared" si="225"/>
        <v>5.087458787818432E-4</v>
      </c>
      <c r="AB290" s="66">
        <f t="shared" si="225"/>
        <v>5.087458787818432E-4</v>
      </c>
      <c r="AC290" s="66">
        <f t="shared" si="225"/>
        <v>5.087458787818432E-4</v>
      </c>
    </row>
    <row r="291" spans="1:29" x14ac:dyDescent="0.25">
      <c r="A291" s="30" t="str">
        <f t="shared" si="222"/>
        <v>Residual value (costumization)</v>
      </c>
      <c r="B291" s="69">
        <f>((1+B249)^B257)*B249/(((1+B249)^B257)-1)*(B248)/B261/(B258)</f>
        <v>-2.5437293939092156E-5</v>
      </c>
      <c r="C291" s="69">
        <f t="shared" ref="C291:AC291" si="226">((1+C249)^C257)*C249/(((1+C249)^C257)-1)*(C248)/C261/(C258)</f>
        <v>-2.5437293939092156E-5</v>
      </c>
      <c r="D291" s="69">
        <f t="shared" si="226"/>
        <v>-2.5437293939092156E-5</v>
      </c>
      <c r="E291" s="69">
        <f t="shared" si="226"/>
        <v>-2.5437293939092156E-5</v>
      </c>
      <c r="F291" s="69">
        <f t="shared" si="226"/>
        <v>-2.5437293939092156E-5</v>
      </c>
      <c r="G291" s="69">
        <f t="shared" si="226"/>
        <v>-2.5437293939092156E-5</v>
      </c>
      <c r="H291" s="69">
        <f t="shared" si="226"/>
        <v>-2.5437293939092156E-5</v>
      </c>
      <c r="I291" s="69">
        <f t="shared" si="226"/>
        <v>-2.5437293939092156E-5</v>
      </c>
      <c r="J291" s="69">
        <f t="shared" si="226"/>
        <v>-2.5437293939092156E-5</v>
      </c>
      <c r="K291" s="69">
        <f t="shared" si="226"/>
        <v>-2.5437293939092156E-5</v>
      </c>
      <c r="L291" s="69">
        <f t="shared" si="226"/>
        <v>-2.5437293939092156E-5</v>
      </c>
      <c r="M291" s="69">
        <f t="shared" si="226"/>
        <v>-2.5437293939092156E-5</v>
      </c>
      <c r="N291" s="69">
        <f t="shared" si="226"/>
        <v>-2.5437293939092156E-5</v>
      </c>
      <c r="O291" s="69">
        <f t="shared" si="226"/>
        <v>-2.5437293939092156E-5</v>
      </c>
      <c r="P291" s="69">
        <f t="shared" si="226"/>
        <v>-2.5437293939092156E-5</v>
      </c>
      <c r="Q291" s="69">
        <f t="shared" si="226"/>
        <v>-2.5437293939092156E-5</v>
      </c>
      <c r="R291" s="69">
        <f t="shared" si="226"/>
        <v>-2.5437293939092156E-5</v>
      </c>
      <c r="S291" s="69">
        <f t="shared" si="226"/>
        <v>-2.5437293939092156E-5</v>
      </c>
      <c r="T291" s="69">
        <f t="shared" si="226"/>
        <v>-2.5437293939092156E-5</v>
      </c>
      <c r="U291" s="69">
        <f t="shared" si="226"/>
        <v>-2.5437293939092156E-5</v>
      </c>
      <c r="V291" s="69">
        <f t="shared" si="226"/>
        <v>-2.5437293939092156E-5</v>
      </c>
      <c r="W291" s="69">
        <f t="shared" si="226"/>
        <v>-2.5437293939092156E-5</v>
      </c>
      <c r="X291" s="69">
        <f t="shared" si="226"/>
        <v>-2.5437293939092156E-5</v>
      </c>
      <c r="Y291" s="69">
        <f t="shared" si="226"/>
        <v>-2.5437293939092156E-5</v>
      </c>
      <c r="Z291" s="69">
        <f t="shared" si="226"/>
        <v>-2.5437293939092156E-5</v>
      </c>
      <c r="AA291" s="69">
        <f t="shared" si="226"/>
        <v>-2.5437293939092156E-5</v>
      </c>
      <c r="AB291" s="69">
        <f t="shared" si="226"/>
        <v>-2.5437293939092156E-5</v>
      </c>
      <c r="AC291" s="69">
        <f t="shared" si="226"/>
        <v>-2.5437293939092156E-5</v>
      </c>
    </row>
    <row r="292" spans="1:29" x14ac:dyDescent="0.25">
      <c r="A292" s="30" t="str">
        <f t="shared" si="222"/>
        <v>Opex fix (admin, crew, insurance)</v>
      </c>
      <c r="B292" s="66">
        <f>B250/B261/(B258)</f>
        <v>1.525610244097639E-3</v>
      </c>
      <c r="C292" s="66">
        <f t="shared" ref="C292:AC292" si="227">C250/C261/(C258)</f>
        <v>1.525610244097639E-3</v>
      </c>
      <c r="D292" s="66">
        <f t="shared" si="227"/>
        <v>1.525610244097639E-3</v>
      </c>
      <c r="E292" s="66">
        <f t="shared" si="227"/>
        <v>1.525610244097639E-3</v>
      </c>
      <c r="F292" s="66">
        <f t="shared" si="227"/>
        <v>1.525610244097639E-3</v>
      </c>
      <c r="G292" s="66">
        <f t="shared" si="227"/>
        <v>1.525610244097639E-3</v>
      </c>
      <c r="H292" s="66">
        <f t="shared" si="227"/>
        <v>1.525610244097639E-3</v>
      </c>
      <c r="I292" s="66">
        <f t="shared" si="227"/>
        <v>1.525610244097639E-3</v>
      </c>
      <c r="J292" s="66">
        <f t="shared" si="227"/>
        <v>1.525610244097639E-3</v>
      </c>
      <c r="K292" s="66">
        <f t="shared" si="227"/>
        <v>1.525610244097639E-3</v>
      </c>
      <c r="L292" s="66">
        <f t="shared" si="227"/>
        <v>1.525610244097639E-3</v>
      </c>
      <c r="M292" s="66">
        <f t="shared" si="227"/>
        <v>1.525610244097639E-3</v>
      </c>
      <c r="N292" s="66">
        <f t="shared" si="227"/>
        <v>1.525610244097639E-3</v>
      </c>
      <c r="O292" s="66">
        <f t="shared" si="227"/>
        <v>1.525610244097639E-3</v>
      </c>
      <c r="P292" s="66">
        <f t="shared" si="227"/>
        <v>1.525610244097639E-3</v>
      </c>
      <c r="Q292" s="66">
        <f t="shared" si="227"/>
        <v>1.525610244097639E-3</v>
      </c>
      <c r="R292" s="66">
        <f t="shared" si="227"/>
        <v>1.525610244097639E-3</v>
      </c>
      <c r="S292" s="66">
        <f t="shared" si="227"/>
        <v>1.525610244097639E-3</v>
      </c>
      <c r="T292" s="66">
        <f t="shared" si="227"/>
        <v>1.525610244097639E-3</v>
      </c>
      <c r="U292" s="66">
        <f t="shared" si="227"/>
        <v>1.525610244097639E-3</v>
      </c>
      <c r="V292" s="66">
        <f t="shared" si="227"/>
        <v>1.525610244097639E-3</v>
      </c>
      <c r="W292" s="66">
        <f t="shared" si="227"/>
        <v>1.525610244097639E-3</v>
      </c>
      <c r="X292" s="66">
        <f t="shared" si="227"/>
        <v>1.525610244097639E-3</v>
      </c>
      <c r="Y292" s="66">
        <f t="shared" si="227"/>
        <v>1.525610244097639E-3</v>
      </c>
      <c r="Z292" s="66">
        <f t="shared" si="227"/>
        <v>1.525610244097639E-3</v>
      </c>
      <c r="AA292" s="66">
        <f t="shared" si="227"/>
        <v>1.525610244097639E-3</v>
      </c>
      <c r="AB292" s="66">
        <f t="shared" si="227"/>
        <v>1.525610244097639E-3</v>
      </c>
      <c r="AC292" s="66">
        <f t="shared" si="227"/>
        <v>1.525610244097639E-3</v>
      </c>
    </row>
    <row r="293" spans="1:29" x14ac:dyDescent="0.25">
      <c r="A293" s="30" t="str">
        <f t="shared" si="222"/>
        <v>Opex maintenance &amp; repair</v>
      </c>
      <c r="B293" s="66">
        <f>B251/B261/(B258)</f>
        <v>2.6260504201680674E-3</v>
      </c>
      <c r="C293" s="66">
        <f t="shared" ref="C293:AC293" si="228">C251/C261/(C258)</f>
        <v>2.6260504201680674E-3</v>
      </c>
      <c r="D293" s="66">
        <f t="shared" si="228"/>
        <v>2.6260504201680674E-3</v>
      </c>
      <c r="E293" s="66">
        <f t="shared" si="228"/>
        <v>2.6260504201680674E-3</v>
      </c>
      <c r="F293" s="66">
        <f t="shared" si="228"/>
        <v>2.6260504201680674E-3</v>
      </c>
      <c r="G293" s="66">
        <f t="shared" si="228"/>
        <v>2.6260504201680674E-3</v>
      </c>
      <c r="H293" s="66">
        <f t="shared" si="228"/>
        <v>2.6260504201680674E-3</v>
      </c>
      <c r="I293" s="66">
        <f t="shared" si="228"/>
        <v>2.6260504201680674E-3</v>
      </c>
      <c r="J293" s="66">
        <f t="shared" si="228"/>
        <v>2.6260504201680674E-3</v>
      </c>
      <c r="K293" s="66">
        <f t="shared" si="228"/>
        <v>2.6260504201680674E-3</v>
      </c>
      <c r="L293" s="66">
        <f t="shared" si="228"/>
        <v>2.6260504201680674E-3</v>
      </c>
      <c r="M293" s="66">
        <f t="shared" si="228"/>
        <v>2.6260504201680674E-3</v>
      </c>
      <c r="N293" s="66">
        <f t="shared" si="228"/>
        <v>2.6260504201680674E-3</v>
      </c>
      <c r="O293" s="66">
        <f t="shared" si="228"/>
        <v>2.6260504201680674E-3</v>
      </c>
      <c r="P293" s="66">
        <f t="shared" si="228"/>
        <v>2.6260504201680674E-3</v>
      </c>
      <c r="Q293" s="66">
        <f t="shared" si="228"/>
        <v>2.6260504201680674E-3</v>
      </c>
      <c r="R293" s="66">
        <f t="shared" si="228"/>
        <v>2.6260504201680674E-3</v>
      </c>
      <c r="S293" s="66">
        <f t="shared" si="228"/>
        <v>2.6260504201680674E-3</v>
      </c>
      <c r="T293" s="66">
        <f t="shared" si="228"/>
        <v>2.6260504201680674E-3</v>
      </c>
      <c r="U293" s="66">
        <f t="shared" si="228"/>
        <v>2.6260504201680674E-3</v>
      </c>
      <c r="V293" s="66">
        <f t="shared" si="228"/>
        <v>2.6260504201680674E-3</v>
      </c>
      <c r="W293" s="66">
        <f t="shared" si="228"/>
        <v>2.6260504201680674E-3</v>
      </c>
      <c r="X293" s="66">
        <f t="shared" si="228"/>
        <v>2.6260504201680674E-3</v>
      </c>
      <c r="Y293" s="66">
        <f t="shared" si="228"/>
        <v>2.6260504201680674E-3</v>
      </c>
      <c r="Z293" s="66">
        <f t="shared" si="228"/>
        <v>2.6260504201680674E-3</v>
      </c>
      <c r="AA293" s="66">
        <f t="shared" si="228"/>
        <v>2.6260504201680674E-3</v>
      </c>
      <c r="AB293" s="66">
        <f t="shared" si="228"/>
        <v>2.6260504201680674E-3</v>
      </c>
      <c r="AC293" s="66">
        <f t="shared" si="228"/>
        <v>2.6260504201680674E-3</v>
      </c>
    </row>
    <row r="294" spans="1:29" x14ac:dyDescent="0.25">
      <c r="A294" s="30" t="str">
        <f t="shared" si="222"/>
        <v>Opex var (mode-fees, shunting)</v>
      </c>
      <c r="B294" s="66">
        <f>B252*B261/B261/(B258)</f>
        <v>1.6256502601040416E-3</v>
      </c>
      <c r="C294" s="66">
        <f t="shared" ref="C294:AC294" si="229">C252*C261/C261/(C258)</f>
        <v>1.6256502601040416E-3</v>
      </c>
      <c r="D294" s="66">
        <f t="shared" si="229"/>
        <v>1.6256502601040416E-3</v>
      </c>
      <c r="E294" s="66">
        <f t="shared" si="229"/>
        <v>1.6256502601040416E-3</v>
      </c>
      <c r="F294" s="66">
        <f t="shared" si="229"/>
        <v>1.6256502601040416E-3</v>
      </c>
      <c r="G294" s="66">
        <f t="shared" si="229"/>
        <v>1.6256502601040416E-3</v>
      </c>
      <c r="H294" s="66">
        <f t="shared" si="229"/>
        <v>1.6256502601040416E-3</v>
      </c>
      <c r="I294" s="66">
        <f t="shared" si="229"/>
        <v>1.6256502601040416E-3</v>
      </c>
      <c r="J294" s="66">
        <f t="shared" si="229"/>
        <v>1.6256502601040416E-3</v>
      </c>
      <c r="K294" s="66">
        <f t="shared" si="229"/>
        <v>1.6256502601040416E-3</v>
      </c>
      <c r="L294" s="66">
        <f t="shared" si="229"/>
        <v>1.6256502601040416E-3</v>
      </c>
      <c r="M294" s="66">
        <f t="shared" si="229"/>
        <v>1.6256502601040416E-3</v>
      </c>
      <c r="N294" s="66">
        <f t="shared" si="229"/>
        <v>1.6256502601040416E-3</v>
      </c>
      <c r="O294" s="66">
        <f t="shared" si="229"/>
        <v>1.6256502601040416E-3</v>
      </c>
      <c r="P294" s="66">
        <f t="shared" si="229"/>
        <v>1.6256502601040416E-3</v>
      </c>
      <c r="Q294" s="66">
        <f t="shared" si="229"/>
        <v>1.6256502601040416E-3</v>
      </c>
      <c r="R294" s="66">
        <f t="shared" si="229"/>
        <v>1.6256502601040416E-3</v>
      </c>
      <c r="S294" s="66">
        <f t="shared" si="229"/>
        <v>1.6256502601040416E-3</v>
      </c>
      <c r="T294" s="66">
        <f t="shared" si="229"/>
        <v>1.6256502601040416E-3</v>
      </c>
      <c r="U294" s="66">
        <f t="shared" si="229"/>
        <v>1.6256502601040416E-3</v>
      </c>
      <c r="V294" s="66">
        <f t="shared" si="229"/>
        <v>1.6256502601040416E-3</v>
      </c>
      <c r="W294" s="66">
        <f t="shared" si="229"/>
        <v>1.6256502601040416E-3</v>
      </c>
      <c r="X294" s="66">
        <f t="shared" si="229"/>
        <v>1.6256502601040416E-3</v>
      </c>
      <c r="Y294" s="66">
        <f t="shared" si="229"/>
        <v>1.6256502601040416E-3</v>
      </c>
      <c r="Z294" s="66">
        <f t="shared" si="229"/>
        <v>1.6256502601040416E-3</v>
      </c>
      <c r="AA294" s="66">
        <f t="shared" si="229"/>
        <v>1.6256502601040416E-3</v>
      </c>
      <c r="AB294" s="66">
        <f t="shared" si="229"/>
        <v>1.6256502601040416E-3</v>
      </c>
      <c r="AC294" s="66">
        <f t="shared" si="229"/>
        <v>1.6256502601040416E-3</v>
      </c>
    </row>
    <row r="295" spans="1:29" x14ac:dyDescent="0.25">
      <c r="A295" s="30" t="str">
        <f t="shared" si="222"/>
        <v>Fuel Cost</v>
      </c>
      <c r="B295" s="66">
        <f>B253*B254*B261/B261/(B258)</f>
        <v>1.9863208475390157E-3</v>
      </c>
      <c r="C295" s="66">
        <f t="shared" ref="C295:AC295" si="230">C253*C254*C261/C261/(C258)</f>
        <v>1.8493332028811521E-3</v>
      </c>
      <c r="D295" s="66">
        <f t="shared" si="230"/>
        <v>1.7123455582232895E-3</v>
      </c>
      <c r="E295" s="66">
        <f t="shared" si="230"/>
        <v>1.5753579135654259E-3</v>
      </c>
      <c r="F295" s="66">
        <f t="shared" si="230"/>
        <v>1.4383702689075631E-3</v>
      </c>
      <c r="G295" s="66">
        <f t="shared" si="230"/>
        <v>1.3013826242497001E-3</v>
      </c>
      <c r="H295" s="66">
        <f t="shared" si="230"/>
        <v>1.1643949795918369E-3</v>
      </c>
      <c r="I295" s="66">
        <f t="shared" si="230"/>
        <v>1.0274073349339737E-3</v>
      </c>
      <c r="J295" s="66">
        <f t="shared" si="230"/>
        <v>1.0066145674412622E-3</v>
      </c>
      <c r="K295" s="66">
        <f t="shared" si="230"/>
        <v>9.8582179994855077E-4</v>
      </c>
      <c r="L295" s="66">
        <f t="shared" si="230"/>
        <v>9.650290324558394E-4</v>
      </c>
      <c r="M295" s="66">
        <f t="shared" si="230"/>
        <v>9.4423626496312793E-4</v>
      </c>
      <c r="N295" s="66">
        <f t="shared" si="230"/>
        <v>9.2344349747041678E-4</v>
      </c>
      <c r="O295" s="66">
        <f t="shared" si="230"/>
        <v>9.026507299777053E-4</v>
      </c>
      <c r="P295" s="66">
        <f t="shared" si="230"/>
        <v>8.8185796248499405E-4</v>
      </c>
      <c r="Q295" s="66">
        <f t="shared" si="230"/>
        <v>8.6106519499228268E-4</v>
      </c>
      <c r="R295" s="66">
        <f t="shared" si="230"/>
        <v>8.402724274995711E-4</v>
      </c>
      <c r="S295" s="66">
        <f t="shared" si="230"/>
        <v>8.1947966000685995E-4</v>
      </c>
      <c r="T295" s="66">
        <f t="shared" si="230"/>
        <v>7.9868689251414858E-4</v>
      </c>
      <c r="U295" s="66">
        <f t="shared" si="230"/>
        <v>7.7789412502143711E-4</v>
      </c>
      <c r="V295" s="66">
        <f t="shared" si="230"/>
        <v>7.5710135752872563E-4</v>
      </c>
      <c r="W295" s="66">
        <f t="shared" si="230"/>
        <v>7.3630859003601427E-4</v>
      </c>
      <c r="X295" s="66">
        <f t="shared" si="230"/>
        <v>7.1551582254330312E-4</v>
      </c>
      <c r="Y295" s="66">
        <f t="shared" si="230"/>
        <v>6.9472305505059154E-4</v>
      </c>
      <c r="Z295" s="66">
        <f t="shared" si="230"/>
        <v>6.7393028755788017E-4</v>
      </c>
      <c r="AA295" s="66">
        <f t="shared" si="230"/>
        <v>6.5313752006516891E-4</v>
      </c>
      <c r="AB295" s="66">
        <f t="shared" si="230"/>
        <v>6.3234475257245744E-4</v>
      </c>
      <c r="AC295" s="66">
        <f t="shared" si="230"/>
        <v>6.1155198507974618E-4</v>
      </c>
    </row>
    <row r="296" spans="1:29" x14ac:dyDescent="0.25">
      <c r="A296" s="59" t="str">
        <f>A259</f>
        <v>Market failure (av. utilization)</v>
      </c>
      <c r="B296" s="66">
        <f t="shared" ref="B296:AC296" si="231">B285/B259-B285/B258</f>
        <v>1.2023226120295865E-2</v>
      </c>
      <c r="C296" s="66">
        <f t="shared" si="231"/>
        <v>1.1839728669313224E-2</v>
      </c>
      <c r="D296" s="66">
        <f t="shared" si="231"/>
        <v>1.1656474607771125E-2</v>
      </c>
      <c r="E296" s="66">
        <f t="shared" si="231"/>
        <v>1.1473560813182827E-2</v>
      </c>
      <c r="F296" s="66">
        <f t="shared" si="231"/>
        <v>1.1291116992185875E-2</v>
      </c>
      <c r="G296" s="66">
        <f t="shared" si="231"/>
        <v>1.1109310761444498E-2</v>
      </c>
      <c r="H296" s="66">
        <f t="shared" si="231"/>
        <v>1.0928346955868752E-2</v>
      </c>
      <c r="I296" s="66">
        <f t="shared" si="231"/>
        <v>1.0748453806305814E-2</v>
      </c>
      <c r="J296" s="66">
        <f t="shared" si="231"/>
        <v>1.0725982818591943E-2</v>
      </c>
      <c r="K296" s="66">
        <f t="shared" si="231"/>
        <v>1.070493018813783E-2</v>
      </c>
      <c r="L296" s="66">
        <f t="shared" si="231"/>
        <v>1.0685254890146507E-2</v>
      </c>
      <c r="M296" s="66">
        <f t="shared" si="231"/>
        <v>1.0666660434225223E-2</v>
      </c>
      <c r="N296" s="66">
        <f t="shared" si="231"/>
        <v>1.06485865024336E-2</v>
      </c>
      <c r="O296" s="66">
        <f t="shared" si="231"/>
        <v>1.0630318419337778E-2</v>
      </c>
      <c r="P296" s="66">
        <f t="shared" si="231"/>
        <v>1.0611182939149616E-2</v>
      </c>
      <c r="Q296" s="66">
        <f t="shared" si="231"/>
        <v>1.0590725484964135E-2</v>
      </c>
      <c r="R296" s="66">
        <f t="shared" si="231"/>
        <v>1.0568777608080806E-2</v>
      </c>
      <c r="S296" s="66">
        <f t="shared" si="231"/>
        <v>1.0545409797308272E-2</v>
      </c>
      <c r="T296" s="66">
        <f t="shared" si="231"/>
        <v>1.0520830648553765E-2</v>
      </c>
      <c r="U296" s="66">
        <f t="shared" si="231"/>
        <v>1.0495293528394192E-2</v>
      </c>
      <c r="V296" s="66">
        <f t="shared" si="231"/>
        <v>1.0469037508150154E-2</v>
      </c>
      <c r="W296" s="66">
        <f t="shared" si="231"/>
        <v>1.0442261154756933E-2</v>
      </c>
      <c r="X296" s="66">
        <f t="shared" si="231"/>
        <v>1.0415117407318507E-2</v>
      </c>
      <c r="Y296" s="66">
        <f t="shared" si="231"/>
        <v>1.0387718595522715E-2</v>
      </c>
      <c r="Z296" s="66">
        <f t="shared" si="231"/>
        <v>1.0360144720605128E-2</v>
      </c>
      <c r="AA296" s="66">
        <f t="shared" si="231"/>
        <v>1.0332451617427279E-2</v>
      </c>
      <c r="AB296" s="66">
        <f t="shared" si="231"/>
        <v>1.0304677735205242E-2</v>
      </c>
      <c r="AC296" s="66">
        <f t="shared" si="231"/>
        <v>1.0276849315615739E-2</v>
      </c>
    </row>
    <row r="297" spans="1:29" x14ac:dyDescent="0.25">
      <c r="A297" s="59" t="str">
        <f>A260</f>
        <v>Payload loss (fuel)</v>
      </c>
      <c r="B297" s="66">
        <f>B285/(B258-B260)-B285/B258</f>
        <v>0</v>
      </c>
      <c r="C297" s="66">
        <f t="shared" ref="C297:AC297" si="232">C285/(C258-C260)-C285/C258</f>
        <v>0</v>
      </c>
      <c r="D297" s="66">
        <f t="shared" si="232"/>
        <v>0</v>
      </c>
      <c r="E297" s="66">
        <f t="shared" si="232"/>
        <v>0</v>
      </c>
      <c r="F297" s="66">
        <f t="shared" si="232"/>
        <v>0</v>
      </c>
      <c r="G297" s="66">
        <f t="shared" si="232"/>
        <v>0</v>
      </c>
      <c r="H297" s="66">
        <f t="shared" si="232"/>
        <v>0</v>
      </c>
      <c r="I297" s="66">
        <f t="shared" si="232"/>
        <v>0</v>
      </c>
      <c r="J297" s="66">
        <f t="shared" si="232"/>
        <v>0</v>
      </c>
      <c r="K297" s="66">
        <f t="shared" si="232"/>
        <v>0</v>
      </c>
      <c r="L297" s="66">
        <f t="shared" si="232"/>
        <v>0</v>
      </c>
      <c r="M297" s="66">
        <f t="shared" si="232"/>
        <v>0</v>
      </c>
      <c r="N297" s="66">
        <f t="shared" si="232"/>
        <v>0</v>
      </c>
      <c r="O297" s="66">
        <f t="shared" si="232"/>
        <v>0</v>
      </c>
      <c r="P297" s="66">
        <f t="shared" si="232"/>
        <v>0</v>
      </c>
      <c r="Q297" s="66">
        <f t="shared" si="232"/>
        <v>0</v>
      </c>
      <c r="R297" s="66">
        <f t="shared" si="232"/>
        <v>0</v>
      </c>
      <c r="S297" s="66">
        <f t="shared" si="232"/>
        <v>0</v>
      </c>
      <c r="T297" s="66">
        <f t="shared" si="232"/>
        <v>0</v>
      </c>
      <c r="U297" s="66">
        <f t="shared" si="232"/>
        <v>0</v>
      </c>
      <c r="V297" s="66">
        <f t="shared" si="232"/>
        <v>0</v>
      </c>
      <c r="W297" s="66">
        <f t="shared" si="232"/>
        <v>0</v>
      </c>
      <c r="X297" s="66">
        <f t="shared" si="232"/>
        <v>0</v>
      </c>
      <c r="Y297" s="66">
        <f t="shared" si="232"/>
        <v>0</v>
      </c>
      <c r="Z297" s="66">
        <f t="shared" si="232"/>
        <v>0</v>
      </c>
      <c r="AA297" s="66">
        <f t="shared" si="232"/>
        <v>0</v>
      </c>
      <c r="AB297" s="66">
        <f t="shared" si="232"/>
        <v>0</v>
      </c>
      <c r="AC297" s="66">
        <f t="shared" si="232"/>
        <v>0</v>
      </c>
    </row>
    <row r="298" spans="1:29" ht="15.75" thickBot="1" x14ac:dyDescent="0.3">
      <c r="A298" s="59" t="str">
        <f>A235</f>
        <v>Emission Cost</v>
      </c>
      <c r="B298" s="66">
        <f>B255*B261/B261/(B258)</f>
        <v>0</v>
      </c>
      <c r="C298" s="66">
        <f t="shared" ref="C298:AC298" si="233">C255*C261/C261/(C258)</f>
        <v>0</v>
      </c>
      <c r="D298" s="66">
        <f t="shared" si="233"/>
        <v>0</v>
      </c>
      <c r="E298" s="66">
        <f t="shared" si="233"/>
        <v>0</v>
      </c>
      <c r="F298" s="66">
        <f t="shared" si="233"/>
        <v>0</v>
      </c>
      <c r="G298" s="66">
        <f t="shared" si="233"/>
        <v>0</v>
      </c>
      <c r="H298" s="66">
        <f t="shared" si="233"/>
        <v>0</v>
      </c>
      <c r="I298" s="66">
        <f t="shared" si="233"/>
        <v>0</v>
      </c>
      <c r="J298" s="66">
        <f t="shared" si="233"/>
        <v>0</v>
      </c>
      <c r="K298" s="66">
        <f t="shared" si="233"/>
        <v>0</v>
      </c>
      <c r="L298" s="66">
        <f t="shared" si="233"/>
        <v>0</v>
      </c>
      <c r="M298" s="66">
        <f t="shared" si="233"/>
        <v>0</v>
      </c>
      <c r="N298" s="66">
        <f t="shared" si="233"/>
        <v>0</v>
      </c>
      <c r="O298" s="66">
        <f t="shared" si="233"/>
        <v>0</v>
      </c>
      <c r="P298" s="66">
        <f t="shared" si="233"/>
        <v>0</v>
      </c>
      <c r="Q298" s="66">
        <f t="shared" si="233"/>
        <v>0</v>
      </c>
      <c r="R298" s="66">
        <f t="shared" si="233"/>
        <v>0</v>
      </c>
      <c r="S298" s="66">
        <f t="shared" si="233"/>
        <v>0</v>
      </c>
      <c r="T298" s="66">
        <f t="shared" si="233"/>
        <v>0</v>
      </c>
      <c r="U298" s="66">
        <f t="shared" si="233"/>
        <v>0</v>
      </c>
      <c r="V298" s="66">
        <f t="shared" si="233"/>
        <v>0</v>
      </c>
      <c r="W298" s="66">
        <f t="shared" si="233"/>
        <v>0</v>
      </c>
      <c r="X298" s="66">
        <f t="shared" si="233"/>
        <v>0</v>
      </c>
      <c r="Y298" s="66">
        <f t="shared" si="233"/>
        <v>0</v>
      </c>
      <c r="Z298" s="66">
        <f t="shared" si="233"/>
        <v>0</v>
      </c>
      <c r="AA298" s="66">
        <f t="shared" si="233"/>
        <v>0</v>
      </c>
      <c r="AB298" s="66">
        <f t="shared" si="233"/>
        <v>0</v>
      </c>
      <c r="AC298" s="66">
        <f t="shared" si="233"/>
        <v>0</v>
      </c>
    </row>
    <row r="299" spans="1:29" ht="15.75" thickBot="1" x14ac:dyDescent="0.3">
      <c r="A299" s="31" t="s">
        <v>210</v>
      </c>
      <c r="B299" s="67">
        <f>B288+B289+B290+B291+B292+B293+B294+B295+B296+B297+B298</f>
        <v>2.0919868645195999E-2</v>
      </c>
      <c r="C299" s="67">
        <f t="shared" ref="C299:AC299" si="234">C288+C289+C290+C291+C292+C293+C294+C295+C296+C297+C298</f>
        <v>2.0599814951621626E-2</v>
      </c>
      <c r="D299" s="67">
        <f t="shared" si="234"/>
        <v>2.0280185774513314E-2</v>
      </c>
      <c r="E299" s="67">
        <f t="shared" si="234"/>
        <v>1.9961150086277912E-2</v>
      </c>
      <c r="F299" s="67">
        <f t="shared" si="234"/>
        <v>1.9642934119422761E-2</v>
      </c>
      <c r="G299" s="67">
        <f t="shared" si="234"/>
        <v>1.9325830228594781E-2</v>
      </c>
      <c r="H299" s="67">
        <f t="shared" si="234"/>
        <v>1.9010195683985921E-2</v>
      </c>
      <c r="I299" s="67">
        <f t="shared" si="234"/>
        <v>1.8696428562655212E-2</v>
      </c>
      <c r="J299" s="67">
        <f t="shared" si="234"/>
        <v>1.8657234979433345E-2</v>
      </c>
      <c r="K299" s="67">
        <f t="shared" si="234"/>
        <v>1.8620515275152915E-2</v>
      </c>
      <c r="L299" s="67">
        <f t="shared" si="234"/>
        <v>1.8586197894935493E-2</v>
      </c>
      <c r="M299" s="67">
        <f t="shared" si="234"/>
        <v>1.8553765704375114E-2</v>
      </c>
      <c r="N299" s="67">
        <f t="shared" si="234"/>
        <v>1.852224140473856E-2</v>
      </c>
      <c r="O299" s="67">
        <f t="shared" si="234"/>
        <v>1.8490378469106311E-2</v>
      </c>
      <c r="P299" s="67">
        <f t="shared" si="234"/>
        <v>1.8457002631568822E-2</v>
      </c>
      <c r="Q299" s="67">
        <f t="shared" si="234"/>
        <v>1.8421321025431356E-2</v>
      </c>
      <c r="R299" s="67">
        <f t="shared" si="234"/>
        <v>1.8383039844820898E-2</v>
      </c>
      <c r="S299" s="67">
        <f t="shared" si="234"/>
        <v>1.8342282035333918E-2</v>
      </c>
      <c r="T299" s="67">
        <f t="shared" si="234"/>
        <v>1.8299411427041175E-2</v>
      </c>
      <c r="U299" s="67">
        <f t="shared" si="234"/>
        <v>1.8254869938390757E-2</v>
      </c>
      <c r="V299" s="67">
        <f t="shared" si="234"/>
        <v>1.8209074554244177E-2</v>
      </c>
      <c r="W299" s="67">
        <f t="shared" si="234"/>
        <v>1.8162371612279259E-2</v>
      </c>
      <c r="X299" s="67">
        <f t="shared" si="234"/>
        <v>1.8115027866747121E-2</v>
      </c>
      <c r="Y299" s="67">
        <f t="shared" si="234"/>
        <v>1.8067239241521899E-2</v>
      </c>
      <c r="Z299" s="67">
        <f t="shared" si="234"/>
        <v>1.8019145273642387E-2</v>
      </c>
      <c r="AA299" s="67">
        <f t="shared" si="234"/>
        <v>1.7970843349494978E-2</v>
      </c>
      <c r="AB299" s="67">
        <f t="shared" si="234"/>
        <v>1.7922400531665845E-2</v>
      </c>
      <c r="AC299" s="67">
        <f t="shared" si="234"/>
        <v>1.7873862590521362E-2</v>
      </c>
    </row>
    <row r="301" spans="1:29" x14ac:dyDescent="0.25">
      <c r="B301" s="40"/>
    </row>
    <row r="324" spans="1:44" s="3" customFormat="1" ht="21" x14ac:dyDescent="0.35">
      <c r="A324" s="2" t="str">
        <f>'Parameter Input'!A182</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Input'!$L$147</f>
        <v>3500000</v>
      </c>
      <c r="C334" s="42">
        <f>'Parameter Input'!$M$147</f>
        <v>3500000</v>
      </c>
      <c r="D334" s="1" t="s">
        <v>15</v>
      </c>
      <c r="L334" s="51">
        <f>'Parameter Input'!$O$147</f>
        <v>12</v>
      </c>
      <c r="M334" s="52">
        <v>0</v>
      </c>
      <c r="N334" s="52">
        <v>1</v>
      </c>
      <c r="O334" s="52">
        <f>'Parameter Input'!$P$147</f>
        <v>0.9</v>
      </c>
      <c r="P334" s="53">
        <f>'Parameter Input'!$Q$147</f>
        <v>0.4</v>
      </c>
      <c r="Q334" s="4">
        <f t="shared" ref="Q334:AR343" si="235">$N334+($M334-$N334)*((1/(1+EXP(-$P334*(Q$9-$L334)))^$O334))</f>
        <v>0.9867978615748374</v>
      </c>
      <c r="R334" s="4">
        <f t="shared" si="235"/>
        <v>0.98114509762858249</v>
      </c>
      <c r="S334" s="4">
        <f t="shared" si="235"/>
        <v>0.97311898315872036</v>
      </c>
      <c r="T334" s="4">
        <f t="shared" si="235"/>
        <v>0.96177484161592774</v>
      </c>
      <c r="U334" s="4">
        <f t="shared" si="235"/>
        <v>0.94584787155511363</v>
      </c>
      <c r="V334" s="4">
        <f t="shared" si="235"/>
        <v>0.92370360150141495</v>
      </c>
      <c r="W334" s="4">
        <f t="shared" si="235"/>
        <v>0.89334463567658451</v>
      </c>
      <c r="X334" s="4">
        <f t="shared" si="235"/>
        <v>0.85254543874327005</v>
      </c>
      <c r="Y334" s="4">
        <f t="shared" si="235"/>
        <v>0.79921300652623883</v>
      </c>
      <c r="Z334" s="4">
        <f t="shared" si="235"/>
        <v>0.73204982249993378</v>
      </c>
      <c r="AA334" s="4">
        <f t="shared" si="235"/>
        <v>0.65145592958786691</v>
      </c>
      <c r="AB334" s="4">
        <f t="shared" si="235"/>
        <v>0.56032247880849573</v>
      </c>
      <c r="AC334" s="4">
        <f t="shared" si="235"/>
        <v>0.46411326873185343</v>
      </c>
      <c r="AD334" s="4">
        <f t="shared" si="235"/>
        <v>0.36979727595523937</v>
      </c>
      <c r="AE334" s="4">
        <f t="shared" si="235"/>
        <v>0.28393948637231203</v>
      </c>
      <c r="AF334" s="4">
        <f t="shared" si="235"/>
        <v>0.21097259161117732</v>
      </c>
      <c r="AG334" s="4">
        <f t="shared" si="235"/>
        <v>0.15253917653798199</v>
      </c>
      <c r="AH334" s="4">
        <f t="shared" si="235"/>
        <v>0.10795188737709993</v>
      </c>
      <c r="AI334" s="4">
        <f t="shared" si="235"/>
        <v>7.5176653938091809E-2</v>
      </c>
      <c r="AJ334" s="4">
        <f t="shared" si="235"/>
        <v>5.1742836177502194E-2</v>
      </c>
      <c r="AK334" s="4">
        <f t="shared" si="235"/>
        <v>3.5319190625345942E-2</v>
      </c>
      <c r="AL334" s="4">
        <f t="shared" si="235"/>
        <v>2.3969442072658165E-2</v>
      </c>
      <c r="AM334" s="4">
        <f t="shared" si="235"/>
        <v>1.6202243558389728E-2</v>
      </c>
      <c r="AN334" s="4">
        <f t="shared" si="235"/>
        <v>1.0922240564108399E-2</v>
      </c>
      <c r="AO334" s="4">
        <f t="shared" si="235"/>
        <v>7.3493212906090566E-3</v>
      </c>
      <c r="AP334" s="4">
        <f t="shared" si="235"/>
        <v>4.9390262185057265E-3</v>
      </c>
      <c r="AQ334" s="4">
        <f t="shared" si="235"/>
        <v>3.3164275492956197E-3</v>
      </c>
      <c r="AR334" s="4">
        <f t="shared" si="235"/>
        <v>2.2256362146679809E-3</v>
      </c>
    </row>
    <row r="335" spans="1:44" x14ac:dyDescent="0.25">
      <c r="A335" s="24" t="s">
        <v>28</v>
      </c>
      <c r="B335" s="60">
        <f>'Parameter Input'!$L$148</f>
        <v>-525000</v>
      </c>
      <c r="C335" s="61">
        <f>'Parameter Input'!$M$148</f>
        <v>-175000</v>
      </c>
      <c r="D335" s="1" t="s">
        <v>15</v>
      </c>
      <c r="L335" s="54">
        <f>'Parameter Input'!$O$148</f>
        <v>12</v>
      </c>
      <c r="M335" s="37">
        <v>0</v>
      </c>
      <c r="N335" s="37">
        <v>1</v>
      </c>
      <c r="O335" s="37">
        <f>'Parameter Input'!$P$148</f>
        <v>0.9</v>
      </c>
      <c r="P335" s="55">
        <f>'Parameter Input'!$Q$148</f>
        <v>0.4</v>
      </c>
      <c r="Q335" s="4">
        <f t="shared" si="235"/>
        <v>0.9867978615748374</v>
      </c>
      <c r="R335" s="4">
        <f t="shared" si="235"/>
        <v>0.98114509762858249</v>
      </c>
      <c r="S335" s="4">
        <f t="shared" si="235"/>
        <v>0.97311898315872036</v>
      </c>
      <c r="T335" s="4">
        <f t="shared" si="235"/>
        <v>0.96177484161592774</v>
      </c>
      <c r="U335" s="4">
        <f t="shared" si="235"/>
        <v>0.94584787155511363</v>
      </c>
      <c r="V335" s="4">
        <f t="shared" si="235"/>
        <v>0.92370360150141495</v>
      </c>
      <c r="W335" s="4">
        <f t="shared" si="235"/>
        <v>0.89334463567658451</v>
      </c>
      <c r="X335" s="4">
        <f t="shared" si="235"/>
        <v>0.85254543874327005</v>
      </c>
      <c r="Y335" s="4">
        <f t="shared" si="235"/>
        <v>0.79921300652623883</v>
      </c>
      <c r="Z335" s="4">
        <f t="shared" si="235"/>
        <v>0.73204982249993378</v>
      </c>
      <c r="AA335" s="4">
        <f t="shared" si="235"/>
        <v>0.65145592958786691</v>
      </c>
      <c r="AB335" s="4">
        <f t="shared" si="235"/>
        <v>0.56032247880849573</v>
      </c>
      <c r="AC335" s="4">
        <f t="shared" si="235"/>
        <v>0.46411326873185343</v>
      </c>
      <c r="AD335" s="4">
        <f t="shared" si="235"/>
        <v>0.36979727595523937</v>
      </c>
      <c r="AE335" s="4">
        <f t="shared" si="235"/>
        <v>0.28393948637231203</v>
      </c>
      <c r="AF335" s="4">
        <f t="shared" si="235"/>
        <v>0.21097259161117732</v>
      </c>
      <c r="AG335" s="4">
        <f t="shared" si="235"/>
        <v>0.15253917653798199</v>
      </c>
      <c r="AH335" s="4">
        <f t="shared" si="235"/>
        <v>0.10795188737709993</v>
      </c>
      <c r="AI335" s="4">
        <f t="shared" si="235"/>
        <v>7.5176653938091809E-2</v>
      </c>
      <c r="AJ335" s="4">
        <f t="shared" si="235"/>
        <v>5.1742836177502194E-2</v>
      </c>
      <c r="AK335" s="4">
        <f t="shared" si="235"/>
        <v>3.5319190625345942E-2</v>
      </c>
      <c r="AL335" s="4">
        <f t="shared" si="235"/>
        <v>2.3969442072658165E-2</v>
      </c>
      <c r="AM335" s="4">
        <f t="shared" si="235"/>
        <v>1.6202243558389728E-2</v>
      </c>
      <c r="AN335" s="4">
        <f t="shared" si="235"/>
        <v>1.0922240564108399E-2</v>
      </c>
      <c r="AO335" s="4">
        <f t="shared" si="235"/>
        <v>7.3493212906090566E-3</v>
      </c>
      <c r="AP335" s="4">
        <f t="shared" si="235"/>
        <v>4.9390262185057265E-3</v>
      </c>
      <c r="AQ335" s="4">
        <f t="shared" si="235"/>
        <v>3.3164275492956197E-3</v>
      </c>
      <c r="AR335" s="4">
        <f t="shared" si="235"/>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35"/>
        <v>0.9867978615748374</v>
      </c>
      <c r="R336" s="4">
        <f t="shared" si="235"/>
        <v>0.98114509762858249</v>
      </c>
      <c r="S336" s="4">
        <f t="shared" si="235"/>
        <v>0.97311898315872036</v>
      </c>
      <c r="T336" s="4">
        <f t="shared" si="235"/>
        <v>0.96177484161592774</v>
      </c>
      <c r="U336" s="4">
        <f t="shared" si="235"/>
        <v>0.94584787155511363</v>
      </c>
      <c r="V336" s="4">
        <f t="shared" si="235"/>
        <v>0.92370360150141495</v>
      </c>
      <c r="W336" s="4">
        <f t="shared" si="235"/>
        <v>0.89334463567658451</v>
      </c>
      <c r="X336" s="4">
        <f t="shared" si="235"/>
        <v>0.85254543874327005</v>
      </c>
      <c r="Y336" s="4">
        <f t="shared" si="235"/>
        <v>0.79921300652623883</v>
      </c>
      <c r="Z336" s="4">
        <f t="shared" si="235"/>
        <v>0.73204982249993378</v>
      </c>
      <c r="AA336" s="4">
        <f t="shared" si="235"/>
        <v>0.65145592958786691</v>
      </c>
      <c r="AB336" s="4">
        <f t="shared" si="235"/>
        <v>0.56032247880849573</v>
      </c>
      <c r="AC336" s="4">
        <f t="shared" si="235"/>
        <v>0.46411326873185343</v>
      </c>
      <c r="AD336" s="4">
        <f t="shared" si="235"/>
        <v>0.36979727595523937</v>
      </c>
      <c r="AE336" s="4">
        <f t="shared" si="235"/>
        <v>0.28393948637231203</v>
      </c>
      <c r="AF336" s="4">
        <f t="shared" si="235"/>
        <v>0.21097259161117732</v>
      </c>
      <c r="AG336" s="4">
        <f t="shared" si="235"/>
        <v>0.15253917653798199</v>
      </c>
      <c r="AH336" s="4">
        <f t="shared" si="235"/>
        <v>0.10795188737709993</v>
      </c>
      <c r="AI336" s="4">
        <f t="shared" si="235"/>
        <v>7.5176653938091809E-2</v>
      </c>
      <c r="AJ336" s="4">
        <f t="shared" si="235"/>
        <v>5.1742836177502194E-2</v>
      </c>
      <c r="AK336" s="4">
        <f t="shared" si="235"/>
        <v>3.5319190625345942E-2</v>
      </c>
      <c r="AL336" s="4">
        <f t="shared" si="235"/>
        <v>2.3969442072658165E-2</v>
      </c>
      <c r="AM336" s="4">
        <f t="shared" si="235"/>
        <v>1.6202243558389728E-2</v>
      </c>
      <c r="AN336" s="4">
        <f t="shared" si="235"/>
        <v>1.0922240564108399E-2</v>
      </c>
      <c r="AO336" s="4">
        <f t="shared" si="235"/>
        <v>7.3493212906090566E-3</v>
      </c>
      <c r="AP336" s="4">
        <f t="shared" si="235"/>
        <v>4.9390262185057265E-3</v>
      </c>
      <c r="AQ336" s="4">
        <f t="shared" si="235"/>
        <v>3.3164275492956197E-3</v>
      </c>
      <c r="AR336" s="4">
        <f t="shared" si="235"/>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35"/>
        <v>0.9867978615748374</v>
      </c>
      <c r="R337" s="4">
        <f t="shared" si="235"/>
        <v>0.98114509762858249</v>
      </c>
      <c r="S337" s="4">
        <f t="shared" si="235"/>
        <v>0.97311898315872036</v>
      </c>
      <c r="T337" s="4">
        <f t="shared" si="235"/>
        <v>0.96177484161592774</v>
      </c>
      <c r="U337" s="4">
        <f t="shared" si="235"/>
        <v>0.94584787155511363</v>
      </c>
      <c r="V337" s="4">
        <f t="shared" si="235"/>
        <v>0.92370360150141495</v>
      </c>
      <c r="W337" s="4">
        <f t="shared" si="235"/>
        <v>0.89334463567658451</v>
      </c>
      <c r="X337" s="4">
        <f t="shared" si="235"/>
        <v>0.85254543874327005</v>
      </c>
      <c r="Y337" s="4">
        <f t="shared" si="235"/>
        <v>0.79921300652623883</v>
      </c>
      <c r="Z337" s="4">
        <f t="shared" si="235"/>
        <v>0.73204982249993378</v>
      </c>
      <c r="AA337" s="4">
        <f t="shared" si="235"/>
        <v>0.65145592958786691</v>
      </c>
      <c r="AB337" s="4">
        <f t="shared" si="235"/>
        <v>0.56032247880849573</v>
      </c>
      <c r="AC337" s="4">
        <f t="shared" si="235"/>
        <v>0.46411326873185343</v>
      </c>
      <c r="AD337" s="4">
        <f t="shared" si="235"/>
        <v>0.36979727595523937</v>
      </c>
      <c r="AE337" s="4">
        <f t="shared" si="235"/>
        <v>0.28393948637231203</v>
      </c>
      <c r="AF337" s="4">
        <f t="shared" si="235"/>
        <v>0.21097259161117732</v>
      </c>
      <c r="AG337" s="4">
        <f t="shared" si="235"/>
        <v>0.15253917653798199</v>
      </c>
      <c r="AH337" s="4">
        <f t="shared" si="235"/>
        <v>0.10795188737709993</v>
      </c>
      <c r="AI337" s="4">
        <f t="shared" si="235"/>
        <v>7.5176653938091809E-2</v>
      </c>
      <c r="AJ337" s="4">
        <f t="shared" si="235"/>
        <v>5.1742836177502194E-2</v>
      </c>
      <c r="AK337" s="4">
        <f t="shared" si="235"/>
        <v>3.5319190625345942E-2</v>
      </c>
      <c r="AL337" s="4">
        <f t="shared" si="235"/>
        <v>2.3969442072658165E-2</v>
      </c>
      <c r="AM337" s="4">
        <f t="shared" si="235"/>
        <v>1.6202243558389728E-2</v>
      </c>
      <c r="AN337" s="4">
        <f t="shared" si="235"/>
        <v>1.0922240564108399E-2</v>
      </c>
      <c r="AO337" s="4">
        <f t="shared" si="235"/>
        <v>7.3493212906090566E-3</v>
      </c>
      <c r="AP337" s="4">
        <f t="shared" si="235"/>
        <v>4.9390262185057265E-3</v>
      </c>
      <c r="AQ337" s="4">
        <f t="shared" si="235"/>
        <v>3.3164275492956197E-3</v>
      </c>
      <c r="AR337" s="4">
        <f t="shared" si="235"/>
        <v>2.2256362146679809E-3</v>
      </c>
    </row>
    <row r="338" spans="1:44" x14ac:dyDescent="0.25">
      <c r="A338" s="24" t="s">
        <v>79</v>
      </c>
      <c r="B338" s="45">
        <f>'Parameter Input'!$L$154</f>
        <v>0.06</v>
      </c>
      <c r="C338" s="46">
        <f>'Parameter Input'!$M$154</f>
        <v>0.06</v>
      </c>
      <c r="D338" s="1" t="s">
        <v>57</v>
      </c>
      <c r="L338" s="54">
        <f>'Parameter Input'!$O$154</f>
        <v>12</v>
      </c>
      <c r="M338" s="37">
        <v>0</v>
      </c>
      <c r="N338" s="37">
        <v>1</v>
      </c>
      <c r="O338" s="37">
        <f>'Parameter Input'!$P$154</f>
        <v>0.9</v>
      </c>
      <c r="P338" s="55">
        <f>'Parameter Input'!$Q$154</f>
        <v>0.4</v>
      </c>
      <c r="Q338" s="4">
        <f t="shared" si="235"/>
        <v>0.9867978615748374</v>
      </c>
      <c r="R338" s="4">
        <f t="shared" si="235"/>
        <v>0.98114509762858249</v>
      </c>
      <c r="S338" s="4">
        <f t="shared" si="235"/>
        <v>0.97311898315872036</v>
      </c>
      <c r="T338" s="4">
        <f t="shared" si="235"/>
        <v>0.96177484161592774</v>
      </c>
      <c r="U338" s="4">
        <f t="shared" si="235"/>
        <v>0.94584787155511363</v>
      </c>
      <c r="V338" s="4">
        <f t="shared" si="235"/>
        <v>0.92370360150141495</v>
      </c>
      <c r="W338" s="4">
        <f t="shared" si="235"/>
        <v>0.89334463567658451</v>
      </c>
      <c r="X338" s="4">
        <f t="shared" si="235"/>
        <v>0.85254543874327005</v>
      </c>
      <c r="Y338" s="4">
        <f t="shared" si="235"/>
        <v>0.79921300652623883</v>
      </c>
      <c r="Z338" s="4">
        <f t="shared" si="235"/>
        <v>0.73204982249993378</v>
      </c>
      <c r="AA338" s="4">
        <f t="shared" si="235"/>
        <v>0.65145592958786691</v>
      </c>
      <c r="AB338" s="4">
        <f t="shared" si="235"/>
        <v>0.56032247880849573</v>
      </c>
      <c r="AC338" s="4">
        <f t="shared" si="235"/>
        <v>0.46411326873185343</v>
      </c>
      <c r="AD338" s="4">
        <f t="shared" si="235"/>
        <v>0.36979727595523937</v>
      </c>
      <c r="AE338" s="4">
        <f t="shared" si="235"/>
        <v>0.28393948637231203</v>
      </c>
      <c r="AF338" s="4">
        <f t="shared" si="235"/>
        <v>0.21097259161117732</v>
      </c>
      <c r="AG338" s="4">
        <f t="shared" si="235"/>
        <v>0.15253917653798199</v>
      </c>
      <c r="AH338" s="4">
        <f t="shared" si="235"/>
        <v>0.10795188737709993</v>
      </c>
      <c r="AI338" s="4">
        <f t="shared" si="235"/>
        <v>7.5176653938091809E-2</v>
      </c>
      <c r="AJ338" s="4">
        <f t="shared" si="235"/>
        <v>5.1742836177502194E-2</v>
      </c>
      <c r="AK338" s="4">
        <f t="shared" si="235"/>
        <v>3.5319190625345942E-2</v>
      </c>
      <c r="AL338" s="4">
        <f t="shared" si="235"/>
        <v>2.3969442072658165E-2</v>
      </c>
      <c r="AM338" s="4">
        <f t="shared" si="235"/>
        <v>1.6202243558389728E-2</v>
      </c>
      <c r="AN338" s="4">
        <f t="shared" si="235"/>
        <v>1.0922240564108399E-2</v>
      </c>
      <c r="AO338" s="4">
        <f t="shared" si="235"/>
        <v>7.3493212906090566E-3</v>
      </c>
      <c r="AP338" s="4">
        <f t="shared" si="235"/>
        <v>4.9390262185057265E-3</v>
      </c>
      <c r="AQ338" s="4">
        <f t="shared" si="235"/>
        <v>3.3164275492956197E-3</v>
      </c>
      <c r="AR338" s="4">
        <f t="shared" si="235"/>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35"/>
        <v>0.9867978615748374</v>
      </c>
      <c r="R339" s="4">
        <f t="shared" si="235"/>
        <v>0.98114509762858249</v>
      </c>
      <c r="S339" s="4">
        <f t="shared" si="235"/>
        <v>0.97311898315872036</v>
      </c>
      <c r="T339" s="4">
        <f t="shared" si="235"/>
        <v>0.96177484161592774</v>
      </c>
      <c r="U339" s="4">
        <f t="shared" si="235"/>
        <v>0.94584787155511363</v>
      </c>
      <c r="V339" s="4">
        <f t="shared" si="235"/>
        <v>0.92370360150141495</v>
      </c>
      <c r="W339" s="4">
        <f t="shared" si="235"/>
        <v>0.89334463567658451</v>
      </c>
      <c r="X339" s="4">
        <f t="shared" si="235"/>
        <v>0.85254543874327005</v>
      </c>
      <c r="Y339" s="4">
        <f t="shared" si="235"/>
        <v>0.79921300652623883</v>
      </c>
      <c r="Z339" s="4">
        <f t="shared" si="235"/>
        <v>0.73204982249993378</v>
      </c>
      <c r="AA339" s="4">
        <f t="shared" si="235"/>
        <v>0.65145592958786691</v>
      </c>
      <c r="AB339" s="4">
        <f t="shared" si="235"/>
        <v>0.56032247880849573</v>
      </c>
      <c r="AC339" s="4">
        <f t="shared" si="235"/>
        <v>0.46411326873185343</v>
      </c>
      <c r="AD339" s="4">
        <f t="shared" si="235"/>
        <v>0.36979727595523937</v>
      </c>
      <c r="AE339" s="4">
        <f t="shared" si="235"/>
        <v>0.28393948637231203</v>
      </c>
      <c r="AF339" s="4">
        <f t="shared" si="235"/>
        <v>0.21097259161117732</v>
      </c>
      <c r="AG339" s="4">
        <f t="shared" si="235"/>
        <v>0.15253917653798199</v>
      </c>
      <c r="AH339" s="4">
        <f t="shared" si="235"/>
        <v>0.10795188737709993</v>
      </c>
      <c r="AI339" s="4">
        <f t="shared" si="235"/>
        <v>7.5176653938091809E-2</v>
      </c>
      <c r="AJ339" s="4">
        <f t="shared" si="235"/>
        <v>5.1742836177502194E-2</v>
      </c>
      <c r="AK339" s="4">
        <f t="shared" si="235"/>
        <v>3.5319190625345942E-2</v>
      </c>
      <c r="AL339" s="4">
        <f t="shared" si="235"/>
        <v>2.3969442072658165E-2</v>
      </c>
      <c r="AM339" s="4">
        <f t="shared" si="235"/>
        <v>1.6202243558389728E-2</v>
      </c>
      <c r="AN339" s="4">
        <f t="shared" si="235"/>
        <v>1.0922240564108399E-2</v>
      </c>
      <c r="AO339" s="4">
        <f t="shared" si="235"/>
        <v>7.3493212906090566E-3</v>
      </c>
      <c r="AP339" s="4">
        <f t="shared" si="235"/>
        <v>4.9390262185057265E-3</v>
      </c>
      <c r="AQ339" s="4">
        <f t="shared" si="235"/>
        <v>3.3164275492956197E-3</v>
      </c>
      <c r="AR339" s="4">
        <f t="shared" si="235"/>
        <v>2.2256362146679809E-3</v>
      </c>
    </row>
    <row r="340" spans="1:44" x14ac:dyDescent="0.25">
      <c r="A340" s="24" t="s">
        <v>52</v>
      </c>
      <c r="B340" s="43">
        <f>'Parameter Input'!$L$150</f>
        <v>1050000</v>
      </c>
      <c r="C340" s="44">
        <f>'Parameter Input'!$M$150</f>
        <v>1050000</v>
      </c>
      <c r="D340" s="1" t="s">
        <v>38</v>
      </c>
      <c r="L340" s="54">
        <f>'Parameter Input'!$O$150</f>
        <v>12</v>
      </c>
      <c r="M340" s="37">
        <v>0</v>
      </c>
      <c r="N340" s="37">
        <v>1</v>
      </c>
      <c r="O340" s="37">
        <f>'Parameter Input'!$P$150</f>
        <v>0.9</v>
      </c>
      <c r="P340" s="55">
        <f>'Parameter Input'!$Q$150</f>
        <v>0.4</v>
      </c>
      <c r="Q340" s="4">
        <f t="shared" si="235"/>
        <v>0.9867978615748374</v>
      </c>
      <c r="R340" s="4">
        <f t="shared" si="235"/>
        <v>0.98114509762858249</v>
      </c>
      <c r="S340" s="4">
        <f t="shared" si="235"/>
        <v>0.97311898315872036</v>
      </c>
      <c r="T340" s="4">
        <f t="shared" si="235"/>
        <v>0.96177484161592774</v>
      </c>
      <c r="U340" s="4">
        <f t="shared" si="235"/>
        <v>0.94584787155511363</v>
      </c>
      <c r="V340" s="4">
        <f t="shared" si="235"/>
        <v>0.92370360150141495</v>
      </c>
      <c r="W340" s="4">
        <f t="shared" si="235"/>
        <v>0.89334463567658451</v>
      </c>
      <c r="X340" s="4">
        <f t="shared" si="235"/>
        <v>0.85254543874327005</v>
      </c>
      <c r="Y340" s="4">
        <f t="shared" si="235"/>
        <v>0.79921300652623883</v>
      </c>
      <c r="Z340" s="4">
        <f t="shared" si="235"/>
        <v>0.73204982249993378</v>
      </c>
      <c r="AA340" s="4">
        <f t="shared" si="235"/>
        <v>0.65145592958786691</v>
      </c>
      <c r="AB340" s="4">
        <f t="shared" si="235"/>
        <v>0.56032247880849573</v>
      </c>
      <c r="AC340" s="4">
        <f t="shared" si="235"/>
        <v>0.46411326873185343</v>
      </c>
      <c r="AD340" s="4">
        <f t="shared" si="235"/>
        <v>0.36979727595523937</v>
      </c>
      <c r="AE340" s="4">
        <f t="shared" si="235"/>
        <v>0.28393948637231203</v>
      </c>
      <c r="AF340" s="4">
        <f t="shared" si="235"/>
        <v>0.21097259161117732</v>
      </c>
      <c r="AG340" s="4">
        <f t="shared" si="235"/>
        <v>0.15253917653798199</v>
      </c>
      <c r="AH340" s="4">
        <f t="shared" si="235"/>
        <v>0.10795188737709993</v>
      </c>
      <c r="AI340" s="4">
        <f t="shared" si="235"/>
        <v>7.5176653938091809E-2</v>
      </c>
      <c r="AJ340" s="4">
        <f t="shared" si="235"/>
        <v>5.1742836177502194E-2</v>
      </c>
      <c r="AK340" s="4">
        <f t="shared" si="235"/>
        <v>3.5319190625345942E-2</v>
      </c>
      <c r="AL340" s="4">
        <f t="shared" si="235"/>
        <v>2.3969442072658165E-2</v>
      </c>
      <c r="AM340" s="4">
        <f t="shared" si="235"/>
        <v>1.6202243558389728E-2</v>
      </c>
      <c r="AN340" s="4">
        <f t="shared" si="235"/>
        <v>1.0922240564108399E-2</v>
      </c>
      <c r="AO340" s="4">
        <f t="shared" si="235"/>
        <v>7.3493212906090566E-3</v>
      </c>
      <c r="AP340" s="4">
        <f t="shared" si="235"/>
        <v>4.9390262185057265E-3</v>
      </c>
      <c r="AQ340" s="4">
        <f t="shared" si="235"/>
        <v>3.3164275492956197E-3</v>
      </c>
      <c r="AR340" s="4">
        <f t="shared" si="235"/>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35"/>
        <v>0.9867978615748374</v>
      </c>
      <c r="R341" s="4">
        <f t="shared" si="235"/>
        <v>0.98114509762858249</v>
      </c>
      <c r="S341" s="4">
        <f t="shared" si="235"/>
        <v>0.97311898315872036</v>
      </c>
      <c r="T341" s="4">
        <f t="shared" si="235"/>
        <v>0.96177484161592774</v>
      </c>
      <c r="U341" s="4">
        <f t="shared" si="235"/>
        <v>0.94584787155511363</v>
      </c>
      <c r="V341" s="4">
        <f t="shared" si="235"/>
        <v>0.92370360150141495</v>
      </c>
      <c r="W341" s="4">
        <f t="shared" si="235"/>
        <v>0.89334463567658451</v>
      </c>
      <c r="X341" s="4">
        <f t="shared" si="235"/>
        <v>0.85254543874327005</v>
      </c>
      <c r="Y341" s="4">
        <f t="shared" si="235"/>
        <v>0.79921300652623883</v>
      </c>
      <c r="Z341" s="4">
        <f t="shared" si="235"/>
        <v>0.73204982249993378</v>
      </c>
      <c r="AA341" s="4">
        <f t="shared" si="235"/>
        <v>0.65145592958786691</v>
      </c>
      <c r="AB341" s="4">
        <f t="shared" si="235"/>
        <v>0.56032247880849573</v>
      </c>
      <c r="AC341" s="4">
        <f t="shared" si="235"/>
        <v>0.46411326873185343</v>
      </c>
      <c r="AD341" s="4">
        <f t="shared" si="235"/>
        <v>0.36979727595523937</v>
      </c>
      <c r="AE341" s="4">
        <f t="shared" si="235"/>
        <v>0.28393948637231203</v>
      </c>
      <c r="AF341" s="4">
        <f t="shared" si="235"/>
        <v>0.21097259161117732</v>
      </c>
      <c r="AG341" s="4">
        <f t="shared" si="235"/>
        <v>0.15253917653798199</v>
      </c>
      <c r="AH341" s="4">
        <f t="shared" si="235"/>
        <v>0.10795188737709993</v>
      </c>
      <c r="AI341" s="4">
        <f t="shared" si="235"/>
        <v>7.5176653938091809E-2</v>
      </c>
      <c r="AJ341" s="4">
        <f t="shared" si="235"/>
        <v>5.1742836177502194E-2</v>
      </c>
      <c r="AK341" s="4">
        <f t="shared" si="235"/>
        <v>3.5319190625345942E-2</v>
      </c>
      <c r="AL341" s="4">
        <f t="shared" si="235"/>
        <v>2.3969442072658165E-2</v>
      </c>
      <c r="AM341" s="4">
        <f t="shared" si="235"/>
        <v>1.6202243558389728E-2</v>
      </c>
      <c r="AN341" s="4">
        <f t="shared" si="235"/>
        <v>1.0922240564108399E-2</v>
      </c>
      <c r="AO341" s="4">
        <f t="shared" si="235"/>
        <v>7.3493212906090566E-3</v>
      </c>
      <c r="AP341" s="4">
        <f t="shared" si="235"/>
        <v>4.9390262185057265E-3</v>
      </c>
      <c r="AQ341" s="4">
        <f t="shared" si="235"/>
        <v>3.3164275492956197E-3</v>
      </c>
      <c r="AR341" s="4">
        <f t="shared" si="235"/>
        <v>2.2256362146679809E-3</v>
      </c>
    </row>
    <row r="342" spans="1:44" x14ac:dyDescent="0.25">
      <c r="A342" s="24" t="s">
        <v>59</v>
      </c>
      <c r="B342" s="47">
        <f>'Parameter Input'!$L$151</f>
        <v>76.777599999999993</v>
      </c>
      <c r="C342" s="48">
        <f>'Parameter Input'!$M$151</f>
        <v>76.777599999999993</v>
      </c>
      <c r="D342" s="1" t="s">
        <v>60</v>
      </c>
      <c r="L342" s="54">
        <f>'Parameter Input'!$O$151</f>
        <v>12</v>
      </c>
      <c r="M342" s="37">
        <v>0</v>
      </c>
      <c r="N342" s="37">
        <v>1</v>
      </c>
      <c r="O342" s="37">
        <f>'Parameter Input'!$P$151</f>
        <v>0.9</v>
      </c>
      <c r="P342" s="55">
        <f>'Parameter Input'!$Q$151</f>
        <v>0.4</v>
      </c>
      <c r="Q342" s="4">
        <f t="shared" si="235"/>
        <v>0.9867978615748374</v>
      </c>
      <c r="R342" s="4">
        <f t="shared" si="235"/>
        <v>0.98114509762858249</v>
      </c>
      <c r="S342" s="4">
        <f t="shared" si="235"/>
        <v>0.97311898315872036</v>
      </c>
      <c r="T342" s="4">
        <f t="shared" si="235"/>
        <v>0.96177484161592774</v>
      </c>
      <c r="U342" s="4">
        <f t="shared" si="235"/>
        <v>0.94584787155511363</v>
      </c>
      <c r="V342" s="4">
        <f t="shared" si="235"/>
        <v>0.92370360150141495</v>
      </c>
      <c r="W342" s="4">
        <f t="shared" si="235"/>
        <v>0.89334463567658451</v>
      </c>
      <c r="X342" s="4">
        <f t="shared" si="235"/>
        <v>0.85254543874327005</v>
      </c>
      <c r="Y342" s="4">
        <f t="shared" si="235"/>
        <v>0.79921300652623883</v>
      </c>
      <c r="Z342" s="4">
        <f t="shared" si="235"/>
        <v>0.73204982249993378</v>
      </c>
      <c r="AA342" s="4">
        <f t="shared" si="235"/>
        <v>0.65145592958786691</v>
      </c>
      <c r="AB342" s="4">
        <f t="shared" si="235"/>
        <v>0.56032247880849573</v>
      </c>
      <c r="AC342" s="4">
        <f t="shared" si="235"/>
        <v>0.46411326873185343</v>
      </c>
      <c r="AD342" s="4">
        <f t="shared" si="235"/>
        <v>0.36979727595523937</v>
      </c>
      <c r="AE342" s="4">
        <f t="shared" si="235"/>
        <v>0.28393948637231203</v>
      </c>
      <c r="AF342" s="4">
        <f t="shared" si="235"/>
        <v>0.21097259161117732</v>
      </c>
      <c r="AG342" s="4">
        <f t="shared" si="235"/>
        <v>0.15253917653798199</v>
      </c>
      <c r="AH342" s="4">
        <f t="shared" si="235"/>
        <v>0.10795188737709993</v>
      </c>
      <c r="AI342" s="4">
        <f t="shared" si="235"/>
        <v>7.5176653938091809E-2</v>
      </c>
      <c r="AJ342" s="4">
        <f t="shared" si="235"/>
        <v>5.1742836177502194E-2</v>
      </c>
      <c r="AK342" s="4">
        <f t="shared" si="235"/>
        <v>3.5319190625345942E-2</v>
      </c>
      <c r="AL342" s="4">
        <f t="shared" si="235"/>
        <v>2.3969442072658165E-2</v>
      </c>
      <c r="AM342" s="4">
        <f t="shared" si="235"/>
        <v>1.6202243558389728E-2</v>
      </c>
      <c r="AN342" s="4">
        <f t="shared" si="235"/>
        <v>1.0922240564108399E-2</v>
      </c>
      <c r="AO342" s="4">
        <f t="shared" si="235"/>
        <v>7.3493212906090566E-3</v>
      </c>
      <c r="AP342" s="4">
        <f t="shared" si="235"/>
        <v>4.9390262185057265E-3</v>
      </c>
      <c r="AQ342" s="4">
        <f t="shared" si="235"/>
        <v>3.3164275492956197E-3</v>
      </c>
      <c r="AR342" s="4">
        <f t="shared" si="235"/>
        <v>2.2256362146679809E-3</v>
      </c>
    </row>
    <row r="343" spans="1:44" x14ac:dyDescent="0.25">
      <c r="A343" s="24" t="s">
        <v>67</v>
      </c>
      <c r="B343" s="45">
        <f>'Parameter Input'!$L$152</f>
        <v>0.1</v>
      </c>
      <c r="C343" s="46">
        <f>'Parameter Input'!$M$152</f>
        <v>0.1</v>
      </c>
      <c r="D343" s="1" t="s">
        <v>68</v>
      </c>
      <c r="L343" s="54">
        <f>'Parameter Input'!$O$152</f>
        <v>12</v>
      </c>
      <c r="M343" s="37">
        <v>0</v>
      </c>
      <c r="N343" s="37">
        <v>1</v>
      </c>
      <c r="O343" s="37">
        <f>'Parameter Input'!$P$152</f>
        <v>0.9</v>
      </c>
      <c r="P343" s="55">
        <f>'Parameter Input'!$Q$152</f>
        <v>0.4</v>
      </c>
      <c r="Q343" s="4">
        <f t="shared" si="235"/>
        <v>0.9867978615748374</v>
      </c>
      <c r="R343" s="4">
        <f t="shared" ref="R343:AR343" si="236">$N343+($M343-$N343)*((1/(1+EXP(-$P343*(R$9-$L343)))^$O343))</f>
        <v>0.98114509762858249</v>
      </c>
      <c r="S343" s="4">
        <f t="shared" si="236"/>
        <v>0.97311898315872036</v>
      </c>
      <c r="T343" s="4">
        <f t="shared" si="236"/>
        <v>0.96177484161592774</v>
      </c>
      <c r="U343" s="4">
        <f t="shared" si="236"/>
        <v>0.94584787155511363</v>
      </c>
      <c r="V343" s="4">
        <f t="shared" si="236"/>
        <v>0.92370360150141495</v>
      </c>
      <c r="W343" s="4">
        <f t="shared" si="236"/>
        <v>0.89334463567658451</v>
      </c>
      <c r="X343" s="4">
        <f t="shared" si="236"/>
        <v>0.85254543874327005</v>
      </c>
      <c r="Y343" s="4">
        <f t="shared" si="236"/>
        <v>0.79921300652623883</v>
      </c>
      <c r="Z343" s="4">
        <f t="shared" si="236"/>
        <v>0.73204982249993378</v>
      </c>
      <c r="AA343" s="4">
        <f t="shared" si="236"/>
        <v>0.65145592958786691</v>
      </c>
      <c r="AB343" s="4">
        <f t="shared" si="236"/>
        <v>0.56032247880849573</v>
      </c>
      <c r="AC343" s="4">
        <f t="shared" si="236"/>
        <v>0.46411326873185343</v>
      </c>
      <c r="AD343" s="4">
        <f t="shared" si="236"/>
        <v>0.36979727595523937</v>
      </c>
      <c r="AE343" s="4">
        <f t="shared" si="236"/>
        <v>0.28393948637231203</v>
      </c>
      <c r="AF343" s="4">
        <f t="shared" si="236"/>
        <v>0.21097259161117732</v>
      </c>
      <c r="AG343" s="4">
        <f t="shared" si="236"/>
        <v>0.15253917653798199</v>
      </c>
      <c r="AH343" s="4">
        <f t="shared" si="236"/>
        <v>0.10795188737709993</v>
      </c>
      <c r="AI343" s="4">
        <f t="shared" si="236"/>
        <v>7.5176653938091809E-2</v>
      </c>
      <c r="AJ343" s="4">
        <f t="shared" si="236"/>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45">
        <f>'Parameter Input'!L155</f>
        <v>0</v>
      </c>
      <c r="C344" s="46">
        <f>'Parameter Input'!M155</f>
        <v>0</v>
      </c>
      <c r="D344" s="1"/>
      <c r="L344" s="54">
        <f>'Parameter Input'!O155</f>
        <v>17</v>
      </c>
      <c r="M344" s="37">
        <v>0</v>
      </c>
      <c r="N344" s="37">
        <v>1</v>
      </c>
      <c r="O344" s="37">
        <f>'Parameter Input'!P155</f>
        <v>0.9</v>
      </c>
      <c r="P344" s="55">
        <f>'Parameter Input'!Q155</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43">
        <f>'Parameter Input'!$L$149</f>
        <v>20</v>
      </c>
      <c r="C345" s="44">
        <f>'Parameter Input'!$M$149</f>
        <v>20</v>
      </c>
      <c r="D345" s="1" t="s">
        <v>42</v>
      </c>
      <c r="L345" s="54">
        <f>'Parameter Input'!$O$149</f>
        <v>12</v>
      </c>
      <c r="M345" s="37">
        <v>0</v>
      </c>
      <c r="N345" s="37">
        <v>1</v>
      </c>
      <c r="O345" s="37">
        <f>'Parameter Input'!$P$149</f>
        <v>0.9</v>
      </c>
      <c r="P345" s="55">
        <f>'Parameter Input'!$Q$149</f>
        <v>0.4</v>
      </c>
      <c r="Q345" s="4">
        <f t="shared" ref="Q345:AF350" si="238">$N345+($M345-$N345)*((1/(1+EXP(-$P345*(Q$9-$L345)))^$O345))</f>
        <v>0.9867978615748374</v>
      </c>
      <c r="R345" s="4">
        <f t="shared" si="238"/>
        <v>0.98114509762858249</v>
      </c>
      <c r="S345" s="4">
        <f t="shared" si="238"/>
        <v>0.97311898315872036</v>
      </c>
      <c r="T345" s="4">
        <f t="shared" si="238"/>
        <v>0.96177484161592774</v>
      </c>
      <c r="U345" s="4">
        <f t="shared" si="238"/>
        <v>0.94584787155511363</v>
      </c>
      <c r="V345" s="4">
        <f t="shared" si="238"/>
        <v>0.92370360150141495</v>
      </c>
      <c r="W345" s="4">
        <f t="shared" si="238"/>
        <v>0.89334463567658451</v>
      </c>
      <c r="X345" s="4">
        <f t="shared" si="238"/>
        <v>0.85254543874327005</v>
      </c>
      <c r="Y345" s="4">
        <f t="shared" si="238"/>
        <v>0.79921300652623883</v>
      </c>
      <c r="Z345" s="4">
        <f t="shared" si="238"/>
        <v>0.73204982249993378</v>
      </c>
      <c r="AA345" s="4">
        <f t="shared" si="238"/>
        <v>0.65145592958786691</v>
      </c>
      <c r="AB345" s="4">
        <f t="shared" si="238"/>
        <v>0.56032247880849573</v>
      </c>
      <c r="AC345" s="4">
        <f t="shared" si="238"/>
        <v>0.46411326873185343</v>
      </c>
      <c r="AD345" s="4">
        <f t="shared" si="238"/>
        <v>0.36979727595523937</v>
      </c>
      <c r="AE345" s="4">
        <f t="shared" si="238"/>
        <v>0.28393948637231203</v>
      </c>
      <c r="AF345" s="4">
        <f t="shared" si="238"/>
        <v>0.21097259161117732</v>
      </c>
      <c r="AG345" s="4">
        <f t="shared" ref="AG345:AI350" si="239">$N345+($M345-$N345)*((1/(1+EXP(-$P345*(AG$9-$L345)))^$O345))</f>
        <v>0.15253917653798199</v>
      </c>
      <c r="AH345" s="4">
        <f t="shared" si="239"/>
        <v>0.10795188737709993</v>
      </c>
      <c r="AI345" s="4">
        <f t="shared" si="239"/>
        <v>7.5176653938091809E-2</v>
      </c>
      <c r="AJ345" s="4">
        <f t="shared" ref="AJ345:AR350" si="240">$N345+($M345-$N345)*((1/(1+EXP(-$P345*(AJ$9-$L345)))^$O345))</f>
        <v>5.1742836177502194E-2</v>
      </c>
      <c r="AK345" s="4">
        <f t="shared" si="240"/>
        <v>3.5319190625345942E-2</v>
      </c>
      <c r="AL345" s="4">
        <f t="shared" si="240"/>
        <v>2.3969442072658165E-2</v>
      </c>
      <c r="AM345" s="4">
        <f t="shared" si="240"/>
        <v>1.6202243558389728E-2</v>
      </c>
      <c r="AN345" s="4">
        <f t="shared" si="240"/>
        <v>1.0922240564108399E-2</v>
      </c>
      <c r="AO345" s="4">
        <f t="shared" si="240"/>
        <v>7.3493212906090566E-3</v>
      </c>
      <c r="AP345" s="4">
        <f t="shared" si="240"/>
        <v>4.9390262185057265E-3</v>
      </c>
      <c r="AQ345" s="4">
        <f t="shared" si="240"/>
        <v>3.3164275492956197E-3</v>
      </c>
      <c r="AR345" s="4">
        <f t="shared" si="240"/>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9"/>
        <v>0.15253917653798199</v>
      </c>
      <c r="AH346" s="4">
        <f t="shared" si="239"/>
        <v>0.10795188737709993</v>
      </c>
      <c r="AI346" s="4">
        <f t="shared" si="239"/>
        <v>7.5176653938091809E-2</v>
      </c>
      <c r="AJ346" s="4">
        <f t="shared" si="240"/>
        <v>5.1742836177502194E-2</v>
      </c>
      <c r="AK346" s="4">
        <f t="shared" si="240"/>
        <v>3.5319190625345942E-2</v>
      </c>
      <c r="AL346" s="4">
        <f t="shared" si="240"/>
        <v>2.3969442072658165E-2</v>
      </c>
      <c r="AM346" s="4">
        <f t="shared" si="240"/>
        <v>1.6202243558389728E-2</v>
      </c>
      <c r="AN346" s="4">
        <f t="shared" si="240"/>
        <v>1.0922240564108399E-2</v>
      </c>
      <c r="AO346" s="4">
        <f t="shared" si="240"/>
        <v>7.3493212906090566E-3</v>
      </c>
      <c r="AP346" s="4">
        <f t="shared" si="240"/>
        <v>4.9390262185057265E-3</v>
      </c>
      <c r="AQ346" s="4">
        <f t="shared" si="240"/>
        <v>3.3164275492956197E-3</v>
      </c>
      <c r="AR346" s="4">
        <f t="shared" si="240"/>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9"/>
        <v>0.15253917653798199</v>
      </c>
      <c r="AH347" s="4">
        <f t="shared" si="239"/>
        <v>0.10795188737709993</v>
      </c>
      <c r="AI347" s="4">
        <f t="shared" si="239"/>
        <v>7.5176653938091809E-2</v>
      </c>
      <c r="AJ347" s="4">
        <f t="shared" si="240"/>
        <v>5.1742836177502194E-2</v>
      </c>
      <c r="AK347" s="4">
        <f t="shared" si="240"/>
        <v>3.5319190625345942E-2</v>
      </c>
      <c r="AL347" s="4">
        <f t="shared" si="240"/>
        <v>2.3969442072658165E-2</v>
      </c>
      <c r="AM347" s="4">
        <f t="shared" si="240"/>
        <v>1.6202243558389728E-2</v>
      </c>
      <c r="AN347" s="4">
        <f t="shared" si="240"/>
        <v>1.0922240564108399E-2</v>
      </c>
      <c r="AO347" s="4">
        <f t="shared" si="240"/>
        <v>7.3493212906090566E-3</v>
      </c>
      <c r="AP347" s="4">
        <f t="shared" si="240"/>
        <v>4.9390262185057265E-3</v>
      </c>
      <c r="AQ347" s="4">
        <f t="shared" si="240"/>
        <v>3.3164275492956197E-3</v>
      </c>
      <c r="AR347" s="4">
        <f t="shared" si="240"/>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9"/>
        <v>0.15253917653798199</v>
      </c>
      <c r="AH348" s="4">
        <f t="shared" si="239"/>
        <v>0.10795188737709993</v>
      </c>
      <c r="AI348" s="4">
        <f t="shared" si="239"/>
        <v>7.5176653938091809E-2</v>
      </c>
      <c r="AJ348" s="4">
        <f t="shared" si="240"/>
        <v>5.1742836177502194E-2</v>
      </c>
      <c r="AK348" s="4">
        <f t="shared" si="240"/>
        <v>3.5319190625345942E-2</v>
      </c>
      <c r="AL348" s="4">
        <f t="shared" si="240"/>
        <v>2.3969442072658165E-2</v>
      </c>
      <c r="AM348" s="4">
        <f t="shared" si="240"/>
        <v>1.6202243558389728E-2</v>
      </c>
      <c r="AN348" s="4">
        <f t="shared" si="240"/>
        <v>1.0922240564108399E-2</v>
      </c>
      <c r="AO348" s="4">
        <f t="shared" si="240"/>
        <v>7.3493212906090566E-3</v>
      </c>
      <c r="AP348" s="4">
        <f t="shared" si="240"/>
        <v>4.9390262185057265E-3</v>
      </c>
      <c r="AQ348" s="4">
        <f t="shared" si="240"/>
        <v>3.3164275492956197E-3</v>
      </c>
      <c r="AR348" s="4">
        <f t="shared" si="240"/>
        <v>2.2256362146679809E-3</v>
      </c>
    </row>
    <row r="349" spans="1:44" x14ac:dyDescent="0.25">
      <c r="A349" s="24" t="s">
        <v>73</v>
      </c>
      <c r="B349" s="72">
        <f>'Parameter Input'!$L$153</f>
        <v>0</v>
      </c>
      <c r="C349" s="73">
        <f>'Parameter Input'!$M$153</f>
        <v>0</v>
      </c>
      <c r="D349" s="1" t="s">
        <v>57</v>
      </c>
      <c r="L349" s="54">
        <f>'Parameter Input'!$O$153</f>
        <v>12</v>
      </c>
      <c r="M349" s="37">
        <v>0</v>
      </c>
      <c r="N349" s="37">
        <v>1</v>
      </c>
      <c r="O349" s="37">
        <f>'Parameter Input'!$P$153</f>
        <v>0.9</v>
      </c>
      <c r="P349" s="55">
        <f>'Parameter Input'!$Q$153</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9"/>
        <v>0.15253917653798199</v>
      </c>
      <c r="AH349" s="4">
        <f t="shared" si="239"/>
        <v>0.10795188737709993</v>
      </c>
      <c r="AI349" s="4">
        <f t="shared" si="239"/>
        <v>7.5176653938091809E-2</v>
      </c>
      <c r="AJ349" s="4">
        <f t="shared" si="240"/>
        <v>5.1742836177502194E-2</v>
      </c>
      <c r="AK349" s="4">
        <f t="shared" si="240"/>
        <v>3.5319190625345942E-2</v>
      </c>
      <c r="AL349" s="4">
        <f t="shared" si="240"/>
        <v>2.3969442072658165E-2</v>
      </c>
      <c r="AM349" s="4">
        <f t="shared" si="240"/>
        <v>1.6202243558389728E-2</v>
      </c>
      <c r="AN349" s="4">
        <f t="shared" si="240"/>
        <v>1.0922240564108399E-2</v>
      </c>
      <c r="AO349" s="4">
        <f t="shared" si="240"/>
        <v>7.3493212906090566E-3</v>
      </c>
      <c r="AP349" s="4">
        <f t="shared" si="240"/>
        <v>4.9390262185057265E-3</v>
      </c>
      <c r="AQ349" s="4">
        <f t="shared" si="240"/>
        <v>3.3164275492956197E-3</v>
      </c>
      <c r="AR349" s="4">
        <f t="shared" si="240"/>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9"/>
        <v>0.15253917653798199</v>
      </c>
      <c r="AH350" s="4">
        <f t="shared" si="239"/>
        <v>0.10795188737709993</v>
      </c>
      <c r="AI350" s="4">
        <f t="shared" si="239"/>
        <v>7.5176653938091809E-2</v>
      </c>
      <c r="AJ350" s="4">
        <f t="shared" si="240"/>
        <v>5.1742836177502194E-2</v>
      </c>
      <c r="AK350" s="4">
        <f t="shared" si="240"/>
        <v>3.5319190625345942E-2</v>
      </c>
      <c r="AL350" s="4">
        <f t="shared" si="240"/>
        <v>2.3969442072658165E-2</v>
      </c>
      <c r="AM350" s="4">
        <f t="shared" si="240"/>
        <v>1.6202243558389728E-2</v>
      </c>
      <c r="AN350" s="4">
        <f t="shared" si="240"/>
        <v>1.0922240564108399E-2</v>
      </c>
      <c r="AO350" s="4">
        <f t="shared" si="240"/>
        <v>7.3493212906090566E-3</v>
      </c>
      <c r="AP350" s="4">
        <f t="shared" si="240"/>
        <v>4.9390262185057265E-3</v>
      </c>
      <c r="AQ350" s="4">
        <f t="shared" si="240"/>
        <v>3.3164275492956197E-3</v>
      </c>
      <c r="AR350" s="4">
        <f t="shared" si="240"/>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1">A334</f>
        <v>Capex vehicle</v>
      </c>
      <c r="B354" s="62">
        <f t="shared" ref="B354:B362" si="242">$B334+($C334-$B334)*(1-Q334)</f>
        <v>3500000</v>
      </c>
      <c r="C354" s="62">
        <f t="shared" ref="C354:C362" si="243">$B334+($C334-$B334)*(1-R334)</f>
        <v>3500000</v>
      </c>
      <c r="D354" s="62">
        <f t="shared" ref="D354:D362" si="244">$B334+($C334-$B334)*(1-S334)</f>
        <v>3500000</v>
      </c>
      <c r="E354" s="62">
        <f t="shared" ref="E354:E362" si="245">$B334+($C334-$B334)*(1-T334)</f>
        <v>3500000</v>
      </c>
      <c r="F354" s="62">
        <f t="shared" ref="F354:F362" si="246">$B334+($C334-$B334)*(1-U334)</f>
        <v>3500000</v>
      </c>
      <c r="G354" s="62">
        <f t="shared" ref="G354:G362" si="247">$B334+($C334-$B334)*(1-V334)</f>
        <v>3500000</v>
      </c>
      <c r="H354" s="62">
        <f t="shared" ref="H354:H362" si="248">$B334+($C334-$B334)*(1-W334)</f>
        <v>3500000</v>
      </c>
      <c r="I354" s="62">
        <f t="shared" ref="I354:I362" si="249">$B334+($C334-$B334)*(1-X334)</f>
        <v>3500000</v>
      </c>
      <c r="J354" s="62">
        <f t="shared" ref="J354:J362" si="250">$B334+($C334-$B334)*(1-Y334)</f>
        <v>3500000</v>
      </c>
      <c r="K354" s="62">
        <f t="shared" ref="K354:K362" si="251">$B334+($C334-$B334)*(1-Z334)</f>
        <v>3500000</v>
      </c>
      <c r="L354" s="62">
        <f t="shared" ref="L354:L362" si="252">$B334+($C334-$B334)*(1-AA334)</f>
        <v>3500000</v>
      </c>
      <c r="M354" s="62">
        <f t="shared" ref="M354:M362" si="253">$B334+($C334-$B334)*(1-AB334)</f>
        <v>3500000</v>
      </c>
      <c r="N354" s="62">
        <f t="shared" ref="N354:N362" si="254">$B334+($C334-$B334)*(1-AC334)</f>
        <v>3500000</v>
      </c>
      <c r="O354" s="62">
        <f t="shared" ref="O354:O362" si="255">$B334+($C334-$B334)*(1-AD334)</f>
        <v>3500000</v>
      </c>
      <c r="P354" s="62">
        <f t="shared" ref="P354:P362" si="256">$B334+($C334-$B334)*(1-AE334)</f>
        <v>3500000</v>
      </c>
      <c r="Q354" s="62">
        <f t="shared" ref="Q354:Q362" si="257">$B334+($C334-$B334)*(1-AF334)</f>
        <v>3500000</v>
      </c>
      <c r="R354" s="62">
        <f t="shared" ref="R354:R362" si="258">$B334+($C334-$B334)*(1-AG334)</f>
        <v>3500000</v>
      </c>
      <c r="S354" s="62">
        <f t="shared" ref="S354:S362" si="259">$B334+($C334-$B334)*(1-AH334)</f>
        <v>3500000</v>
      </c>
      <c r="T354" s="62">
        <f t="shared" ref="T354:T362" si="260">$B334+($C334-$B334)*(1-AI334)</f>
        <v>3500000</v>
      </c>
      <c r="U354" s="62">
        <f t="shared" ref="U354:U362" si="261">$B334+($C334-$B334)*(1-AJ334)</f>
        <v>3500000</v>
      </c>
      <c r="V354" s="62">
        <f t="shared" ref="V354:V362" si="262">$B334+($C334-$B334)*(1-AK334)</f>
        <v>3500000</v>
      </c>
      <c r="W354" s="62">
        <f t="shared" ref="W354:W362" si="263">$B334+($C334-$B334)*(1-AL334)</f>
        <v>3500000</v>
      </c>
      <c r="X354" s="62">
        <f t="shared" ref="X354:X362" si="264">$B334+($C334-$B334)*(1-AM334)</f>
        <v>3500000</v>
      </c>
      <c r="Y354" s="62">
        <f t="shared" ref="Y354:Y362" si="265">$B334+($C334-$B334)*(1-AN334)</f>
        <v>3500000</v>
      </c>
      <c r="Z354" s="62">
        <f t="shared" ref="Z354:Z362" si="266">$B334+($C334-$B334)*(1-AO334)</f>
        <v>3500000</v>
      </c>
      <c r="AA354" s="62">
        <f t="shared" ref="AA354:AA362" si="267">$B334+($C334-$B334)*(1-AP334)</f>
        <v>3500000</v>
      </c>
      <c r="AB354" s="62">
        <f t="shared" ref="AB354:AB362" si="268">$B334+($C334-$B334)*(1-AQ334)</f>
        <v>3500000</v>
      </c>
      <c r="AC354" s="62">
        <f t="shared" ref="AC354:AC362" si="269">$B334+($C334-$B334)*(1-AR334)</f>
        <v>3500000</v>
      </c>
    </row>
    <row r="355" spans="1:29" x14ac:dyDescent="0.25">
      <c r="A355" s="30" t="str">
        <f t="shared" si="241"/>
        <v>Residual value (vehicle)</v>
      </c>
      <c r="B355" s="62">
        <f t="shared" si="242"/>
        <v>-520379.25155119307</v>
      </c>
      <c r="C355" s="62">
        <f t="shared" si="243"/>
        <v>-518400.78417000384</v>
      </c>
      <c r="D355" s="62">
        <f t="shared" si="244"/>
        <v>-515591.64410555211</v>
      </c>
      <c r="E355" s="62">
        <f t="shared" si="245"/>
        <v>-511621.1945655747</v>
      </c>
      <c r="F355" s="62">
        <f t="shared" si="246"/>
        <v>-506046.75504428975</v>
      </c>
      <c r="G355" s="62">
        <f t="shared" si="247"/>
        <v>-498296.26052549522</v>
      </c>
      <c r="H355" s="62">
        <f t="shared" si="248"/>
        <v>-487670.62248680455</v>
      </c>
      <c r="I355" s="62">
        <f t="shared" si="249"/>
        <v>-473390.90356014454</v>
      </c>
      <c r="J355" s="62">
        <f t="shared" si="250"/>
        <v>-454724.55228418356</v>
      </c>
      <c r="K355" s="62">
        <f t="shared" si="251"/>
        <v>-431217.43787497684</v>
      </c>
      <c r="L355" s="62">
        <f t="shared" si="252"/>
        <v>-403009.57535575342</v>
      </c>
      <c r="M355" s="62">
        <f t="shared" si="253"/>
        <v>-371112.8675829735</v>
      </c>
      <c r="N355" s="62">
        <f t="shared" si="254"/>
        <v>-337439.64405614871</v>
      </c>
      <c r="O355" s="62">
        <f t="shared" si="255"/>
        <v>-304429.04658433376</v>
      </c>
      <c r="P355" s="62">
        <f t="shared" si="256"/>
        <v>-274378.82023030921</v>
      </c>
      <c r="Q355" s="62">
        <f t="shared" si="257"/>
        <v>-248840.40706391208</v>
      </c>
      <c r="R355" s="62">
        <f t="shared" si="258"/>
        <v>-228388.71178829367</v>
      </c>
      <c r="S355" s="62">
        <f t="shared" si="259"/>
        <v>-212783.16058198496</v>
      </c>
      <c r="T355" s="62">
        <f t="shared" si="260"/>
        <v>-201311.8288783321</v>
      </c>
      <c r="U355" s="62">
        <f t="shared" si="261"/>
        <v>-193109.99266212579</v>
      </c>
      <c r="V355" s="62">
        <f t="shared" si="262"/>
        <v>-187361.71671887109</v>
      </c>
      <c r="W355" s="62">
        <f t="shared" si="263"/>
        <v>-183389.30472543038</v>
      </c>
      <c r="X355" s="62">
        <f t="shared" si="264"/>
        <v>-180670.78524543642</v>
      </c>
      <c r="Y355" s="62">
        <f t="shared" si="265"/>
        <v>-178822.78419743793</v>
      </c>
      <c r="Z355" s="62">
        <f t="shared" si="266"/>
        <v>-177572.26245171315</v>
      </c>
      <c r="AA355" s="62">
        <f t="shared" si="267"/>
        <v>-176728.659176477</v>
      </c>
      <c r="AB355" s="62">
        <f t="shared" si="268"/>
        <v>-176160.74964225345</v>
      </c>
      <c r="AC355" s="62">
        <f t="shared" si="269"/>
        <v>-175778.97267513379</v>
      </c>
    </row>
    <row r="356" spans="1:29" x14ac:dyDescent="0.25">
      <c r="A356" s="30" t="str">
        <f t="shared" si="241"/>
        <v>Capex costumization</v>
      </c>
      <c r="B356" s="62">
        <f t="shared" si="242"/>
        <v>4200000</v>
      </c>
      <c r="C356" s="62">
        <f t="shared" si="243"/>
        <v>4200000</v>
      </c>
      <c r="D356" s="62">
        <f t="shared" si="244"/>
        <v>4200000</v>
      </c>
      <c r="E356" s="62">
        <f t="shared" si="245"/>
        <v>4200000</v>
      </c>
      <c r="F356" s="62">
        <f t="shared" si="246"/>
        <v>4200000</v>
      </c>
      <c r="G356" s="62">
        <f t="shared" si="247"/>
        <v>4200000</v>
      </c>
      <c r="H356" s="62">
        <f t="shared" si="248"/>
        <v>4200000</v>
      </c>
      <c r="I356" s="62">
        <f t="shared" si="249"/>
        <v>4200000</v>
      </c>
      <c r="J356" s="62">
        <f t="shared" si="250"/>
        <v>4200000</v>
      </c>
      <c r="K356" s="62">
        <f t="shared" si="251"/>
        <v>4200000</v>
      </c>
      <c r="L356" s="62">
        <f t="shared" si="252"/>
        <v>4200000</v>
      </c>
      <c r="M356" s="62">
        <f t="shared" si="253"/>
        <v>4200000</v>
      </c>
      <c r="N356" s="62">
        <f t="shared" si="254"/>
        <v>4200000</v>
      </c>
      <c r="O356" s="62">
        <f t="shared" si="255"/>
        <v>4200000</v>
      </c>
      <c r="P356" s="62">
        <f t="shared" si="256"/>
        <v>4200000</v>
      </c>
      <c r="Q356" s="62">
        <f t="shared" si="257"/>
        <v>4200000</v>
      </c>
      <c r="R356" s="62">
        <f t="shared" si="258"/>
        <v>4200000</v>
      </c>
      <c r="S356" s="62">
        <f t="shared" si="259"/>
        <v>4200000</v>
      </c>
      <c r="T356" s="62">
        <f t="shared" si="260"/>
        <v>4200000</v>
      </c>
      <c r="U356" s="62">
        <f t="shared" si="261"/>
        <v>4200000</v>
      </c>
      <c r="V356" s="62">
        <f t="shared" si="262"/>
        <v>4200000</v>
      </c>
      <c r="W356" s="62">
        <f t="shared" si="263"/>
        <v>4200000</v>
      </c>
      <c r="X356" s="62">
        <f t="shared" si="264"/>
        <v>4200000</v>
      </c>
      <c r="Y356" s="62">
        <f t="shared" si="265"/>
        <v>4200000</v>
      </c>
      <c r="Z356" s="62">
        <f t="shared" si="266"/>
        <v>4200000</v>
      </c>
      <c r="AA356" s="62">
        <f t="shared" si="267"/>
        <v>4200000</v>
      </c>
      <c r="AB356" s="62">
        <f t="shared" si="268"/>
        <v>4200000</v>
      </c>
      <c r="AC356" s="62">
        <f t="shared" si="269"/>
        <v>4200000</v>
      </c>
    </row>
    <row r="357" spans="1:29" x14ac:dyDescent="0.25">
      <c r="A357" s="30" t="str">
        <f t="shared" si="241"/>
        <v>Residual value (costumization)</v>
      </c>
      <c r="B357" s="62">
        <f t="shared" si="242"/>
        <v>-210000</v>
      </c>
      <c r="C357" s="62">
        <f t="shared" si="243"/>
        <v>-210000</v>
      </c>
      <c r="D357" s="62">
        <f t="shared" si="244"/>
        <v>-210000</v>
      </c>
      <c r="E357" s="62">
        <f t="shared" si="245"/>
        <v>-210000</v>
      </c>
      <c r="F357" s="62">
        <f t="shared" si="246"/>
        <v>-210000</v>
      </c>
      <c r="G357" s="62">
        <f t="shared" si="247"/>
        <v>-210000</v>
      </c>
      <c r="H357" s="62">
        <f t="shared" si="248"/>
        <v>-210000</v>
      </c>
      <c r="I357" s="62">
        <f t="shared" si="249"/>
        <v>-210000</v>
      </c>
      <c r="J357" s="62">
        <f t="shared" si="250"/>
        <v>-210000</v>
      </c>
      <c r="K357" s="62">
        <f t="shared" si="251"/>
        <v>-210000</v>
      </c>
      <c r="L357" s="62">
        <f t="shared" si="252"/>
        <v>-210000</v>
      </c>
      <c r="M357" s="62">
        <f t="shared" si="253"/>
        <v>-210000</v>
      </c>
      <c r="N357" s="62">
        <f t="shared" si="254"/>
        <v>-210000</v>
      </c>
      <c r="O357" s="62">
        <f t="shared" si="255"/>
        <v>-210000</v>
      </c>
      <c r="P357" s="62">
        <f t="shared" si="256"/>
        <v>-210000</v>
      </c>
      <c r="Q357" s="62">
        <f t="shared" si="257"/>
        <v>-210000</v>
      </c>
      <c r="R357" s="62">
        <f t="shared" si="258"/>
        <v>-210000</v>
      </c>
      <c r="S357" s="62">
        <f t="shared" si="259"/>
        <v>-210000</v>
      </c>
      <c r="T357" s="62">
        <f t="shared" si="260"/>
        <v>-210000</v>
      </c>
      <c r="U357" s="62">
        <f t="shared" si="261"/>
        <v>-210000</v>
      </c>
      <c r="V357" s="62">
        <f t="shared" si="262"/>
        <v>-210000</v>
      </c>
      <c r="W357" s="62">
        <f t="shared" si="263"/>
        <v>-210000</v>
      </c>
      <c r="X357" s="62">
        <f t="shared" si="264"/>
        <v>-210000</v>
      </c>
      <c r="Y357" s="62">
        <f t="shared" si="265"/>
        <v>-210000</v>
      </c>
      <c r="Z357" s="62">
        <f t="shared" si="266"/>
        <v>-210000</v>
      </c>
      <c r="AA357" s="62">
        <f t="shared" si="267"/>
        <v>-210000</v>
      </c>
      <c r="AB357" s="62">
        <f t="shared" si="268"/>
        <v>-210000</v>
      </c>
      <c r="AC357" s="62">
        <f t="shared" si="269"/>
        <v>-210000</v>
      </c>
    </row>
    <row r="358" spans="1:29" x14ac:dyDescent="0.25">
      <c r="A358" s="30" t="str">
        <f t="shared" si="241"/>
        <v>WACC</v>
      </c>
      <c r="B358" s="62">
        <f t="shared" si="242"/>
        <v>0.06</v>
      </c>
      <c r="C358" s="62">
        <f t="shared" si="243"/>
        <v>0.06</v>
      </c>
      <c r="D358" s="62">
        <f t="shared" si="244"/>
        <v>0.06</v>
      </c>
      <c r="E358" s="62">
        <f t="shared" si="245"/>
        <v>0.06</v>
      </c>
      <c r="F358" s="62">
        <f t="shared" si="246"/>
        <v>0.06</v>
      </c>
      <c r="G358" s="62">
        <f t="shared" si="247"/>
        <v>0.06</v>
      </c>
      <c r="H358" s="62">
        <f t="shared" si="248"/>
        <v>0.06</v>
      </c>
      <c r="I358" s="62">
        <f t="shared" si="249"/>
        <v>0.06</v>
      </c>
      <c r="J358" s="62">
        <f t="shared" si="250"/>
        <v>0.06</v>
      </c>
      <c r="K358" s="62">
        <f t="shared" si="251"/>
        <v>0.06</v>
      </c>
      <c r="L358" s="62">
        <f t="shared" si="252"/>
        <v>0.06</v>
      </c>
      <c r="M358" s="62">
        <f t="shared" si="253"/>
        <v>0.06</v>
      </c>
      <c r="N358" s="62">
        <f t="shared" si="254"/>
        <v>0.06</v>
      </c>
      <c r="O358" s="62">
        <f t="shared" si="255"/>
        <v>0.06</v>
      </c>
      <c r="P358" s="62">
        <f t="shared" si="256"/>
        <v>0.06</v>
      </c>
      <c r="Q358" s="62">
        <f t="shared" si="257"/>
        <v>0.06</v>
      </c>
      <c r="R358" s="62">
        <f t="shared" si="258"/>
        <v>0.06</v>
      </c>
      <c r="S358" s="62">
        <f t="shared" si="259"/>
        <v>0.06</v>
      </c>
      <c r="T358" s="62">
        <f t="shared" si="260"/>
        <v>0.06</v>
      </c>
      <c r="U358" s="62">
        <f t="shared" si="261"/>
        <v>0.06</v>
      </c>
      <c r="V358" s="62">
        <f t="shared" si="262"/>
        <v>0.06</v>
      </c>
      <c r="W358" s="62">
        <f t="shared" si="263"/>
        <v>0.06</v>
      </c>
      <c r="X358" s="62">
        <f t="shared" si="264"/>
        <v>0.06</v>
      </c>
      <c r="Y358" s="62">
        <f t="shared" si="265"/>
        <v>0.06</v>
      </c>
      <c r="Z358" s="62">
        <f t="shared" si="266"/>
        <v>0.06</v>
      </c>
      <c r="AA358" s="62">
        <f t="shared" si="267"/>
        <v>0.06</v>
      </c>
      <c r="AB358" s="62">
        <f t="shared" si="268"/>
        <v>0.06</v>
      </c>
      <c r="AC358" s="62">
        <f t="shared" si="269"/>
        <v>0.06</v>
      </c>
    </row>
    <row r="359" spans="1:29" x14ac:dyDescent="0.25">
      <c r="A359" s="30" t="str">
        <f t="shared" si="241"/>
        <v>Opex fix (admin, crew, insurance)</v>
      </c>
      <c r="B359" s="62">
        <f t="shared" si="242"/>
        <v>1450000</v>
      </c>
      <c r="C359" s="62">
        <f t="shared" si="243"/>
        <v>1450000</v>
      </c>
      <c r="D359" s="62">
        <f t="shared" si="244"/>
        <v>1450000</v>
      </c>
      <c r="E359" s="62">
        <f t="shared" si="245"/>
        <v>1450000</v>
      </c>
      <c r="F359" s="62">
        <f t="shared" si="246"/>
        <v>1450000</v>
      </c>
      <c r="G359" s="62">
        <f t="shared" si="247"/>
        <v>1450000</v>
      </c>
      <c r="H359" s="62">
        <f t="shared" si="248"/>
        <v>1450000</v>
      </c>
      <c r="I359" s="62">
        <f t="shared" si="249"/>
        <v>1450000</v>
      </c>
      <c r="J359" s="62">
        <f t="shared" si="250"/>
        <v>1450000</v>
      </c>
      <c r="K359" s="62">
        <f t="shared" si="251"/>
        <v>1450000</v>
      </c>
      <c r="L359" s="62">
        <f t="shared" si="252"/>
        <v>1450000</v>
      </c>
      <c r="M359" s="62">
        <f t="shared" si="253"/>
        <v>1450000</v>
      </c>
      <c r="N359" s="62">
        <f t="shared" si="254"/>
        <v>1450000</v>
      </c>
      <c r="O359" s="62">
        <f t="shared" si="255"/>
        <v>1450000</v>
      </c>
      <c r="P359" s="62">
        <f t="shared" si="256"/>
        <v>1450000</v>
      </c>
      <c r="Q359" s="62">
        <f t="shared" si="257"/>
        <v>1450000</v>
      </c>
      <c r="R359" s="62">
        <f t="shared" si="258"/>
        <v>1450000</v>
      </c>
      <c r="S359" s="62">
        <f t="shared" si="259"/>
        <v>1450000</v>
      </c>
      <c r="T359" s="62">
        <f t="shared" si="260"/>
        <v>1450000</v>
      </c>
      <c r="U359" s="62">
        <f t="shared" si="261"/>
        <v>1450000</v>
      </c>
      <c r="V359" s="62">
        <f t="shared" si="262"/>
        <v>1450000</v>
      </c>
      <c r="W359" s="62">
        <f t="shared" si="263"/>
        <v>1450000</v>
      </c>
      <c r="X359" s="62">
        <f t="shared" si="264"/>
        <v>1450000</v>
      </c>
      <c r="Y359" s="62">
        <f t="shared" si="265"/>
        <v>1450000</v>
      </c>
      <c r="Z359" s="62">
        <f t="shared" si="266"/>
        <v>1450000</v>
      </c>
      <c r="AA359" s="62">
        <f t="shared" si="267"/>
        <v>1450000</v>
      </c>
      <c r="AB359" s="62">
        <f t="shared" si="268"/>
        <v>1450000</v>
      </c>
      <c r="AC359" s="62">
        <f t="shared" si="269"/>
        <v>1450000</v>
      </c>
    </row>
    <row r="360" spans="1:29" x14ac:dyDescent="0.25">
      <c r="A360" s="30" t="str">
        <f t="shared" si="241"/>
        <v>Opex maintenance &amp; repair</v>
      </c>
      <c r="B360" s="62">
        <f t="shared" si="242"/>
        <v>1050000</v>
      </c>
      <c r="C360" s="62">
        <f t="shared" si="243"/>
        <v>1050000</v>
      </c>
      <c r="D360" s="62">
        <f t="shared" si="244"/>
        <v>1050000</v>
      </c>
      <c r="E360" s="62">
        <f t="shared" si="245"/>
        <v>1050000</v>
      </c>
      <c r="F360" s="62">
        <f t="shared" si="246"/>
        <v>1050000</v>
      </c>
      <c r="G360" s="62">
        <f t="shared" si="247"/>
        <v>1050000</v>
      </c>
      <c r="H360" s="62">
        <f t="shared" si="248"/>
        <v>1050000</v>
      </c>
      <c r="I360" s="62">
        <f t="shared" si="249"/>
        <v>1050000</v>
      </c>
      <c r="J360" s="62">
        <f t="shared" si="250"/>
        <v>1050000</v>
      </c>
      <c r="K360" s="62">
        <f t="shared" si="251"/>
        <v>1050000</v>
      </c>
      <c r="L360" s="62">
        <f t="shared" si="252"/>
        <v>1050000</v>
      </c>
      <c r="M360" s="62">
        <f t="shared" si="253"/>
        <v>1050000</v>
      </c>
      <c r="N360" s="62">
        <f t="shared" si="254"/>
        <v>1050000</v>
      </c>
      <c r="O360" s="62">
        <f t="shared" si="255"/>
        <v>1050000</v>
      </c>
      <c r="P360" s="62">
        <f t="shared" si="256"/>
        <v>1050000</v>
      </c>
      <c r="Q360" s="62">
        <f t="shared" si="257"/>
        <v>1050000</v>
      </c>
      <c r="R360" s="62">
        <f t="shared" si="258"/>
        <v>1050000</v>
      </c>
      <c r="S360" s="62">
        <f t="shared" si="259"/>
        <v>1050000</v>
      </c>
      <c r="T360" s="62">
        <f t="shared" si="260"/>
        <v>1050000</v>
      </c>
      <c r="U360" s="62">
        <f t="shared" si="261"/>
        <v>1050000</v>
      </c>
      <c r="V360" s="62">
        <f t="shared" si="262"/>
        <v>1050000</v>
      </c>
      <c r="W360" s="62">
        <f t="shared" si="263"/>
        <v>1050000</v>
      </c>
      <c r="X360" s="62">
        <f t="shared" si="264"/>
        <v>1050000</v>
      </c>
      <c r="Y360" s="62">
        <f t="shared" si="265"/>
        <v>1050000</v>
      </c>
      <c r="Z360" s="62">
        <f t="shared" si="266"/>
        <v>1050000</v>
      </c>
      <c r="AA360" s="62">
        <f t="shared" si="267"/>
        <v>1050000</v>
      </c>
      <c r="AB360" s="62">
        <f t="shared" si="268"/>
        <v>1050000</v>
      </c>
      <c r="AC360" s="62">
        <f t="shared" si="269"/>
        <v>1050000</v>
      </c>
    </row>
    <row r="361" spans="1:29" x14ac:dyDescent="0.25">
      <c r="A361" s="30" t="str">
        <f t="shared" si="241"/>
        <v>Opex var (mode-fees, shunting)</v>
      </c>
      <c r="B361" s="62">
        <f t="shared" si="242"/>
        <v>8.9635854341736696</v>
      </c>
      <c r="C361" s="62">
        <f t="shared" si="243"/>
        <v>8.9635854341736696</v>
      </c>
      <c r="D361" s="62">
        <f t="shared" si="244"/>
        <v>8.9635854341736696</v>
      </c>
      <c r="E361" s="62">
        <f t="shared" si="245"/>
        <v>8.9635854341736696</v>
      </c>
      <c r="F361" s="62">
        <f t="shared" si="246"/>
        <v>8.9635854341736696</v>
      </c>
      <c r="G361" s="62">
        <f t="shared" si="247"/>
        <v>8.9635854341736696</v>
      </c>
      <c r="H361" s="62">
        <f t="shared" si="248"/>
        <v>8.9635854341736696</v>
      </c>
      <c r="I361" s="62">
        <f t="shared" si="249"/>
        <v>8.9635854341736696</v>
      </c>
      <c r="J361" s="62">
        <f t="shared" si="250"/>
        <v>8.9635854341736696</v>
      </c>
      <c r="K361" s="62">
        <f t="shared" si="251"/>
        <v>8.9635854341736696</v>
      </c>
      <c r="L361" s="62">
        <f t="shared" si="252"/>
        <v>8.9635854341736696</v>
      </c>
      <c r="M361" s="62">
        <f t="shared" si="253"/>
        <v>8.9635854341736696</v>
      </c>
      <c r="N361" s="62">
        <f t="shared" si="254"/>
        <v>8.9635854341736696</v>
      </c>
      <c r="O361" s="62">
        <f t="shared" si="255"/>
        <v>8.9635854341736696</v>
      </c>
      <c r="P361" s="62">
        <f t="shared" si="256"/>
        <v>8.9635854341736696</v>
      </c>
      <c r="Q361" s="62">
        <f t="shared" si="257"/>
        <v>8.9635854341736696</v>
      </c>
      <c r="R361" s="62">
        <f t="shared" si="258"/>
        <v>8.9635854341736696</v>
      </c>
      <c r="S361" s="62">
        <f t="shared" si="259"/>
        <v>8.9635854341736696</v>
      </c>
      <c r="T361" s="62">
        <f t="shared" si="260"/>
        <v>8.9635854341736696</v>
      </c>
      <c r="U361" s="62">
        <f t="shared" si="261"/>
        <v>8.9635854341736696</v>
      </c>
      <c r="V361" s="62">
        <f t="shared" si="262"/>
        <v>8.9635854341736696</v>
      </c>
      <c r="W361" s="62">
        <f t="shared" si="263"/>
        <v>8.9635854341736696</v>
      </c>
      <c r="X361" s="62">
        <f t="shared" si="264"/>
        <v>8.9635854341736696</v>
      </c>
      <c r="Y361" s="62">
        <f t="shared" si="265"/>
        <v>8.9635854341736696</v>
      </c>
      <c r="Z361" s="62">
        <f t="shared" si="266"/>
        <v>8.9635854341736696</v>
      </c>
      <c r="AA361" s="62">
        <f t="shared" si="267"/>
        <v>8.9635854341736696</v>
      </c>
      <c r="AB361" s="62">
        <f t="shared" si="268"/>
        <v>8.9635854341736696</v>
      </c>
      <c r="AC361" s="62">
        <f t="shared" si="269"/>
        <v>8.9635854341736696</v>
      </c>
    </row>
    <row r="362" spans="1:29" x14ac:dyDescent="0.25">
      <c r="A362" s="30" t="str">
        <f t="shared" si="241"/>
        <v>Fuel Economy</v>
      </c>
      <c r="B362" s="62">
        <f t="shared" si="242"/>
        <v>76.777599999999993</v>
      </c>
      <c r="C362" s="62">
        <f t="shared" si="243"/>
        <v>76.777599999999993</v>
      </c>
      <c r="D362" s="62">
        <f t="shared" si="244"/>
        <v>76.777599999999993</v>
      </c>
      <c r="E362" s="62">
        <f t="shared" si="245"/>
        <v>76.777599999999993</v>
      </c>
      <c r="F362" s="62">
        <f t="shared" si="246"/>
        <v>76.777599999999993</v>
      </c>
      <c r="G362" s="62">
        <f t="shared" si="247"/>
        <v>76.777599999999993</v>
      </c>
      <c r="H362" s="62">
        <f t="shared" si="248"/>
        <v>76.777599999999993</v>
      </c>
      <c r="I362" s="62">
        <f t="shared" si="249"/>
        <v>76.777599999999993</v>
      </c>
      <c r="J362" s="62">
        <f t="shared" si="250"/>
        <v>76.777599999999993</v>
      </c>
      <c r="K362" s="62">
        <f t="shared" si="251"/>
        <v>76.777599999999993</v>
      </c>
      <c r="L362" s="62">
        <f t="shared" si="252"/>
        <v>76.777599999999993</v>
      </c>
      <c r="M362" s="62">
        <f t="shared" si="253"/>
        <v>76.777599999999993</v>
      </c>
      <c r="N362" s="62">
        <f t="shared" si="254"/>
        <v>76.777599999999993</v>
      </c>
      <c r="O362" s="62">
        <f t="shared" si="255"/>
        <v>76.777599999999993</v>
      </c>
      <c r="P362" s="62">
        <f t="shared" si="256"/>
        <v>76.777599999999993</v>
      </c>
      <c r="Q362" s="62">
        <f t="shared" si="257"/>
        <v>76.777599999999993</v>
      </c>
      <c r="R362" s="62">
        <f t="shared" si="258"/>
        <v>76.777599999999993</v>
      </c>
      <c r="S362" s="62">
        <f t="shared" si="259"/>
        <v>76.777599999999993</v>
      </c>
      <c r="T362" s="62">
        <f t="shared" si="260"/>
        <v>76.777599999999993</v>
      </c>
      <c r="U362" s="62">
        <f t="shared" si="261"/>
        <v>76.777599999999993</v>
      </c>
      <c r="V362" s="62">
        <f t="shared" si="262"/>
        <v>76.777599999999993</v>
      </c>
      <c r="W362" s="62">
        <f t="shared" si="263"/>
        <v>76.777599999999993</v>
      </c>
      <c r="X362" s="62">
        <f t="shared" si="264"/>
        <v>76.777599999999993</v>
      </c>
      <c r="Y362" s="62">
        <f t="shared" si="265"/>
        <v>76.777599999999993</v>
      </c>
      <c r="Z362" s="62">
        <f t="shared" si="266"/>
        <v>76.777599999999993</v>
      </c>
      <c r="AA362" s="62">
        <f t="shared" si="267"/>
        <v>76.777599999999993</v>
      </c>
      <c r="AB362" s="62">
        <f t="shared" si="268"/>
        <v>76.777599999999993</v>
      </c>
      <c r="AC362" s="62">
        <f t="shared" si="269"/>
        <v>76.777599999999993</v>
      </c>
    </row>
    <row r="363" spans="1:29" x14ac:dyDescent="0.25">
      <c r="A363" s="30" t="str">
        <f t="shared" si="241"/>
        <v>Fuel Cost</v>
      </c>
      <c r="B363" s="62">
        <f>'Parameter Input'!J8</f>
        <v>5.7951260504201685E-2</v>
      </c>
      <c r="C363" s="62">
        <f>'Parameter Input'!K8</f>
        <v>5.3954621848739497E-2</v>
      </c>
      <c r="D363" s="62">
        <f>'Parameter Input'!L8</f>
        <v>4.9957983193277315E-2</v>
      </c>
      <c r="E363" s="62">
        <f>'Parameter Input'!M8</f>
        <v>4.5961344537815127E-2</v>
      </c>
      <c r="F363" s="62">
        <f>'Parameter Input'!N8</f>
        <v>4.1964705882352946E-2</v>
      </c>
      <c r="G363" s="62">
        <f>'Parameter Input'!O8</f>
        <v>3.7968067226890764E-2</v>
      </c>
      <c r="H363" s="62">
        <f>'Parameter Input'!P8</f>
        <v>3.3971428571428583E-2</v>
      </c>
      <c r="I363" s="62">
        <f>'Parameter Input'!Q8</f>
        <v>2.9974789915966391E-2</v>
      </c>
      <c r="J363" s="62">
        <f>'Parameter Input'!R8</f>
        <v>2.9368157262905165E-2</v>
      </c>
      <c r="K363" s="62">
        <f>'Parameter Input'!S8</f>
        <v>2.8761524609843939E-2</v>
      </c>
      <c r="L363" s="62">
        <f>'Parameter Input'!T8</f>
        <v>2.8154891956782713E-2</v>
      </c>
      <c r="M363" s="62">
        <f>'Parameter Input'!U8</f>
        <v>2.7548259303721487E-2</v>
      </c>
      <c r="N363" s="62">
        <f>'Parameter Input'!V8</f>
        <v>2.6941626650660268E-2</v>
      </c>
      <c r="O363" s="62">
        <f>'Parameter Input'!W8</f>
        <v>2.6334993997599043E-2</v>
      </c>
      <c r="P363" s="62">
        <f>'Parameter Input'!X8</f>
        <v>2.5728361344537817E-2</v>
      </c>
      <c r="Q363" s="62">
        <f>'Parameter Input'!Y8</f>
        <v>2.5121728691476591E-2</v>
      </c>
      <c r="R363" s="62">
        <f>'Parameter Input'!Z8</f>
        <v>2.4515096038415365E-2</v>
      </c>
      <c r="S363" s="62">
        <f>'Parameter Input'!AA8</f>
        <v>2.3908463385354146E-2</v>
      </c>
      <c r="T363" s="62">
        <f>'Parameter Input'!AB8</f>
        <v>2.330183073229292E-2</v>
      </c>
      <c r="U363" s="62">
        <f>'Parameter Input'!AC8</f>
        <v>2.2695198079231694E-2</v>
      </c>
      <c r="V363" s="62">
        <f>'Parameter Input'!AD8</f>
        <v>2.2088565426170468E-2</v>
      </c>
      <c r="W363" s="62">
        <f>'Parameter Input'!AE8</f>
        <v>2.1481932773109242E-2</v>
      </c>
      <c r="X363" s="62">
        <f>'Parameter Input'!AF8</f>
        <v>2.0875300120048023E-2</v>
      </c>
      <c r="Y363" s="62">
        <f>'Parameter Input'!AG8</f>
        <v>2.0268667466986797E-2</v>
      </c>
      <c r="Z363" s="62">
        <f>'Parameter Input'!AH8</f>
        <v>1.9662034813925571E-2</v>
      </c>
      <c r="AA363" s="62">
        <f>'Parameter Input'!AI8</f>
        <v>1.9055402160864345E-2</v>
      </c>
      <c r="AB363" s="62">
        <f>'Parameter Input'!AJ8</f>
        <v>1.8448769507803119E-2</v>
      </c>
      <c r="AC363" s="62">
        <f>'Parameter Input'!AK8</f>
        <v>1.78421368547419E-2</v>
      </c>
    </row>
    <row r="364" spans="1:29" x14ac:dyDescent="0.25">
      <c r="A364" s="30" t="str">
        <f t="shared" si="241"/>
        <v>Emission Cost</v>
      </c>
      <c r="B364" s="66">
        <f>$B344+($C344-$B344)*(1-Q344)</f>
        <v>0</v>
      </c>
      <c r="C364" s="66">
        <f t="shared" ref="C364:AC364" si="270">$B344+($C344-$B344)*(1-R344)</f>
        <v>0</v>
      </c>
      <c r="D364" s="66">
        <f t="shared" si="270"/>
        <v>0</v>
      </c>
      <c r="E364" s="66">
        <f t="shared" si="270"/>
        <v>0</v>
      </c>
      <c r="F364" s="66">
        <f t="shared" si="270"/>
        <v>0</v>
      </c>
      <c r="G364" s="66">
        <f t="shared" si="270"/>
        <v>0</v>
      </c>
      <c r="H364" s="66">
        <f t="shared" si="270"/>
        <v>0</v>
      </c>
      <c r="I364" s="66">
        <f t="shared" si="270"/>
        <v>0</v>
      </c>
      <c r="J364" s="66">
        <f t="shared" si="270"/>
        <v>0</v>
      </c>
      <c r="K364" s="66">
        <f t="shared" si="270"/>
        <v>0</v>
      </c>
      <c r="L364" s="66">
        <f t="shared" si="270"/>
        <v>0</v>
      </c>
      <c r="M364" s="66">
        <f t="shared" si="270"/>
        <v>0</v>
      </c>
      <c r="N364" s="66">
        <f t="shared" si="270"/>
        <v>0</v>
      </c>
      <c r="O364" s="66">
        <f t="shared" si="270"/>
        <v>0</v>
      </c>
      <c r="P364" s="66">
        <f t="shared" si="270"/>
        <v>0</v>
      </c>
      <c r="Q364" s="66">
        <f t="shared" si="270"/>
        <v>0</v>
      </c>
      <c r="R364" s="66">
        <f t="shared" si="270"/>
        <v>0</v>
      </c>
      <c r="S364" s="66">
        <f t="shared" si="270"/>
        <v>0</v>
      </c>
      <c r="T364" s="66">
        <f t="shared" si="270"/>
        <v>0</v>
      </c>
      <c r="U364" s="66">
        <f t="shared" si="270"/>
        <v>0</v>
      </c>
      <c r="V364" s="66">
        <f t="shared" si="270"/>
        <v>0</v>
      </c>
      <c r="W364" s="66">
        <f t="shared" si="270"/>
        <v>0</v>
      </c>
      <c r="X364" s="66">
        <f t="shared" si="270"/>
        <v>0</v>
      </c>
      <c r="Y364" s="66">
        <f t="shared" si="270"/>
        <v>0</v>
      </c>
      <c r="Z364" s="66">
        <f t="shared" si="270"/>
        <v>0</v>
      </c>
      <c r="AA364" s="66">
        <f t="shared" si="270"/>
        <v>0</v>
      </c>
      <c r="AB364" s="66">
        <f t="shared" si="270"/>
        <v>0</v>
      </c>
      <c r="AC364" s="66">
        <f t="shared" si="270"/>
        <v>0</v>
      </c>
    </row>
    <row r="365" spans="1:29" x14ac:dyDescent="0.25">
      <c r="A365" s="30" t="str">
        <f t="shared" si="241"/>
        <v>Lifetime vehicle</v>
      </c>
      <c r="B365" s="62">
        <f>$B345+($C345-$B345)*(1-Q345)</f>
        <v>20</v>
      </c>
      <c r="C365" s="62">
        <f t="shared" ref="C365:L367" si="271">$B345+($C345-$B345)*(1-R345)</f>
        <v>20</v>
      </c>
      <c r="D365" s="62">
        <f t="shared" si="271"/>
        <v>20</v>
      </c>
      <c r="E365" s="62">
        <f t="shared" si="271"/>
        <v>20</v>
      </c>
      <c r="F365" s="62">
        <f t="shared" si="271"/>
        <v>20</v>
      </c>
      <c r="G365" s="62">
        <f t="shared" si="271"/>
        <v>20</v>
      </c>
      <c r="H365" s="62">
        <f t="shared" si="271"/>
        <v>20</v>
      </c>
      <c r="I365" s="62">
        <f t="shared" si="271"/>
        <v>20</v>
      </c>
      <c r="J365" s="62">
        <f t="shared" si="271"/>
        <v>20</v>
      </c>
      <c r="K365" s="62">
        <f t="shared" si="271"/>
        <v>20</v>
      </c>
      <c r="L365" s="62">
        <f t="shared" si="271"/>
        <v>20</v>
      </c>
      <c r="M365" s="62">
        <f t="shared" ref="M365:V367" si="272">$B345+($C345-$B345)*(1-AB345)</f>
        <v>20</v>
      </c>
      <c r="N365" s="62">
        <f t="shared" si="272"/>
        <v>20</v>
      </c>
      <c r="O365" s="62">
        <f t="shared" si="272"/>
        <v>20</v>
      </c>
      <c r="P365" s="62">
        <f t="shared" si="272"/>
        <v>20</v>
      </c>
      <c r="Q365" s="62">
        <f t="shared" si="272"/>
        <v>20</v>
      </c>
      <c r="R365" s="62">
        <f t="shared" si="272"/>
        <v>20</v>
      </c>
      <c r="S365" s="62">
        <f t="shared" si="272"/>
        <v>20</v>
      </c>
      <c r="T365" s="62">
        <f t="shared" si="272"/>
        <v>20</v>
      </c>
      <c r="U365" s="62">
        <f t="shared" si="272"/>
        <v>20</v>
      </c>
      <c r="V365" s="62">
        <f t="shared" si="272"/>
        <v>20</v>
      </c>
      <c r="W365" s="62">
        <f t="shared" ref="W365:AC367" si="273">$B345+($C345-$B345)*(1-AL345)</f>
        <v>20</v>
      </c>
      <c r="X365" s="62">
        <f t="shared" si="273"/>
        <v>20</v>
      </c>
      <c r="Y365" s="62">
        <f t="shared" si="273"/>
        <v>20</v>
      </c>
      <c r="Z365" s="62">
        <f t="shared" si="273"/>
        <v>20</v>
      </c>
      <c r="AA365" s="62">
        <f t="shared" si="273"/>
        <v>20</v>
      </c>
      <c r="AB365" s="62">
        <f t="shared" si="273"/>
        <v>20</v>
      </c>
      <c r="AC365" s="62">
        <f t="shared" si="273"/>
        <v>20</v>
      </c>
    </row>
    <row r="366" spans="1:29" x14ac:dyDescent="0.25">
      <c r="A366" s="30" t="str">
        <f t="shared" si="241"/>
        <v>Lifetime costumization</v>
      </c>
      <c r="B366" s="62">
        <f>$B346+($C346-$B346)*(1-Q346)</f>
        <v>30</v>
      </c>
      <c r="C366" s="62">
        <f t="shared" si="271"/>
        <v>30</v>
      </c>
      <c r="D366" s="62">
        <f t="shared" si="271"/>
        <v>30</v>
      </c>
      <c r="E366" s="62">
        <f t="shared" si="271"/>
        <v>30</v>
      </c>
      <c r="F366" s="62">
        <f t="shared" si="271"/>
        <v>30</v>
      </c>
      <c r="G366" s="62">
        <f t="shared" si="271"/>
        <v>30</v>
      </c>
      <c r="H366" s="62">
        <f t="shared" si="271"/>
        <v>30</v>
      </c>
      <c r="I366" s="62">
        <f t="shared" si="271"/>
        <v>30</v>
      </c>
      <c r="J366" s="62">
        <f t="shared" si="271"/>
        <v>30</v>
      </c>
      <c r="K366" s="62">
        <f t="shared" si="271"/>
        <v>30</v>
      </c>
      <c r="L366" s="62">
        <f t="shared" si="271"/>
        <v>30</v>
      </c>
      <c r="M366" s="62">
        <f t="shared" si="272"/>
        <v>30</v>
      </c>
      <c r="N366" s="62">
        <f t="shared" si="272"/>
        <v>30</v>
      </c>
      <c r="O366" s="62">
        <f t="shared" si="272"/>
        <v>30</v>
      </c>
      <c r="P366" s="62">
        <f t="shared" si="272"/>
        <v>30</v>
      </c>
      <c r="Q366" s="62">
        <f t="shared" si="272"/>
        <v>30</v>
      </c>
      <c r="R366" s="62">
        <f t="shared" si="272"/>
        <v>30</v>
      </c>
      <c r="S366" s="62">
        <f t="shared" si="272"/>
        <v>30</v>
      </c>
      <c r="T366" s="62">
        <f t="shared" si="272"/>
        <v>30</v>
      </c>
      <c r="U366" s="62">
        <f t="shared" si="272"/>
        <v>30</v>
      </c>
      <c r="V366" s="62">
        <f t="shared" si="272"/>
        <v>30</v>
      </c>
      <c r="W366" s="62">
        <f t="shared" si="273"/>
        <v>30</v>
      </c>
      <c r="X366" s="62">
        <f t="shared" si="273"/>
        <v>30</v>
      </c>
      <c r="Y366" s="62">
        <f t="shared" si="273"/>
        <v>30</v>
      </c>
      <c r="Z366" s="62">
        <f t="shared" si="273"/>
        <v>30</v>
      </c>
      <c r="AA366" s="62">
        <f t="shared" si="273"/>
        <v>30</v>
      </c>
      <c r="AB366" s="62">
        <f t="shared" si="273"/>
        <v>30</v>
      </c>
      <c r="AC366" s="62">
        <f t="shared" si="273"/>
        <v>30</v>
      </c>
    </row>
    <row r="367" spans="1:29" x14ac:dyDescent="0.25">
      <c r="A367" s="30" t="str">
        <f t="shared" si="241"/>
        <v>Tonnage .</v>
      </c>
      <c r="B367" s="62">
        <f>$B347+($C347-$B347)*(1-Q347)</f>
        <v>2240</v>
      </c>
      <c r="C367" s="62">
        <f t="shared" si="271"/>
        <v>2240</v>
      </c>
      <c r="D367" s="62">
        <f t="shared" si="271"/>
        <v>2240</v>
      </c>
      <c r="E367" s="62">
        <f t="shared" si="271"/>
        <v>2240</v>
      </c>
      <c r="F367" s="62">
        <f t="shared" si="271"/>
        <v>2240</v>
      </c>
      <c r="G367" s="62">
        <f t="shared" si="271"/>
        <v>2240</v>
      </c>
      <c r="H367" s="62">
        <f t="shared" si="271"/>
        <v>2240</v>
      </c>
      <c r="I367" s="62">
        <f t="shared" si="271"/>
        <v>2240</v>
      </c>
      <c r="J367" s="62">
        <f t="shared" si="271"/>
        <v>2240</v>
      </c>
      <c r="K367" s="62">
        <f t="shared" si="271"/>
        <v>2240</v>
      </c>
      <c r="L367" s="62">
        <f t="shared" si="271"/>
        <v>2240</v>
      </c>
      <c r="M367" s="62">
        <f t="shared" si="272"/>
        <v>2240</v>
      </c>
      <c r="N367" s="62">
        <f t="shared" si="272"/>
        <v>2240</v>
      </c>
      <c r="O367" s="62">
        <f t="shared" si="272"/>
        <v>2240</v>
      </c>
      <c r="P367" s="62">
        <f t="shared" si="272"/>
        <v>2240</v>
      </c>
      <c r="Q367" s="62">
        <f t="shared" si="272"/>
        <v>2240</v>
      </c>
      <c r="R367" s="62">
        <f t="shared" si="272"/>
        <v>2240</v>
      </c>
      <c r="S367" s="62">
        <f t="shared" si="272"/>
        <v>2240</v>
      </c>
      <c r="T367" s="62">
        <f t="shared" si="272"/>
        <v>2240</v>
      </c>
      <c r="U367" s="62">
        <f t="shared" si="272"/>
        <v>2240</v>
      </c>
      <c r="V367" s="62">
        <f t="shared" si="272"/>
        <v>2240</v>
      </c>
      <c r="W367" s="62">
        <f t="shared" si="273"/>
        <v>2240</v>
      </c>
      <c r="X367" s="62">
        <f t="shared" si="273"/>
        <v>2240</v>
      </c>
      <c r="Y367" s="62">
        <f t="shared" si="273"/>
        <v>2240</v>
      </c>
      <c r="Z367" s="62">
        <f t="shared" si="273"/>
        <v>2240</v>
      </c>
      <c r="AA367" s="62">
        <f t="shared" si="273"/>
        <v>2240</v>
      </c>
      <c r="AB367" s="62">
        <f t="shared" si="273"/>
        <v>2240</v>
      </c>
      <c r="AC367" s="62">
        <f t="shared" si="273"/>
        <v>2240</v>
      </c>
    </row>
    <row r="368" spans="1:29" x14ac:dyDescent="0.25">
      <c r="A368" s="30" t="str">
        <f t="shared" si="241"/>
        <v>Market failure (av. utilization)</v>
      </c>
      <c r="B368" s="62">
        <f t="shared" ref="B368:K369" si="274">($B348+($C348-$B348)*(1-Q348))*B$44</f>
        <v>1612.8000000000002</v>
      </c>
      <c r="C368" s="62">
        <f t="shared" si="274"/>
        <v>1612.8000000000002</v>
      </c>
      <c r="D368" s="62">
        <f t="shared" si="274"/>
        <v>1612.8000000000002</v>
      </c>
      <c r="E368" s="62">
        <f t="shared" si="274"/>
        <v>1612.8000000000002</v>
      </c>
      <c r="F368" s="62">
        <f t="shared" si="274"/>
        <v>1612.8000000000002</v>
      </c>
      <c r="G368" s="62">
        <f t="shared" si="274"/>
        <v>1612.8000000000002</v>
      </c>
      <c r="H368" s="62">
        <f t="shared" si="274"/>
        <v>1612.8000000000002</v>
      </c>
      <c r="I368" s="62">
        <f t="shared" si="274"/>
        <v>1612.8000000000002</v>
      </c>
      <c r="J368" s="62">
        <f t="shared" si="274"/>
        <v>1612.8000000000002</v>
      </c>
      <c r="K368" s="62">
        <f t="shared" si="274"/>
        <v>1612.8000000000002</v>
      </c>
      <c r="L368" s="62">
        <f t="shared" ref="L368:U369" si="275">($B348+($C348-$B348)*(1-AA348))*L$44</f>
        <v>1612.8000000000002</v>
      </c>
      <c r="M368" s="62">
        <f t="shared" si="275"/>
        <v>1612.8000000000002</v>
      </c>
      <c r="N368" s="62">
        <f t="shared" si="275"/>
        <v>1612.8000000000002</v>
      </c>
      <c r="O368" s="62">
        <f t="shared" si="275"/>
        <v>1612.8000000000002</v>
      </c>
      <c r="P368" s="62">
        <f t="shared" si="275"/>
        <v>1612.8000000000002</v>
      </c>
      <c r="Q368" s="62">
        <f t="shared" si="275"/>
        <v>1612.8000000000002</v>
      </c>
      <c r="R368" s="62">
        <f t="shared" si="275"/>
        <v>1612.8000000000002</v>
      </c>
      <c r="S368" s="62">
        <f t="shared" si="275"/>
        <v>1612.8000000000002</v>
      </c>
      <c r="T368" s="62">
        <f t="shared" si="275"/>
        <v>1612.8000000000002</v>
      </c>
      <c r="U368" s="62">
        <f t="shared" si="275"/>
        <v>1612.8000000000002</v>
      </c>
      <c r="V368" s="62">
        <f t="shared" ref="V368:AC369" si="276">($B348+($C348-$B348)*(1-AK348))*V$44</f>
        <v>1612.8000000000002</v>
      </c>
      <c r="W368" s="62">
        <f t="shared" si="276"/>
        <v>1612.8000000000002</v>
      </c>
      <c r="X368" s="62">
        <f t="shared" si="276"/>
        <v>1612.8000000000002</v>
      </c>
      <c r="Y368" s="62">
        <f t="shared" si="276"/>
        <v>1612.8000000000002</v>
      </c>
      <c r="Z368" s="62">
        <f t="shared" si="276"/>
        <v>1612.8000000000002</v>
      </c>
      <c r="AA368" s="62">
        <f t="shared" si="276"/>
        <v>1612.8000000000002</v>
      </c>
      <c r="AB368" s="62">
        <f t="shared" si="276"/>
        <v>1612.8000000000002</v>
      </c>
      <c r="AC368" s="62">
        <f t="shared" si="276"/>
        <v>1612.8000000000002</v>
      </c>
    </row>
    <row r="369" spans="1:29" x14ac:dyDescent="0.25">
      <c r="A369" s="30" t="s">
        <v>73</v>
      </c>
      <c r="B369" s="62">
        <f t="shared" si="274"/>
        <v>0</v>
      </c>
      <c r="C369" s="62">
        <f t="shared" si="274"/>
        <v>0</v>
      </c>
      <c r="D369" s="62">
        <f t="shared" si="274"/>
        <v>0</v>
      </c>
      <c r="E369" s="62">
        <f t="shared" si="274"/>
        <v>0</v>
      </c>
      <c r="F369" s="62">
        <f t="shared" si="274"/>
        <v>0</v>
      </c>
      <c r="G369" s="62">
        <f t="shared" si="274"/>
        <v>0</v>
      </c>
      <c r="H369" s="62">
        <f t="shared" si="274"/>
        <v>0</v>
      </c>
      <c r="I369" s="62">
        <f t="shared" si="274"/>
        <v>0</v>
      </c>
      <c r="J369" s="62">
        <f t="shared" si="274"/>
        <v>0</v>
      </c>
      <c r="K369" s="62">
        <f t="shared" si="274"/>
        <v>0</v>
      </c>
      <c r="L369" s="62">
        <f t="shared" si="275"/>
        <v>0</v>
      </c>
      <c r="M369" s="62">
        <f t="shared" si="275"/>
        <v>0</v>
      </c>
      <c r="N369" s="62">
        <f t="shared" si="275"/>
        <v>0</v>
      </c>
      <c r="O369" s="62">
        <f t="shared" si="275"/>
        <v>0</v>
      </c>
      <c r="P369" s="62">
        <f t="shared" si="275"/>
        <v>0</v>
      </c>
      <c r="Q369" s="62">
        <f t="shared" si="275"/>
        <v>0</v>
      </c>
      <c r="R369" s="62">
        <f t="shared" si="275"/>
        <v>0</v>
      </c>
      <c r="S369" s="62">
        <f t="shared" si="275"/>
        <v>0</v>
      </c>
      <c r="T369" s="62">
        <f t="shared" si="275"/>
        <v>0</v>
      </c>
      <c r="U369" s="62">
        <f t="shared" si="275"/>
        <v>0</v>
      </c>
      <c r="V369" s="62">
        <f t="shared" si="276"/>
        <v>0</v>
      </c>
      <c r="W369" s="62">
        <f t="shared" si="276"/>
        <v>0</v>
      </c>
      <c r="X369" s="62">
        <f t="shared" si="276"/>
        <v>0</v>
      </c>
      <c r="Y369" s="62">
        <f t="shared" si="276"/>
        <v>0</v>
      </c>
      <c r="Z369" s="62">
        <f t="shared" si="276"/>
        <v>0</v>
      </c>
      <c r="AA369" s="62">
        <f t="shared" si="276"/>
        <v>0</v>
      </c>
      <c r="AB369" s="62">
        <f t="shared" si="276"/>
        <v>0</v>
      </c>
      <c r="AC369" s="62">
        <f t="shared" si="276"/>
        <v>0</v>
      </c>
    </row>
    <row r="370" spans="1:29" x14ac:dyDescent="0.25">
      <c r="A370" s="30" t="str">
        <f>A350</f>
        <v>Annual Mileage</v>
      </c>
      <c r="B370" s="62">
        <f t="shared" ref="B370:AC370" si="277">$B350+($C350-$B350)*(1-Q350)</f>
        <v>178500</v>
      </c>
      <c r="C370" s="62">
        <f t="shared" si="277"/>
        <v>178500</v>
      </c>
      <c r="D370" s="62">
        <f t="shared" si="277"/>
        <v>178500</v>
      </c>
      <c r="E370" s="62">
        <f t="shared" si="277"/>
        <v>178500</v>
      </c>
      <c r="F370" s="62">
        <f t="shared" si="277"/>
        <v>178500</v>
      </c>
      <c r="G370" s="62">
        <f t="shared" si="277"/>
        <v>178500</v>
      </c>
      <c r="H370" s="62">
        <f t="shared" si="277"/>
        <v>178500</v>
      </c>
      <c r="I370" s="62">
        <f t="shared" si="277"/>
        <v>178500</v>
      </c>
      <c r="J370" s="62">
        <f t="shared" si="277"/>
        <v>178500</v>
      </c>
      <c r="K370" s="62">
        <f t="shared" si="277"/>
        <v>178500</v>
      </c>
      <c r="L370" s="62">
        <f t="shared" si="277"/>
        <v>178500</v>
      </c>
      <c r="M370" s="62">
        <f t="shared" si="277"/>
        <v>178500</v>
      </c>
      <c r="N370" s="62">
        <f t="shared" si="277"/>
        <v>178500</v>
      </c>
      <c r="O370" s="62">
        <f t="shared" si="277"/>
        <v>178500</v>
      </c>
      <c r="P370" s="62">
        <f t="shared" si="277"/>
        <v>178500</v>
      </c>
      <c r="Q370" s="62">
        <f t="shared" si="277"/>
        <v>178500</v>
      </c>
      <c r="R370" s="62">
        <f t="shared" si="277"/>
        <v>178500</v>
      </c>
      <c r="S370" s="62">
        <f t="shared" si="277"/>
        <v>178500</v>
      </c>
      <c r="T370" s="62">
        <f t="shared" si="277"/>
        <v>178500</v>
      </c>
      <c r="U370" s="62">
        <f t="shared" si="277"/>
        <v>178500</v>
      </c>
      <c r="V370" s="62">
        <f t="shared" si="277"/>
        <v>178500</v>
      </c>
      <c r="W370" s="62">
        <f t="shared" si="277"/>
        <v>178500</v>
      </c>
      <c r="X370" s="62">
        <f t="shared" si="277"/>
        <v>178500</v>
      </c>
      <c r="Y370" s="62">
        <f t="shared" si="277"/>
        <v>178500</v>
      </c>
      <c r="Z370" s="62">
        <f t="shared" si="277"/>
        <v>178500</v>
      </c>
      <c r="AA370" s="62">
        <f t="shared" si="277"/>
        <v>178500</v>
      </c>
      <c r="AB370" s="62">
        <f t="shared" si="277"/>
        <v>178500</v>
      </c>
      <c r="AC370" s="62">
        <f t="shared" si="277"/>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8">((1+C358)^C365)*C358/(((1+C358)^C365)-1)*(C354)</f>
        <v>305145.94941897993</v>
      </c>
      <c r="D373" s="63">
        <f t="shared" si="278"/>
        <v>305145.94941897993</v>
      </c>
      <c r="E373" s="63">
        <f t="shared" si="278"/>
        <v>305145.94941897993</v>
      </c>
      <c r="F373" s="63">
        <f t="shared" si="278"/>
        <v>305145.94941897993</v>
      </c>
      <c r="G373" s="63">
        <f t="shared" si="278"/>
        <v>305145.94941897993</v>
      </c>
      <c r="H373" s="63">
        <f t="shared" si="278"/>
        <v>305145.94941897993</v>
      </c>
      <c r="I373" s="63">
        <f t="shared" si="278"/>
        <v>305145.94941897993</v>
      </c>
      <c r="J373" s="63">
        <f t="shared" si="278"/>
        <v>305145.94941897993</v>
      </c>
      <c r="K373" s="63">
        <f t="shared" si="278"/>
        <v>305145.94941897993</v>
      </c>
      <c r="L373" s="63">
        <f t="shared" si="278"/>
        <v>305145.94941897993</v>
      </c>
      <c r="M373" s="63">
        <f t="shared" si="278"/>
        <v>305145.94941897993</v>
      </c>
      <c r="N373" s="63">
        <f t="shared" si="278"/>
        <v>305145.94941897993</v>
      </c>
      <c r="O373" s="63">
        <f t="shared" si="278"/>
        <v>305145.94941897993</v>
      </c>
      <c r="P373" s="63">
        <f t="shared" si="278"/>
        <v>305145.94941897993</v>
      </c>
      <c r="Q373" s="63">
        <f t="shared" si="278"/>
        <v>305145.94941897993</v>
      </c>
      <c r="R373" s="63">
        <f t="shared" si="278"/>
        <v>305145.94941897993</v>
      </c>
      <c r="S373" s="63">
        <f t="shared" si="278"/>
        <v>305145.94941897993</v>
      </c>
      <c r="T373" s="63">
        <f t="shared" si="278"/>
        <v>305145.94941897993</v>
      </c>
      <c r="U373" s="63">
        <f t="shared" si="278"/>
        <v>305145.94941897993</v>
      </c>
      <c r="V373" s="63">
        <f t="shared" si="278"/>
        <v>305145.94941897993</v>
      </c>
      <c r="W373" s="63">
        <f t="shared" si="278"/>
        <v>305145.94941897993</v>
      </c>
      <c r="X373" s="63">
        <f t="shared" si="278"/>
        <v>305145.94941897993</v>
      </c>
      <c r="Y373" s="63">
        <f t="shared" si="278"/>
        <v>305145.94941897993</v>
      </c>
      <c r="Z373" s="63">
        <f t="shared" si="278"/>
        <v>305145.94941897993</v>
      </c>
      <c r="AA373" s="63">
        <f t="shared" si="278"/>
        <v>305145.94941897993</v>
      </c>
      <c r="AB373" s="63">
        <f t="shared" si="278"/>
        <v>305145.94941897993</v>
      </c>
      <c r="AC373" s="63">
        <f t="shared" si="278"/>
        <v>305145.94941897993</v>
      </c>
    </row>
    <row r="374" spans="1:29" x14ac:dyDescent="0.25">
      <c r="A374" s="30" t="str">
        <f>A355</f>
        <v>Residual value (vehicle)</v>
      </c>
      <c r="B374" s="62">
        <f>((1+B358)^B365)*B358/(((1+B358)^B365)-1)*(B355)</f>
        <v>-45369.034506436277</v>
      </c>
      <c r="C374" s="62">
        <f t="shared" ref="C374:AC374" si="279">((1+C358)^C365)*C358/(((1+C358)^C365)-1)*(C355)</f>
        <v>-45196.542704314146</v>
      </c>
      <c r="D374" s="62">
        <f t="shared" si="279"/>
        <v>-44951.629072308999</v>
      </c>
      <c r="E374" s="62">
        <f t="shared" si="279"/>
        <v>-44605.467188167124</v>
      </c>
      <c r="F374" s="62">
        <f t="shared" si="279"/>
        <v>-44119.462148109647</v>
      </c>
      <c r="G374" s="62">
        <f t="shared" si="279"/>
        <v>-43443.738717137028</v>
      </c>
      <c r="H374" s="62">
        <f t="shared" si="279"/>
        <v>-42517.347172137401</v>
      </c>
      <c r="I374" s="62">
        <f t="shared" si="279"/>
        <v>-41272.376203762586</v>
      </c>
      <c r="J374" s="62">
        <f t="shared" si="279"/>
        <v>-39644.958637393647</v>
      </c>
      <c r="K374" s="62">
        <f t="shared" si="279"/>
        <v>-37595.501281822799</v>
      </c>
      <c r="L374" s="62">
        <f t="shared" si="279"/>
        <v>-35136.211284820376</v>
      </c>
      <c r="M374" s="62">
        <f t="shared" si="279"/>
        <v>-32355.310948630464</v>
      </c>
      <c r="N374" s="62">
        <f t="shared" si="279"/>
        <v>-29419.525873461753</v>
      </c>
      <c r="O374" s="62">
        <f t="shared" si="279"/>
        <v>-26541.511557340396</v>
      </c>
      <c r="P374" s="62">
        <f t="shared" si="279"/>
        <v>-23921.595885610663</v>
      </c>
      <c r="Q374" s="62">
        <f t="shared" si="279"/>
        <v>-21695.040647806538</v>
      </c>
      <c r="R374" s="62">
        <f t="shared" si="279"/>
        <v>-19911.968655776182</v>
      </c>
      <c r="S374" s="62">
        <f t="shared" si="279"/>
        <v>-18551.40558747459</v>
      </c>
      <c r="T374" s="62">
        <f t="shared" si="279"/>
        <v>-17551.282614957105</v>
      </c>
      <c r="U374" s="62">
        <f t="shared" si="279"/>
        <v>-16836.209158050464</v>
      </c>
      <c r="V374" s="62">
        <f t="shared" si="279"/>
        <v>-16335.048266557109</v>
      </c>
      <c r="W374" s="62">
        <f t="shared" si="279"/>
        <v>-15988.715286779448</v>
      </c>
      <c r="X374" s="62">
        <f t="shared" si="279"/>
        <v>-15751.702370283236</v>
      </c>
      <c r="Y374" s="62">
        <f t="shared" si="279"/>
        <v>-15590.58521762073</v>
      </c>
      <c r="Z374" s="62">
        <f t="shared" si="279"/>
        <v>-15481.559033229796</v>
      </c>
      <c r="AA374" s="62">
        <f t="shared" si="279"/>
        <v>-15408.009855414111</v>
      </c>
      <c r="AB374" s="62">
        <f t="shared" si="279"/>
        <v>-15358.496914269901</v>
      </c>
      <c r="AC374" s="62">
        <f t="shared" si="279"/>
        <v>-15325.211858527608</v>
      </c>
    </row>
    <row r="375" spans="1:29" x14ac:dyDescent="0.25">
      <c r="A375" s="30" t="str">
        <f>A356</f>
        <v>Capex costumization</v>
      </c>
      <c r="B375" s="62">
        <f>((1+B358)^B366)*B358/(((1+B358)^B366)-1)*(B356)</f>
        <v>305125.4282581982</v>
      </c>
      <c r="C375" s="62">
        <f t="shared" ref="C375:AC375" si="280">((1+C358)^C366)*C358/(((1+C358)^C366)-1)*(C356)</f>
        <v>305125.4282581982</v>
      </c>
      <c r="D375" s="62">
        <f t="shared" si="280"/>
        <v>305125.4282581982</v>
      </c>
      <c r="E375" s="62">
        <f t="shared" si="280"/>
        <v>305125.4282581982</v>
      </c>
      <c r="F375" s="62">
        <f t="shared" si="280"/>
        <v>305125.4282581982</v>
      </c>
      <c r="G375" s="62">
        <f t="shared" si="280"/>
        <v>305125.4282581982</v>
      </c>
      <c r="H375" s="62">
        <f t="shared" si="280"/>
        <v>305125.4282581982</v>
      </c>
      <c r="I375" s="62">
        <f t="shared" si="280"/>
        <v>305125.4282581982</v>
      </c>
      <c r="J375" s="62">
        <f t="shared" si="280"/>
        <v>305125.4282581982</v>
      </c>
      <c r="K375" s="62">
        <f t="shared" si="280"/>
        <v>305125.4282581982</v>
      </c>
      <c r="L375" s="62">
        <f t="shared" si="280"/>
        <v>305125.4282581982</v>
      </c>
      <c r="M375" s="62">
        <f t="shared" si="280"/>
        <v>305125.4282581982</v>
      </c>
      <c r="N375" s="62">
        <f t="shared" si="280"/>
        <v>305125.4282581982</v>
      </c>
      <c r="O375" s="62">
        <f t="shared" si="280"/>
        <v>305125.4282581982</v>
      </c>
      <c r="P375" s="62">
        <f t="shared" si="280"/>
        <v>305125.4282581982</v>
      </c>
      <c r="Q375" s="62">
        <f t="shared" si="280"/>
        <v>305125.4282581982</v>
      </c>
      <c r="R375" s="62">
        <f t="shared" si="280"/>
        <v>305125.4282581982</v>
      </c>
      <c r="S375" s="62">
        <f t="shared" si="280"/>
        <v>305125.4282581982</v>
      </c>
      <c r="T375" s="62">
        <f t="shared" si="280"/>
        <v>305125.4282581982</v>
      </c>
      <c r="U375" s="62">
        <f t="shared" si="280"/>
        <v>305125.4282581982</v>
      </c>
      <c r="V375" s="62">
        <f t="shared" si="280"/>
        <v>305125.4282581982</v>
      </c>
      <c r="W375" s="62">
        <f t="shared" si="280"/>
        <v>305125.4282581982</v>
      </c>
      <c r="X375" s="62">
        <f t="shared" si="280"/>
        <v>305125.4282581982</v>
      </c>
      <c r="Y375" s="62">
        <f t="shared" si="280"/>
        <v>305125.4282581982</v>
      </c>
      <c r="Z375" s="62">
        <f t="shared" si="280"/>
        <v>305125.4282581982</v>
      </c>
      <c r="AA375" s="62">
        <f t="shared" si="280"/>
        <v>305125.4282581982</v>
      </c>
      <c r="AB375" s="62">
        <f t="shared" si="280"/>
        <v>305125.4282581982</v>
      </c>
      <c r="AC375" s="62">
        <f t="shared" si="280"/>
        <v>305125.4282581982</v>
      </c>
    </row>
    <row r="376" spans="1:29" x14ac:dyDescent="0.25">
      <c r="A376" s="30" t="str">
        <f>A357</f>
        <v>Residual value (costumization)</v>
      </c>
      <c r="B376" s="62">
        <f>((1+B358)^B366)*B358/(((1+B358)^B366)-1)*(B357)</f>
        <v>-15256.271412909911</v>
      </c>
      <c r="C376" s="62">
        <f t="shared" ref="C376:AC376" si="281">((1+C358)^C366)*C358/(((1+C358)^C366)-1)*(C357)</f>
        <v>-15256.271412909911</v>
      </c>
      <c r="D376" s="62">
        <f t="shared" si="281"/>
        <v>-15256.271412909911</v>
      </c>
      <c r="E376" s="62">
        <f t="shared" si="281"/>
        <v>-15256.271412909911</v>
      </c>
      <c r="F376" s="62">
        <f t="shared" si="281"/>
        <v>-15256.271412909911</v>
      </c>
      <c r="G376" s="62">
        <f t="shared" si="281"/>
        <v>-15256.271412909911</v>
      </c>
      <c r="H376" s="62">
        <f t="shared" si="281"/>
        <v>-15256.271412909911</v>
      </c>
      <c r="I376" s="62">
        <f t="shared" si="281"/>
        <v>-15256.271412909911</v>
      </c>
      <c r="J376" s="62">
        <f t="shared" si="281"/>
        <v>-15256.271412909911</v>
      </c>
      <c r="K376" s="62">
        <f t="shared" si="281"/>
        <v>-15256.271412909911</v>
      </c>
      <c r="L376" s="62">
        <f t="shared" si="281"/>
        <v>-15256.271412909911</v>
      </c>
      <c r="M376" s="62">
        <f t="shared" si="281"/>
        <v>-15256.271412909911</v>
      </c>
      <c r="N376" s="62">
        <f t="shared" si="281"/>
        <v>-15256.271412909911</v>
      </c>
      <c r="O376" s="62">
        <f t="shared" si="281"/>
        <v>-15256.271412909911</v>
      </c>
      <c r="P376" s="62">
        <f t="shared" si="281"/>
        <v>-15256.271412909911</v>
      </c>
      <c r="Q376" s="62">
        <f t="shared" si="281"/>
        <v>-15256.271412909911</v>
      </c>
      <c r="R376" s="62">
        <f t="shared" si="281"/>
        <v>-15256.271412909911</v>
      </c>
      <c r="S376" s="62">
        <f t="shared" si="281"/>
        <v>-15256.271412909911</v>
      </c>
      <c r="T376" s="62">
        <f t="shared" si="281"/>
        <v>-15256.271412909911</v>
      </c>
      <c r="U376" s="62">
        <f t="shared" si="281"/>
        <v>-15256.271412909911</v>
      </c>
      <c r="V376" s="62">
        <f t="shared" si="281"/>
        <v>-15256.271412909911</v>
      </c>
      <c r="W376" s="62">
        <f t="shared" si="281"/>
        <v>-15256.271412909911</v>
      </c>
      <c r="X376" s="62">
        <f t="shared" si="281"/>
        <v>-15256.271412909911</v>
      </c>
      <c r="Y376" s="62">
        <f t="shared" si="281"/>
        <v>-15256.271412909911</v>
      </c>
      <c r="Z376" s="62">
        <f t="shared" si="281"/>
        <v>-15256.271412909911</v>
      </c>
      <c r="AA376" s="62">
        <f t="shared" si="281"/>
        <v>-15256.271412909911</v>
      </c>
      <c r="AB376" s="62">
        <f t="shared" si="281"/>
        <v>-15256.271412909911</v>
      </c>
      <c r="AC376" s="62">
        <f t="shared" si="281"/>
        <v>-15256.271412909911</v>
      </c>
    </row>
    <row r="377" spans="1:29" x14ac:dyDescent="0.25">
      <c r="A377" s="30" t="str">
        <f t="shared" ref="A377:AC377" si="282">A359</f>
        <v>Opex fix (admin, crew, insurance)</v>
      </c>
      <c r="B377" s="62">
        <f t="shared" si="282"/>
        <v>1450000</v>
      </c>
      <c r="C377" s="62">
        <f t="shared" si="282"/>
        <v>1450000</v>
      </c>
      <c r="D377" s="62">
        <f t="shared" si="282"/>
        <v>1450000</v>
      </c>
      <c r="E377" s="62">
        <f t="shared" si="282"/>
        <v>1450000</v>
      </c>
      <c r="F377" s="62">
        <f t="shared" si="282"/>
        <v>1450000</v>
      </c>
      <c r="G377" s="62">
        <f t="shared" si="282"/>
        <v>1450000</v>
      </c>
      <c r="H377" s="62">
        <f t="shared" si="282"/>
        <v>1450000</v>
      </c>
      <c r="I377" s="62">
        <f t="shared" si="282"/>
        <v>1450000</v>
      </c>
      <c r="J377" s="62">
        <f t="shared" si="282"/>
        <v>1450000</v>
      </c>
      <c r="K377" s="62">
        <f t="shared" si="282"/>
        <v>1450000</v>
      </c>
      <c r="L377" s="62">
        <f t="shared" si="282"/>
        <v>1450000</v>
      </c>
      <c r="M377" s="62">
        <f t="shared" si="282"/>
        <v>1450000</v>
      </c>
      <c r="N377" s="62">
        <f t="shared" si="282"/>
        <v>1450000</v>
      </c>
      <c r="O377" s="62">
        <f t="shared" si="282"/>
        <v>1450000</v>
      </c>
      <c r="P377" s="62">
        <f t="shared" si="282"/>
        <v>1450000</v>
      </c>
      <c r="Q377" s="62">
        <f t="shared" si="282"/>
        <v>1450000</v>
      </c>
      <c r="R377" s="62">
        <f t="shared" si="282"/>
        <v>1450000</v>
      </c>
      <c r="S377" s="62">
        <f t="shared" si="282"/>
        <v>1450000</v>
      </c>
      <c r="T377" s="62">
        <f t="shared" si="282"/>
        <v>1450000</v>
      </c>
      <c r="U377" s="62">
        <f t="shared" si="282"/>
        <v>1450000</v>
      </c>
      <c r="V377" s="62">
        <f t="shared" si="282"/>
        <v>1450000</v>
      </c>
      <c r="W377" s="62">
        <f t="shared" si="282"/>
        <v>1450000</v>
      </c>
      <c r="X377" s="62">
        <f t="shared" si="282"/>
        <v>1450000</v>
      </c>
      <c r="Y377" s="62">
        <f t="shared" si="282"/>
        <v>1450000</v>
      </c>
      <c r="Z377" s="62">
        <f t="shared" si="282"/>
        <v>1450000</v>
      </c>
      <c r="AA377" s="62">
        <f t="shared" si="282"/>
        <v>1450000</v>
      </c>
      <c r="AB377" s="62">
        <f t="shared" si="282"/>
        <v>1450000</v>
      </c>
      <c r="AC377" s="62">
        <f t="shared" si="282"/>
        <v>1450000</v>
      </c>
    </row>
    <row r="378" spans="1:29" x14ac:dyDescent="0.25">
      <c r="A378" s="30" t="str">
        <f t="shared" ref="A378:AC378" si="283">A360</f>
        <v>Opex maintenance &amp; repair</v>
      </c>
      <c r="B378" s="62">
        <f t="shared" si="283"/>
        <v>1050000</v>
      </c>
      <c r="C378" s="62">
        <f t="shared" si="283"/>
        <v>1050000</v>
      </c>
      <c r="D378" s="62">
        <f t="shared" si="283"/>
        <v>1050000</v>
      </c>
      <c r="E378" s="62">
        <f t="shared" si="283"/>
        <v>1050000</v>
      </c>
      <c r="F378" s="62">
        <f t="shared" si="283"/>
        <v>1050000</v>
      </c>
      <c r="G378" s="62">
        <f t="shared" si="283"/>
        <v>1050000</v>
      </c>
      <c r="H378" s="62">
        <f t="shared" si="283"/>
        <v>1050000</v>
      </c>
      <c r="I378" s="62">
        <f t="shared" si="283"/>
        <v>1050000</v>
      </c>
      <c r="J378" s="62">
        <f t="shared" si="283"/>
        <v>1050000</v>
      </c>
      <c r="K378" s="62">
        <f t="shared" si="283"/>
        <v>1050000</v>
      </c>
      <c r="L378" s="62">
        <f t="shared" si="283"/>
        <v>1050000</v>
      </c>
      <c r="M378" s="62">
        <f t="shared" si="283"/>
        <v>1050000</v>
      </c>
      <c r="N378" s="62">
        <f t="shared" si="283"/>
        <v>1050000</v>
      </c>
      <c r="O378" s="62">
        <f t="shared" si="283"/>
        <v>1050000</v>
      </c>
      <c r="P378" s="62">
        <f t="shared" si="283"/>
        <v>1050000</v>
      </c>
      <c r="Q378" s="62">
        <f t="shared" si="283"/>
        <v>1050000</v>
      </c>
      <c r="R378" s="62">
        <f t="shared" si="283"/>
        <v>1050000</v>
      </c>
      <c r="S378" s="62">
        <f t="shared" si="283"/>
        <v>1050000</v>
      </c>
      <c r="T378" s="62">
        <f t="shared" si="283"/>
        <v>1050000</v>
      </c>
      <c r="U378" s="62">
        <f t="shared" si="283"/>
        <v>1050000</v>
      </c>
      <c r="V378" s="62">
        <f t="shared" si="283"/>
        <v>1050000</v>
      </c>
      <c r="W378" s="62">
        <f t="shared" si="283"/>
        <v>1050000</v>
      </c>
      <c r="X378" s="62">
        <f t="shared" si="283"/>
        <v>1050000</v>
      </c>
      <c r="Y378" s="62">
        <f t="shared" si="283"/>
        <v>1050000</v>
      </c>
      <c r="Z378" s="62">
        <f t="shared" si="283"/>
        <v>1050000</v>
      </c>
      <c r="AA378" s="62">
        <f t="shared" si="283"/>
        <v>1050000</v>
      </c>
      <c r="AB378" s="62">
        <f t="shared" si="283"/>
        <v>1050000</v>
      </c>
      <c r="AC378" s="62">
        <f t="shared" si="283"/>
        <v>1050000</v>
      </c>
    </row>
    <row r="379" spans="1:29" x14ac:dyDescent="0.25">
      <c r="A379" s="30" t="str">
        <f>A361</f>
        <v>Opex var (mode-fees, shunting)</v>
      </c>
      <c r="B379" s="62">
        <f>B361*B370</f>
        <v>1600000</v>
      </c>
      <c r="C379" s="62">
        <f t="shared" ref="C379:AC379" si="284">C361*C370</f>
        <v>1600000</v>
      </c>
      <c r="D379" s="62">
        <f t="shared" si="284"/>
        <v>1600000</v>
      </c>
      <c r="E379" s="62">
        <f t="shared" si="284"/>
        <v>1600000</v>
      </c>
      <c r="F379" s="62">
        <f t="shared" si="284"/>
        <v>1600000</v>
      </c>
      <c r="G379" s="62">
        <f t="shared" si="284"/>
        <v>1600000</v>
      </c>
      <c r="H379" s="62">
        <f t="shared" si="284"/>
        <v>1600000</v>
      </c>
      <c r="I379" s="62">
        <f t="shared" si="284"/>
        <v>1600000</v>
      </c>
      <c r="J379" s="62">
        <f t="shared" si="284"/>
        <v>1600000</v>
      </c>
      <c r="K379" s="62">
        <f t="shared" si="284"/>
        <v>1600000</v>
      </c>
      <c r="L379" s="62">
        <f t="shared" si="284"/>
        <v>1600000</v>
      </c>
      <c r="M379" s="62">
        <f t="shared" si="284"/>
        <v>1600000</v>
      </c>
      <c r="N379" s="62">
        <f t="shared" si="284"/>
        <v>1600000</v>
      </c>
      <c r="O379" s="62">
        <f t="shared" si="284"/>
        <v>1600000</v>
      </c>
      <c r="P379" s="62">
        <f t="shared" si="284"/>
        <v>1600000</v>
      </c>
      <c r="Q379" s="62">
        <f t="shared" si="284"/>
        <v>1600000</v>
      </c>
      <c r="R379" s="62">
        <f t="shared" si="284"/>
        <v>1600000</v>
      </c>
      <c r="S379" s="62">
        <f t="shared" si="284"/>
        <v>1600000</v>
      </c>
      <c r="T379" s="62">
        <f t="shared" si="284"/>
        <v>1600000</v>
      </c>
      <c r="U379" s="62">
        <f t="shared" si="284"/>
        <v>1600000</v>
      </c>
      <c r="V379" s="62">
        <f t="shared" si="284"/>
        <v>1600000</v>
      </c>
      <c r="W379" s="62">
        <f t="shared" si="284"/>
        <v>1600000</v>
      </c>
      <c r="X379" s="62">
        <f t="shared" si="284"/>
        <v>1600000</v>
      </c>
      <c r="Y379" s="62">
        <f t="shared" si="284"/>
        <v>1600000</v>
      </c>
      <c r="Z379" s="62">
        <f t="shared" si="284"/>
        <v>1600000</v>
      </c>
      <c r="AA379" s="62">
        <f t="shared" si="284"/>
        <v>1600000</v>
      </c>
      <c r="AB379" s="62">
        <f t="shared" si="284"/>
        <v>1600000</v>
      </c>
      <c r="AC379" s="62">
        <f t="shared" si="284"/>
        <v>1600000</v>
      </c>
    </row>
    <row r="380" spans="1:29" x14ac:dyDescent="0.25">
      <c r="A380" s="30" t="str">
        <f>A363</f>
        <v>Fuel Cost</v>
      </c>
      <c r="B380" s="62">
        <f>B362*B363*B370</f>
        <v>794210.52768000006</v>
      </c>
      <c r="C380" s="62">
        <f t="shared" ref="C380:AC380" si="285">C362*C363*C370</f>
        <v>739437.38783999986</v>
      </c>
      <c r="D380" s="62">
        <f t="shared" si="285"/>
        <v>684664.24800000002</v>
      </c>
      <c r="E380" s="62">
        <f t="shared" si="285"/>
        <v>629891.10815999995</v>
      </c>
      <c r="F380" s="62">
        <f t="shared" si="285"/>
        <v>575117.96831999999</v>
      </c>
      <c r="G380" s="62">
        <f t="shared" si="285"/>
        <v>520344.82848000008</v>
      </c>
      <c r="H380" s="62">
        <f t="shared" si="285"/>
        <v>465571.68864000007</v>
      </c>
      <c r="I380" s="62">
        <f t="shared" si="285"/>
        <v>410798.54879999999</v>
      </c>
      <c r="J380" s="62">
        <f t="shared" si="285"/>
        <v>402484.76864571427</v>
      </c>
      <c r="K380" s="62">
        <f t="shared" si="285"/>
        <v>394170.98849142861</v>
      </c>
      <c r="L380" s="62">
        <f t="shared" si="285"/>
        <v>385857.20833714283</v>
      </c>
      <c r="M380" s="62">
        <f t="shared" si="285"/>
        <v>377543.42818285705</v>
      </c>
      <c r="N380" s="62">
        <f t="shared" si="285"/>
        <v>369229.64802857145</v>
      </c>
      <c r="O380" s="62">
        <f t="shared" si="285"/>
        <v>360915.86787428573</v>
      </c>
      <c r="P380" s="62">
        <f t="shared" si="285"/>
        <v>352602.08772000001</v>
      </c>
      <c r="Q380" s="62">
        <f t="shared" si="285"/>
        <v>344288.30756571429</v>
      </c>
      <c r="R380" s="62">
        <f t="shared" si="285"/>
        <v>335974.52741142851</v>
      </c>
      <c r="S380" s="62">
        <f t="shared" si="285"/>
        <v>327660.74725714285</v>
      </c>
      <c r="T380" s="62">
        <f t="shared" si="285"/>
        <v>319346.96710285713</v>
      </c>
      <c r="U380" s="62">
        <f t="shared" si="285"/>
        <v>311033.18694857141</v>
      </c>
      <c r="V380" s="62">
        <f t="shared" si="285"/>
        <v>302719.40679428569</v>
      </c>
      <c r="W380" s="62">
        <f t="shared" si="285"/>
        <v>294405.62663999997</v>
      </c>
      <c r="X380" s="62">
        <f t="shared" si="285"/>
        <v>286091.84648571431</v>
      </c>
      <c r="Y380" s="62">
        <f t="shared" si="285"/>
        <v>277778.06633142853</v>
      </c>
      <c r="Z380" s="62">
        <f t="shared" si="285"/>
        <v>269464.28617714281</v>
      </c>
      <c r="AA380" s="62">
        <f t="shared" si="285"/>
        <v>261150.50602285712</v>
      </c>
      <c r="AB380" s="62">
        <f t="shared" si="285"/>
        <v>252836.72586857138</v>
      </c>
      <c r="AC380" s="62">
        <f t="shared" si="285"/>
        <v>244522.94571428571</v>
      </c>
    </row>
    <row r="381" spans="1:29" ht="15.75" thickBot="1" x14ac:dyDescent="0.3">
      <c r="A381" s="59" t="str">
        <f>A344</f>
        <v>Emission Cost</v>
      </c>
      <c r="B381" s="62">
        <f>B364*B370</f>
        <v>0</v>
      </c>
      <c r="C381" s="62">
        <f t="shared" ref="C381:AC381" si="286">C364*C370</f>
        <v>0</v>
      </c>
      <c r="D381" s="62">
        <f t="shared" si="286"/>
        <v>0</v>
      </c>
      <c r="E381" s="62">
        <f t="shared" si="286"/>
        <v>0</v>
      </c>
      <c r="F381" s="62">
        <f t="shared" si="286"/>
        <v>0</v>
      </c>
      <c r="G381" s="62">
        <f t="shared" si="286"/>
        <v>0</v>
      </c>
      <c r="H381" s="62">
        <f t="shared" si="286"/>
        <v>0</v>
      </c>
      <c r="I381" s="62">
        <f t="shared" si="286"/>
        <v>0</v>
      </c>
      <c r="J381" s="62">
        <f t="shared" si="286"/>
        <v>0</v>
      </c>
      <c r="K381" s="62">
        <f t="shared" si="286"/>
        <v>0</v>
      </c>
      <c r="L381" s="62">
        <f t="shared" si="286"/>
        <v>0</v>
      </c>
      <c r="M381" s="62">
        <f t="shared" si="286"/>
        <v>0</v>
      </c>
      <c r="N381" s="62">
        <f t="shared" si="286"/>
        <v>0</v>
      </c>
      <c r="O381" s="62">
        <f t="shared" si="286"/>
        <v>0</v>
      </c>
      <c r="P381" s="62">
        <f t="shared" si="286"/>
        <v>0</v>
      </c>
      <c r="Q381" s="62">
        <f t="shared" si="286"/>
        <v>0</v>
      </c>
      <c r="R381" s="62">
        <f t="shared" si="286"/>
        <v>0</v>
      </c>
      <c r="S381" s="62">
        <f t="shared" si="286"/>
        <v>0</v>
      </c>
      <c r="T381" s="62">
        <f t="shared" si="286"/>
        <v>0</v>
      </c>
      <c r="U381" s="62">
        <f t="shared" si="286"/>
        <v>0</v>
      </c>
      <c r="V381" s="62">
        <f t="shared" si="286"/>
        <v>0</v>
      </c>
      <c r="W381" s="62">
        <f t="shared" si="286"/>
        <v>0</v>
      </c>
      <c r="X381" s="62">
        <f t="shared" si="286"/>
        <v>0</v>
      </c>
      <c r="Y381" s="62">
        <f t="shared" si="286"/>
        <v>0</v>
      </c>
      <c r="Z381" s="62">
        <f t="shared" si="286"/>
        <v>0</v>
      </c>
      <c r="AA381" s="62">
        <f t="shared" si="286"/>
        <v>0</v>
      </c>
      <c r="AB381" s="62">
        <f t="shared" si="286"/>
        <v>0</v>
      </c>
      <c r="AC381" s="62">
        <f t="shared" si="286"/>
        <v>0</v>
      </c>
    </row>
    <row r="382" spans="1:29" ht="15.75" thickBot="1" x14ac:dyDescent="0.3">
      <c r="A382" s="31" t="s">
        <v>209</v>
      </c>
      <c r="B382" s="64">
        <f>B373+B374+B375+B376+B377+B378+B379+B380+B381</f>
        <v>5443856.5994378319</v>
      </c>
      <c r="C382" s="64">
        <f t="shared" ref="C382:AC382" si="287">C373+C374+C375+C376+C377+C378+C379+C380+C381</f>
        <v>5389255.951399954</v>
      </c>
      <c r="D382" s="64">
        <f t="shared" si="287"/>
        <v>5334727.7251919582</v>
      </c>
      <c r="E382" s="64">
        <f t="shared" si="287"/>
        <v>5280300.747236101</v>
      </c>
      <c r="F382" s="64">
        <f t="shared" si="287"/>
        <v>5226013.6124361586</v>
      </c>
      <c r="G382" s="64">
        <f t="shared" si="287"/>
        <v>5171916.1960271308</v>
      </c>
      <c r="H382" s="64">
        <f t="shared" si="287"/>
        <v>5118069.447732131</v>
      </c>
      <c r="I382" s="64">
        <f t="shared" si="287"/>
        <v>5064541.2788605057</v>
      </c>
      <c r="J382" s="64">
        <f t="shared" si="287"/>
        <v>5057854.916272589</v>
      </c>
      <c r="K382" s="64">
        <f t="shared" si="287"/>
        <v>5051590.593473874</v>
      </c>
      <c r="L382" s="64">
        <f t="shared" si="287"/>
        <v>5045736.1033165911</v>
      </c>
      <c r="M382" s="64">
        <f t="shared" si="287"/>
        <v>5040203.2234984953</v>
      </c>
      <c r="N382" s="64">
        <f t="shared" si="287"/>
        <v>5034825.2284193775</v>
      </c>
      <c r="O382" s="64">
        <f t="shared" si="287"/>
        <v>5029389.4625812145</v>
      </c>
      <c r="P382" s="64">
        <f t="shared" si="287"/>
        <v>5023695.5980986571</v>
      </c>
      <c r="Q382" s="64">
        <f t="shared" si="287"/>
        <v>5017608.3731821757</v>
      </c>
      <c r="R382" s="64">
        <f t="shared" si="287"/>
        <v>5011077.6650199201</v>
      </c>
      <c r="S382" s="64">
        <f t="shared" si="287"/>
        <v>5004124.4479339365</v>
      </c>
      <c r="T382" s="64">
        <f t="shared" si="287"/>
        <v>4996810.7907521687</v>
      </c>
      <c r="U382" s="64">
        <f t="shared" si="287"/>
        <v>4989212.0840547886</v>
      </c>
      <c r="V382" s="64">
        <f t="shared" si="287"/>
        <v>4981399.4647919964</v>
      </c>
      <c r="W382" s="64">
        <f t="shared" si="287"/>
        <v>4973432.0176174892</v>
      </c>
      <c r="X382" s="64">
        <f t="shared" si="287"/>
        <v>4965355.2503796993</v>
      </c>
      <c r="Y382" s="64">
        <f t="shared" si="287"/>
        <v>4957202.5873780763</v>
      </c>
      <c r="Z382" s="64">
        <f t="shared" si="287"/>
        <v>4948997.8334081806</v>
      </c>
      <c r="AA382" s="64">
        <f t="shared" si="287"/>
        <v>4940757.6024317117</v>
      </c>
      <c r="AB382" s="64">
        <f t="shared" si="287"/>
        <v>4932493.3352185693</v>
      </c>
      <c r="AC382" s="64">
        <f t="shared" si="287"/>
        <v>4924212.8401200259</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8">A373</f>
        <v>Capex vehicle</v>
      </c>
      <c r="B385" s="65">
        <f>((1+B358)^B365)*B358/(((1+B358)^B365)-1)*(B354)/B370</f>
        <v>1.7095011171931649</v>
      </c>
      <c r="C385" s="65">
        <f t="shared" ref="C385:AC385" si="289">((1+C358)^C365)*C358/(((1+C358)^C365)-1)*(C354)/C370</f>
        <v>1.7095011171931649</v>
      </c>
      <c r="D385" s="65">
        <f t="shared" si="289"/>
        <v>1.7095011171931649</v>
      </c>
      <c r="E385" s="65">
        <f t="shared" si="289"/>
        <v>1.7095011171931649</v>
      </c>
      <c r="F385" s="65">
        <f t="shared" si="289"/>
        <v>1.7095011171931649</v>
      </c>
      <c r="G385" s="65">
        <f t="shared" si="289"/>
        <v>1.7095011171931649</v>
      </c>
      <c r="H385" s="65">
        <f t="shared" si="289"/>
        <v>1.7095011171931649</v>
      </c>
      <c r="I385" s="65">
        <f t="shared" si="289"/>
        <v>1.7095011171931649</v>
      </c>
      <c r="J385" s="65">
        <f t="shared" si="289"/>
        <v>1.7095011171931649</v>
      </c>
      <c r="K385" s="65">
        <f t="shared" si="289"/>
        <v>1.7095011171931649</v>
      </c>
      <c r="L385" s="65">
        <f t="shared" si="289"/>
        <v>1.7095011171931649</v>
      </c>
      <c r="M385" s="65">
        <f t="shared" si="289"/>
        <v>1.7095011171931649</v>
      </c>
      <c r="N385" s="65">
        <f t="shared" si="289"/>
        <v>1.7095011171931649</v>
      </c>
      <c r="O385" s="65">
        <f t="shared" si="289"/>
        <v>1.7095011171931649</v>
      </c>
      <c r="P385" s="65">
        <f t="shared" si="289"/>
        <v>1.7095011171931649</v>
      </c>
      <c r="Q385" s="65">
        <f t="shared" si="289"/>
        <v>1.7095011171931649</v>
      </c>
      <c r="R385" s="65">
        <f t="shared" si="289"/>
        <v>1.7095011171931649</v>
      </c>
      <c r="S385" s="65">
        <f t="shared" si="289"/>
        <v>1.7095011171931649</v>
      </c>
      <c r="T385" s="65">
        <f t="shared" si="289"/>
        <v>1.7095011171931649</v>
      </c>
      <c r="U385" s="65">
        <f t="shared" si="289"/>
        <v>1.7095011171931649</v>
      </c>
      <c r="V385" s="65">
        <f t="shared" si="289"/>
        <v>1.7095011171931649</v>
      </c>
      <c r="W385" s="65">
        <f t="shared" si="289"/>
        <v>1.7095011171931649</v>
      </c>
      <c r="X385" s="65">
        <f t="shared" si="289"/>
        <v>1.7095011171931649</v>
      </c>
      <c r="Y385" s="65">
        <f t="shared" si="289"/>
        <v>1.7095011171931649</v>
      </c>
      <c r="Z385" s="65">
        <f t="shared" si="289"/>
        <v>1.7095011171931649</v>
      </c>
      <c r="AA385" s="65">
        <f t="shared" si="289"/>
        <v>1.7095011171931649</v>
      </c>
      <c r="AB385" s="65">
        <f t="shared" si="289"/>
        <v>1.7095011171931649</v>
      </c>
      <c r="AC385" s="65">
        <f t="shared" si="289"/>
        <v>1.7095011171931649</v>
      </c>
    </row>
    <row r="386" spans="1:29" x14ac:dyDescent="0.25">
      <c r="A386" s="30" t="str">
        <f t="shared" si="288"/>
        <v>Residual value (vehicle)</v>
      </c>
      <c r="B386" s="66">
        <f>((1+B358)^B365)*B358/(((1+B358)^B365)-1)*(B355)/B370</f>
        <v>-0.25416826054025926</v>
      </c>
      <c r="C386" s="66">
        <f t="shared" ref="C386:AC386" si="290">((1+C358)^C365)*C358/(((1+C358)^C365)-1)*(C355)/C370</f>
        <v>-0.2532019199121241</v>
      </c>
      <c r="D386" s="66">
        <f t="shared" si="290"/>
        <v>-0.25182985474682912</v>
      </c>
      <c r="E386" s="66">
        <f t="shared" si="290"/>
        <v>-0.24989057248272897</v>
      </c>
      <c r="F386" s="66">
        <f t="shared" si="290"/>
        <v>-0.24716785517148263</v>
      </c>
      <c r="G386" s="66">
        <f t="shared" si="290"/>
        <v>-0.2433822897318601</v>
      </c>
      <c r="H386" s="66">
        <f t="shared" si="290"/>
        <v>-0.23819242113242242</v>
      </c>
      <c r="I386" s="66">
        <f t="shared" si="290"/>
        <v>-0.23121779385861393</v>
      </c>
      <c r="J386" s="66">
        <f t="shared" si="290"/>
        <v>-0.22210060861284955</v>
      </c>
      <c r="K386" s="66">
        <f t="shared" si="290"/>
        <v>-0.21061905480012771</v>
      </c>
      <c r="L386" s="66">
        <f t="shared" si="290"/>
        <v>-0.19684151980291528</v>
      </c>
      <c r="M386" s="66">
        <f t="shared" si="290"/>
        <v>-0.18126224621081494</v>
      </c>
      <c r="N386" s="66">
        <f t="shared" si="290"/>
        <v>-0.16481527099978574</v>
      </c>
      <c r="O386" s="66">
        <f t="shared" si="290"/>
        <v>-0.14869194149770532</v>
      </c>
      <c r="P386" s="66">
        <f t="shared" si="290"/>
        <v>-0.13401454277653033</v>
      </c>
      <c r="Q386" s="66">
        <f t="shared" si="290"/>
        <v>-0.12154084396530274</v>
      </c>
      <c r="R386" s="66">
        <f t="shared" si="290"/>
        <v>-0.11155164513039878</v>
      </c>
      <c r="S386" s="66">
        <f t="shared" si="290"/>
        <v>-0.10392944306708454</v>
      </c>
      <c r="T386" s="66">
        <f t="shared" si="290"/>
        <v>-9.8326513249059416E-2</v>
      </c>
      <c r="U386" s="66">
        <f t="shared" si="290"/>
        <v>-9.4320499484876544E-2</v>
      </c>
      <c r="V386" s="66">
        <f t="shared" si="290"/>
        <v>-9.1512875442896963E-2</v>
      </c>
      <c r="W386" s="66">
        <f t="shared" si="290"/>
        <v>-8.9572634659828843E-2</v>
      </c>
      <c r="X386" s="66">
        <f t="shared" si="290"/>
        <v>-8.8244831206068547E-2</v>
      </c>
      <c r="Y386" s="66">
        <f t="shared" si="290"/>
        <v>-8.734221410431782E-2</v>
      </c>
      <c r="Z386" s="66">
        <f t="shared" si="290"/>
        <v>-8.6731423155348999E-2</v>
      </c>
      <c r="AA386" s="66">
        <f t="shared" si="290"/>
        <v>-8.631938294349642E-2</v>
      </c>
      <c r="AB386" s="66">
        <f t="shared" si="290"/>
        <v>-8.6041999519719331E-2</v>
      </c>
      <c r="AC386" s="66">
        <f t="shared" si="290"/>
        <v>-8.5855528619202287E-2</v>
      </c>
    </row>
    <row r="387" spans="1:29" x14ac:dyDescent="0.25">
      <c r="A387" s="30" t="str">
        <f t="shared" si="288"/>
        <v>Capex costumization</v>
      </c>
      <c r="B387" s="66">
        <f>((1+B358)^B366)*B358/(((1+B358)^B366)-1)*(B356)/B370</f>
        <v>1.7093861527069927</v>
      </c>
      <c r="C387" s="66">
        <f t="shared" ref="C387:AC387" si="291">((1+C358)^C366)*C358/(((1+C358)^C366)-1)*(C356)/C370</f>
        <v>1.7093861527069927</v>
      </c>
      <c r="D387" s="66">
        <f t="shared" si="291"/>
        <v>1.7093861527069927</v>
      </c>
      <c r="E387" s="66">
        <f t="shared" si="291"/>
        <v>1.7093861527069927</v>
      </c>
      <c r="F387" s="66">
        <f t="shared" si="291"/>
        <v>1.7093861527069927</v>
      </c>
      <c r="G387" s="66">
        <f t="shared" si="291"/>
        <v>1.7093861527069927</v>
      </c>
      <c r="H387" s="66">
        <f t="shared" si="291"/>
        <v>1.7093861527069927</v>
      </c>
      <c r="I387" s="66">
        <f t="shared" si="291"/>
        <v>1.7093861527069927</v>
      </c>
      <c r="J387" s="66">
        <f t="shared" si="291"/>
        <v>1.7093861527069927</v>
      </c>
      <c r="K387" s="66">
        <f t="shared" si="291"/>
        <v>1.7093861527069927</v>
      </c>
      <c r="L387" s="66">
        <f t="shared" si="291"/>
        <v>1.7093861527069927</v>
      </c>
      <c r="M387" s="66">
        <f t="shared" si="291"/>
        <v>1.7093861527069927</v>
      </c>
      <c r="N387" s="66">
        <f t="shared" si="291"/>
        <v>1.7093861527069927</v>
      </c>
      <c r="O387" s="66">
        <f t="shared" si="291"/>
        <v>1.7093861527069927</v>
      </c>
      <c r="P387" s="66">
        <f t="shared" si="291"/>
        <v>1.7093861527069927</v>
      </c>
      <c r="Q387" s="66">
        <f t="shared" si="291"/>
        <v>1.7093861527069927</v>
      </c>
      <c r="R387" s="66">
        <f t="shared" si="291"/>
        <v>1.7093861527069927</v>
      </c>
      <c r="S387" s="66">
        <f t="shared" si="291"/>
        <v>1.7093861527069927</v>
      </c>
      <c r="T387" s="66">
        <f t="shared" si="291"/>
        <v>1.7093861527069927</v>
      </c>
      <c r="U387" s="66">
        <f t="shared" si="291"/>
        <v>1.7093861527069927</v>
      </c>
      <c r="V387" s="66">
        <f t="shared" si="291"/>
        <v>1.7093861527069927</v>
      </c>
      <c r="W387" s="66">
        <f t="shared" si="291"/>
        <v>1.7093861527069927</v>
      </c>
      <c r="X387" s="66">
        <f t="shared" si="291"/>
        <v>1.7093861527069927</v>
      </c>
      <c r="Y387" s="66">
        <f t="shared" si="291"/>
        <v>1.7093861527069927</v>
      </c>
      <c r="Z387" s="66">
        <f t="shared" si="291"/>
        <v>1.7093861527069927</v>
      </c>
      <c r="AA387" s="66">
        <f t="shared" si="291"/>
        <v>1.7093861527069927</v>
      </c>
      <c r="AB387" s="66">
        <f t="shared" si="291"/>
        <v>1.7093861527069927</v>
      </c>
      <c r="AC387" s="66">
        <f t="shared" si="291"/>
        <v>1.7093861527069927</v>
      </c>
    </row>
    <row r="388" spans="1:29" x14ac:dyDescent="0.25">
      <c r="A388" s="30" t="str">
        <f t="shared" si="288"/>
        <v>Residual value (costumization)</v>
      </c>
      <c r="B388" s="66">
        <f>((1+B358)^B366)*B358/(((1+B358)^B366)-1)*(B357)/B370</f>
        <v>-8.5469307635349642E-2</v>
      </c>
      <c r="C388" s="66">
        <f t="shared" ref="C388:AC388" si="292">((1+C358)^C366)*C358/(((1+C358)^C366)-1)*(C357)/C370</f>
        <v>-8.5469307635349642E-2</v>
      </c>
      <c r="D388" s="66">
        <f t="shared" si="292"/>
        <v>-8.5469307635349642E-2</v>
      </c>
      <c r="E388" s="66">
        <f t="shared" si="292"/>
        <v>-8.5469307635349642E-2</v>
      </c>
      <c r="F388" s="66">
        <f t="shared" si="292"/>
        <v>-8.5469307635349642E-2</v>
      </c>
      <c r="G388" s="66">
        <f t="shared" si="292"/>
        <v>-8.5469307635349642E-2</v>
      </c>
      <c r="H388" s="66">
        <f t="shared" si="292"/>
        <v>-8.5469307635349642E-2</v>
      </c>
      <c r="I388" s="66">
        <f t="shared" si="292"/>
        <v>-8.5469307635349642E-2</v>
      </c>
      <c r="J388" s="66">
        <f t="shared" si="292"/>
        <v>-8.5469307635349642E-2</v>
      </c>
      <c r="K388" s="66">
        <f t="shared" si="292"/>
        <v>-8.5469307635349642E-2</v>
      </c>
      <c r="L388" s="66">
        <f t="shared" si="292"/>
        <v>-8.5469307635349642E-2</v>
      </c>
      <c r="M388" s="66">
        <f t="shared" si="292"/>
        <v>-8.5469307635349642E-2</v>
      </c>
      <c r="N388" s="66">
        <f t="shared" si="292"/>
        <v>-8.5469307635349642E-2</v>
      </c>
      <c r="O388" s="66">
        <f t="shared" si="292"/>
        <v>-8.5469307635349642E-2</v>
      </c>
      <c r="P388" s="66">
        <f t="shared" si="292"/>
        <v>-8.5469307635349642E-2</v>
      </c>
      <c r="Q388" s="66">
        <f t="shared" si="292"/>
        <v>-8.5469307635349642E-2</v>
      </c>
      <c r="R388" s="66">
        <f t="shared" si="292"/>
        <v>-8.5469307635349642E-2</v>
      </c>
      <c r="S388" s="66">
        <f t="shared" si="292"/>
        <v>-8.5469307635349642E-2</v>
      </c>
      <c r="T388" s="66">
        <f t="shared" si="292"/>
        <v>-8.5469307635349642E-2</v>
      </c>
      <c r="U388" s="66">
        <f t="shared" si="292"/>
        <v>-8.5469307635349642E-2</v>
      </c>
      <c r="V388" s="66">
        <f t="shared" si="292"/>
        <v>-8.5469307635349642E-2</v>
      </c>
      <c r="W388" s="66">
        <f t="shared" si="292"/>
        <v>-8.5469307635349642E-2</v>
      </c>
      <c r="X388" s="66">
        <f t="shared" si="292"/>
        <v>-8.5469307635349642E-2</v>
      </c>
      <c r="Y388" s="66">
        <f t="shared" si="292"/>
        <v>-8.5469307635349642E-2</v>
      </c>
      <c r="Z388" s="66">
        <f t="shared" si="292"/>
        <v>-8.5469307635349642E-2</v>
      </c>
      <c r="AA388" s="66">
        <f t="shared" si="292"/>
        <v>-8.5469307635349642E-2</v>
      </c>
      <c r="AB388" s="66">
        <f t="shared" si="292"/>
        <v>-8.5469307635349642E-2</v>
      </c>
      <c r="AC388" s="66">
        <f t="shared" si="292"/>
        <v>-8.5469307635349642E-2</v>
      </c>
    </row>
    <row r="389" spans="1:29" x14ac:dyDescent="0.25">
      <c r="A389" s="30" t="str">
        <f t="shared" si="288"/>
        <v>Opex fix (admin, crew, insurance)</v>
      </c>
      <c r="B389" s="66">
        <f>B359/B370</f>
        <v>8.1232492997198875</v>
      </c>
      <c r="C389" s="66">
        <f t="shared" ref="C389:AC389" si="293">C359/C370</f>
        <v>8.1232492997198875</v>
      </c>
      <c r="D389" s="66">
        <f t="shared" si="293"/>
        <v>8.1232492997198875</v>
      </c>
      <c r="E389" s="66">
        <f t="shared" si="293"/>
        <v>8.1232492997198875</v>
      </c>
      <c r="F389" s="66">
        <f t="shared" si="293"/>
        <v>8.1232492997198875</v>
      </c>
      <c r="G389" s="66">
        <f t="shared" si="293"/>
        <v>8.1232492997198875</v>
      </c>
      <c r="H389" s="66">
        <f t="shared" si="293"/>
        <v>8.1232492997198875</v>
      </c>
      <c r="I389" s="66">
        <f t="shared" si="293"/>
        <v>8.1232492997198875</v>
      </c>
      <c r="J389" s="66">
        <f t="shared" si="293"/>
        <v>8.1232492997198875</v>
      </c>
      <c r="K389" s="66">
        <f t="shared" si="293"/>
        <v>8.1232492997198875</v>
      </c>
      <c r="L389" s="66">
        <f t="shared" si="293"/>
        <v>8.1232492997198875</v>
      </c>
      <c r="M389" s="66">
        <f t="shared" si="293"/>
        <v>8.1232492997198875</v>
      </c>
      <c r="N389" s="66">
        <f t="shared" si="293"/>
        <v>8.1232492997198875</v>
      </c>
      <c r="O389" s="66">
        <f t="shared" si="293"/>
        <v>8.1232492997198875</v>
      </c>
      <c r="P389" s="66">
        <f t="shared" si="293"/>
        <v>8.1232492997198875</v>
      </c>
      <c r="Q389" s="66">
        <f t="shared" si="293"/>
        <v>8.1232492997198875</v>
      </c>
      <c r="R389" s="66">
        <f t="shared" si="293"/>
        <v>8.1232492997198875</v>
      </c>
      <c r="S389" s="66">
        <f t="shared" si="293"/>
        <v>8.1232492997198875</v>
      </c>
      <c r="T389" s="66">
        <f t="shared" si="293"/>
        <v>8.1232492997198875</v>
      </c>
      <c r="U389" s="66">
        <f t="shared" si="293"/>
        <v>8.1232492997198875</v>
      </c>
      <c r="V389" s="66">
        <f t="shared" si="293"/>
        <v>8.1232492997198875</v>
      </c>
      <c r="W389" s="66">
        <f t="shared" si="293"/>
        <v>8.1232492997198875</v>
      </c>
      <c r="X389" s="66">
        <f t="shared" si="293"/>
        <v>8.1232492997198875</v>
      </c>
      <c r="Y389" s="66">
        <f t="shared" si="293"/>
        <v>8.1232492997198875</v>
      </c>
      <c r="Z389" s="66">
        <f t="shared" si="293"/>
        <v>8.1232492997198875</v>
      </c>
      <c r="AA389" s="66">
        <f t="shared" si="293"/>
        <v>8.1232492997198875</v>
      </c>
      <c r="AB389" s="66">
        <f t="shared" si="293"/>
        <v>8.1232492997198875</v>
      </c>
      <c r="AC389" s="66">
        <f t="shared" si="293"/>
        <v>8.1232492997198875</v>
      </c>
    </row>
    <row r="390" spans="1:29" x14ac:dyDescent="0.25">
      <c r="A390" s="30" t="str">
        <f t="shared" si="288"/>
        <v>Opex maintenance &amp; repair</v>
      </c>
      <c r="B390" s="66">
        <f>B360/B370</f>
        <v>5.882352941176471</v>
      </c>
      <c r="C390" s="66">
        <f t="shared" ref="C390:AC390" si="294">C360/C370</f>
        <v>5.882352941176471</v>
      </c>
      <c r="D390" s="66">
        <f t="shared" si="294"/>
        <v>5.882352941176471</v>
      </c>
      <c r="E390" s="66">
        <f t="shared" si="294"/>
        <v>5.882352941176471</v>
      </c>
      <c r="F390" s="66">
        <f t="shared" si="294"/>
        <v>5.882352941176471</v>
      </c>
      <c r="G390" s="66">
        <f t="shared" si="294"/>
        <v>5.882352941176471</v>
      </c>
      <c r="H390" s="66">
        <f t="shared" si="294"/>
        <v>5.882352941176471</v>
      </c>
      <c r="I390" s="66">
        <f t="shared" si="294"/>
        <v>5.882352941176471</v>
      </c>
      <c r="J390" s="66">
        <f t="shared" si="294"/>
        <v>5.882352941176471</v>
      </c>
      <c r="K390" s="66">
        <f t="shared" si="294"/>
        <v>5.882352941176471</v>
      </c>
      <c r="L390" s="66">
        <f t="shared" si="294"/>
        <v>5.882352941176471</v>
      </c>
      <c r="M390" s="66">
        <f t="shared" si="294"/>
        <v>5.882352941176471</v>
      </c>
      <c r="N390" s="66">
        <f t="shared" si="294"/>
        <v>5.882352941176471</v>
      </c>
      <c r="O390" s="66">
        <f t="shared" si="294"/>
        <v>5.882352941176471</v>
      </c>
      <c r="P390" s="66">
        <f t="shared" si="294"/>
        <v>5.882352941176471</v>
      </c>
      <c r="Q390" s="66">
        <f t="shared" si="294"/>
        <v>5.882352941176471</v>
      </c>
      <c r="R390" s="66">
        <f t="shared" si="294"/>
        <v>5.882352941176471</v>
      </c>
      <c r="S390" s="66">
        <f t="shared" si="294"/>
        <v>5.882352941176471</v>
      </c>
      <c r="T390" s="66">
        <f t="shared" si="294"/>
        <v>5.882352941176471</v>
      </c>
      <c r="U390" s="66">
        <f t="shared" si="294"/>
        <v>5.882352941176471</v>
      </c>
      <c r="V390" s="66">
        <f t="shared" si="294"/>
        <v>5.882352941176471</v>
      </c>
      <c r="W390" s="66">
        <f t="shared" si="294"/>
        <v>5.882352941176471</v>
      </c>
      <c r="X390" s="66">
        <f t="shared" si="294"/>
        <v>5.882352941176471</v>
      </c>
      <c r="Y390" s="66">
        <f t="shared" si="294"/>
        <v>5.882352941176471</v>
      </c>
      <c r="Z390" s="66">
        <f t="shared" si="294"/>
        <v>5.882352941176471</v>
      </c>
      <c r="AA390" s="66">
        <f t="shared" si="294"/>
        <v>5.882352941176471</v>
      </c>
      <c r="AB390" s="66">
        <f t="shared" si="294"/>
        <v>5.882352941176471</v>
      </c>
      <c r="AC390" s="66">
        <f t="shared" si="294"/>
        <v>5.882352941176471</v>
      </c>
    </row>
    <row r="391" spans="1:29" x14ac:dyDescent="0.25">
      <c r="A391" s="30" t="str">
        <f t="shared" si="288"/>
        <v>Opex var (mode-fees, shunting)</v>
      </c>
      <c r="B391" s="66">
        <f>B361*B370/B370</f>
        <v>8.9635854341736696</v>
      </c>
      <c r="C391" s="66">
        <f t="shared" ref="C391:AC391" si="295">C361*C370/C370</f>
        <v>8.9635854341736696</v>
      </c>
      <c r="D391" s="66">
        <f t="shared" si="295"/>
        <v>8.9635854341736696</v>
      </c>
      <c r="E391" s="66">
        <f t="shared" si="295"/>
        <v>8.9635854341736696</v>
      </c>
      <c r="F391" s="66">
        <f t="shared" si="295"/>
        <v>8.9635854341736696</v>
      </c>
      <c r="G391" s="66">
        <f t="shared" si="295"/>
        <v>8.9635854341736696</v>
      </c>
      <c r="H391" s="66">
        <f t="shared" si="295"/>
        <v>8.9635854341736696</v>
      </c>
      <c r="I391" s="66">
        <f t="shared" si="295"/>
        <v>8.9635854341736696</v>
      </c>
      <c r="J391" s="66">
        <f t="shared" si="295"/>
        <v>8.9635854341736696</v>
      </c>
      <c r="K391" s="66">
        <f t="shared" si="295"/>
        <v>8.9635854341736696</v>
      </c>
      <c r="L391" s="66">
        <f t="shared" si="295"/>
        <v>8.9635854341736696</v>
      </c>
      <c r="M391" s="66">
        <f t="shared" si="295"/>
        <v>8.9635854341736696</v>
      </c>
      <c r="N391" s="66">
        <f t="shared" si="295"/>
        <v>8.9635854341736696</v>
      </c>
      <c r="O391" s="66">
        <f t="shared" si="295"/>
        <v>8.9635854341736696</v>
      </c>
      <c r="P391" s="66">
        <f t="shared" si="295"/>
        <v>8.9635854341736696</v>
      </c>
      <c r="Q391" s="66">
        <f t="shared" si="295"/>
        <v>8.9635854341736696</v>
      </c>
      <c r="R391" s="66">
        <f t="shared" si="295"/>
        <v>8.9635854341736696</v>
      </c>
      <c r="S391" s="66">
        <f t="shared" si="295"/>
        <v>8.9635854341736696</v>
      </c>
      <c r="T391" s="66">
        <f t="shared" si="295"/>
        <v>8.9635854341736696</v>
      </c>
      <c r="U391" s="66">
        <f t="shared" si="295"/>
        <v>8.9635854341736696</v>
      </c>
      <c r="V391" s="66">
        <f t="shared" si="295"/>
        <v>8.9635854341736696</v>
      </c>
      <c r="W391" s="66">
        <f t="shared" si="295"/>
        <v>8.9635854341736696</v>
      </c>
      <c r="X391" s="66">
        <f t="shared" si="295"/>
        <v>8.9635854341736696</v>
      </c>
      <c r="Y391" s="66">
        <f t="shared" si="295"/>
        <v>8.9635854341736696</v>
      </c>
      <c r="Z391" s="66">
        <f t="shared" si="295"/>
        <v>8.9635854341736696</v>
      </c>
      <c r="AA391" s="66">
        <f t="shared" si="295"/>
        <v>8.9635854341736696</v>
      </c>
      <c r="AB391" s="66">
        <f t="shared" si="295"/>
        <v>8.9635854341736696</v>
      </c>
      <c r="AC391" s="66">
        <f t="shared" si="295"/>
        <v>8.9635854341736696</v>
      </c>
    </row>
    <row r="392" spans="1:29" x14ac:dyDescent="0.25">
      <c r="A392" s="30" t="str">
        <f t="shared" si="288"/>
        <v>Fuel Cost</v>
      </c>
      <c r="B392" s="66">
        <f>B362*B363*B370/B370</f>
        <v>4.4493586984873952</v>
      </c>
      <c r="C392" s="66">
        <f t="shared" ref="C392:AC392" si="296">C362*C363*C370/C370</f>
        <v>4.1425063744537809</v>
      </c>
      <c r="D392" s="66">
        <f t="shared" si="296"/>
        <v>3.8356540504201684</v>
      </c>
      <c r="E392" s="66">
        <f t="shared" si="296"/>
        <v>3.5288017263865541</v>
      </c>
      <c r="F392" s="66">
        <f t="shared" si="296"/>
        <v>3.2219494023529411</v>
      </c>
      <c r="G392" s="66">
        <f t="shared" si="296"/>
        <v>2.9150970783193282</v>
      </c>
      <c r="H392" s="66">
        <f t="shared" si="296"/>
        <v>2.6082447542857148</v>
      </c>
      <c r="I392" s="66">
        <f t="shared" si="296"/>
        <v>2.3013924302521009</v>
      </c>
      <c r="J392" s="66">
        <f t="shared" si="296"/>
        <v>2.2548166310684272</v>
      </c>
      <c r="K392" s="66">
        <f t="shared" si="296"/>
        <v>2.208240831884754</v>
      </c>
      <c r="L392" s="66">
        <f t="shared" si="296"/>
        <v>2.1616650327010802</v>
      </c>
      <c r="M392" s="66">
        <f t="shared" si="296"/>
        <v>2.1150892335174065</v>
      </c>
      <c r="N392" s="66">
        <f t="shared" si="296"/>
        <v>2.0685134343337337</v>
      </c>
      <c r="O392" s="66">
        <f t="shared" si="296"/>
        <v>2.02193763515006</v>
      </c>
      <c r="P392" s="66">
        <f t="shared" si="296"/>
        <v>1.9753618359663867</v>
      </c>
      <c r="Q392" s="66">
        <f t="shared" si="296"/>
        <v>1.9287860367827132</v>
      </c>
      <c r="R392" s="66">
        <f t="shared" si="296"/>
        <v>1.8822102375990393</v>
      </c>
      <c r="S392" s="66">
        <f t="shared" si="296"/>
        <v>1.8356344384153662</v>
      </c>
      <c r="T392" s="66">
        <f t="shared" si="296"/>
        <v>1.7890586392316927</v>
      </c>
      <c r="U392" s="66">
        <f t="shared" si="296"/>
        <v>1.742482840048019</v>
      </c>
      <c r="V392" s="66">
        <f t="shared" si="296"/>
        <v>1.6959070408643455</v>
      </c>
      <c r="W392" s="66">
        <f t="shared" si="296"/>
        <v>1.649331241680672</v>
      </c>
      <c r="X392" s="66">
        <f t="shared" si="296"/>
        <v>1.602755442496999</v>
      </c>
      <c r="Y392" s="66">
        <f t="shared" si="296"/>
        <v>1.556179643313325</v>
      </c>
      <c r="Z392" s="66">
        <f t="shared" si="296"/>
        <v>1.5096038441296515</v>
      </c>
      <c r="AA392" s="66">
        <f t="shared" si="296"/>
        <v>1.4630280449459783</v>
      </c>
      <c r="AB392" s="66">
        <f t="shared" si="296"/>
        <v>1.4164522457623046</v>
      </c>
      <c r="AC392" s="66">
        <f t="shared" si="296"/>
        <v>1.3698764465786315</v>
      </c>
    </row>
    <row r="393" spans="1:29" ht="15.75" thickBot="1" x14ac:dyDescent="0.3">
      <c r="A393" s="59" t="str">
        <f>A344</f>
        <v>Emission Cost</v>
      </c>
      <c r="B393" s="66">
        <f>B364</f>
        <v>0</v>
      </c>
      <c r="C393" s="66">
        <f t="shared" ref="C393:AC393" si="297">C364</f>
        <v>0</v>
      </c>
      <c r="D393" s="66">
        <f t="shared" si="297"/>
        <v>0</v>
      </c>
      <c r="E393" s="66">
        <f t="shared" si="297"/>
        <v>0</v>
      </c>
      <c r="F393" s="66">
        <f t="shared" si="297"/>
        <v>0</v>
      </c>
      <c r="G393" s="66">
        <f t="shared" si="297"/>
        <v>0</v>
      </c>
      <c r="H393" s="66">
        <f t="shared" si="297"/>
        <v>0</v>
      </c>
      <c r="I393" s="66">
        <f t="shared" si="297"/>
        <v>0</v>
      </c>
      <c r="J393" s="66">
        <f t="shared" si="297"/>
        <v>0</v>
      </c>
      <c r="K393" s="66">
        <f t="shared" si="297"/>
        <v>0</v>
      </c>
      <c r="L393" s="66">
        <f t="shared" si="297"/>
        <v>0</v>
      </c>
      <c r="M393" s="66">
        <f t="shared" si="297"/>
        <v>0</v>
      </c>
      <c r="N393" s="66">
        <f t="shared" si="297"/>
        <v>0</v>
      </c>
      <c r="O393" s="66">
        <f t="shared" si="297"/>
        <v>0</v>
      </c>
      <c r="P393" s="66">
        <f t="shared" si="297"/>
        <v>0</v>
      </c>
      <c r="Q393" s="66">
        <f t="shared" si="297"/>
        <v>0</v>
      </c>
      <c r="R393" s="66">
        <f t="shared" si="297"/>
        <v>0</v>
      </c>
      <c r="S393" s="66">
        <f t="shared" si="297"/>
        <v>0</v>
      </c>
      <c r="T393" s="66">
        <f t="shared" si="297"/>
        <v>0</v>
      </c>
      <c r="U393" s="66">
        <f t="shared" si="297"/>
        <v>0</v>
      </c>
      <c r="V393" s="66">
        <f t="shared" si="297"/>
        <v>0</v>
      </c>
      <c r="W393" s="66">
        <f t="shared" si="297"/>
        <v>0</v>
      </c>
      <c r="X393" s="66">
        <f t="shared" si="297"/>
        <v>0</v>
      </c>
      <c r="Y393" s="66">
        <f t="shared" si="297"/>
        <v>0</v>
      </c>
      <c r="Z393" s="66">
        <f t="shared" si="297"/>
        <v>0</v>
      </c>
      <c r="AA393" s="66">
        <f t="shared" si="297"/>
        <v>0</v>
      </c>
      <c r="AB393" s="66">
        <f t="shared" si="297"/>
        <v>0</v>
      </c>
      <c r="AC393" s="66">
        <f t="shared" si="297"/>
        <v>0</v>
      </c>
    </row>
    <row r="394" spans="1:29" ht="15.75" thickBot="1" x14ac:dyDescent="0.3">
      <c r="A394" s="31" t="s">
        <v>63</v>
      </c>
      <c r="B394" s="76">
        <f>B385+B386+B387-B388+B389+B390+B391+B392+B393</f>
        <v>30.668734690552672</v>
      </c>
      <c r="C394" s="76">
        <f t="shared" ref="C394:AC394" si="298">C385+C386+C387-C388+C389+C390+C391+C392+C393</f>
        <v>30.36284870714719</v>
      </c>
      <c r="D394" s="76">
        <f t="shared" si="298"/>
        <v>30.057368448278876</v>
      </c>
      <c r="E394" s="76">
        <f t="shared" si="298"/>
        <v>29.752455406509359</v>
      </c>
      <c r="F394" s="76">
        <f t="shared" si="298"/>
        <v>29.448325799786993</v>
      </c>
      <c r="G394" s="76">
        <f t="shared" si="298"/>
        <v>29.145259041193004</v>
      </c>
      <c r="H394" s="76">
        <f t="shared" si="298"/>
        <v>28.843596585758828</v>
      </c>
      <c r="I394" s="76">
        <f t="shared" si="298"/>
        <v>28.54371888899902</v>
      </c>
      <c r="J394" s="76">
        <f t="shared" si="298"/>
        <v>28.506260275061109</v>
      </c>
      <c r="K394" s="76">
        <f t="shared" si="298"/>
        <v>28.47116602969016</v>
      </c>
      <c r="L394" s="76">
        <f t="shared" si="298"/>
        <v>28.438367765503703</v>
      </c>
      <c r="M394" s="76">
        <f t="shared" si="298"/>
        <v>28.407371239912123</v>
      </c>
      <c r="N394" s="76">
        <f t="shared" si="298"/>
        <v>28.377242415939484</v>
      </c>
      <c r="O394" s="76">
        <f t="shared" si="298"/>
        <v>28.346789946257889</v>
      </c>
      <c r="P394" s="76">
        <f t="shared" si="298"/>
        <v>28.31489154579539</v>
      </c>
      <c r="Q394" s="76">
        <f t="shared" si="298"/>
        <v>28.280789445422947</v>
      </c>
      <c r="R394" s="76">
        <f t="shared" si="298"/>
        <v>28.244202845074174</v>
      </c>
      <c r="S394" s="76">
        <f t="shared" si="298"/>
        <v>28.205249247953816</v>
      </c>
      <c r="T394" s="76">
        <f t="shared" si="298"/>
        <v>28.16427637858817</v>
      </c>
      <c r="U394" s="76">
        <f t="shared" si="298"/>
        <v>28.121706593168678</v>
      </c>
      <c r="V394" s="76">
        <f t="shared" si="298"/>
        <v>28.077938418026982</v>
      </c>
      <c r="W394" s="76">
        <f t="shared" si="298"/>
        <v>28.033302859626382</v>
      </c>
      <c r="X394" s="76">
        <f t="shared" si="298"/>
        <v>27.988054863896465</v>
      </c>
      <c r="Y394" s="76">
        <f t="shared" si="298"/>
        <v>27.942381681814542</v>
      </c>
      <c r="Z394" s="76">
        <f t="shared" si="298"/>
        <v>27.896416673579836</v>
      </c>
      <c r="AA394" s="76">
        <f t="shared" si="298"/>
        <v>27.850252914608017</v>
      </c>
      <c r="AB394" s="76">
        <f t="shared" si="298"/>
        <v>27.803954498848121</v>
      </c>
      <c r="AC394" s="76">
        <f t="shared" si="298"/>
        <v>27.757565170564966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7.6317014160409149E-4</v>
      </c>
      <c r="C397" s="65">
        <f t="shared" ref="C397:AC397" si="300">((1+C358)^C365)*C358/(((1+C358)^C365)-1)*(C354)/C370/(C367)</f>
        <v>7.6317014160409149E-4</v>
      </c>
      <c r="D397" s="65">
        <f t="shared" si="300"/>
        <v>7.6317014160409149E-4</v>
      </c>
      <c r="E397" s="65">
        <f t="shared" si="300"/>
        <v>7.6317014160409149E-4</v>
      </c>
      <c r="F397" s="65">
        <f t="shared" si="300"/>
        <v>7.6317014160409149E-4</v>
      </c>
      <c r="G397" s="65">
        <f t="shared" si="300"/>
        <v>7.6317014160409149E-4</v>
      </c>
      <c r="H397" s="65">
        <f t="shared" si="300"/>
        <v>7.6317014160409149E-4</v>
      </c>
      <c r="I397" s="65">
        <f t="shared" si="300"/>
        <v>7.6317014160409149E-4</v>
      </c>
      <c r="J397" s="65">
        <f t="shared" si="300"/>
        <v>7.6317014160409149E-4</v>
      </c>
      <c r="K397" s="65">
        <f t="shared" si="300"/>
        <v>7.6317014160409149E-4</v>
      </c>
      <c r="L397" s="65">
        <f t="shared" si="300"/>
        <v>7.6317014160409149E-4</v>
      </c>
      <c r="M397" s="65">
        <f t="shared" si="300"/>
        <v>7.6317014160409149E-4</v>
      </c>
      <c r="N397" s="65">
        <f t="shared" si="300"/>
        <v>7.6317014160409149E-4</v>
      </c>
      <c r="O397" s="65">
        <f t="shared" si="300"/>
        <v>7.6317014160409149E-4</v>
      </c>
      <c r="P397" s="65">
        <f t="shared" si="300"/>
        <v>7.6317014160409149E-4</v>
      </c>
      <c r="Q397" s="65">
        <f t="shared" si="300"/>
        <v>7.6317014160409149E-4</v>
      </c>
      <c r="R397" s="65">
        <f t="shared" si="300"/>
        <v>7.6317014160409149E-4</v>
      </c>
      <c r="S397" s="65">
        <f t="shared" si="300"/>
        <v>7.6317014160409149E-4</v>
      </c>
      <c r="T397" s="65">
        <f t="shared" si="300"/>
        <v>7.6317014160409149E-4</v>
      </c>
      <c r="U397" s="65">
        <f t="shared" si="300"/>
        <v>7.6317014160409149E-4</v>
      </c>
      <c r="V397" s="65">
        <f t="shared" si="300"/>
        <v>7.6317014160409149E-4</v>
      </c>
      <c r="W397" s="65">
        <f t="shared" si="300"/>
        <v>7.6317014160409149E-4</v>
      </c>
      <c r="X397" s="65">
        <f t="shared" si="300"/>
        <v>7.6317014160409149E-4</v>
      </c>
      <c r="Y397" s="65">
        <f t="shared" si="300"/>
        <v>7.6317014160409149E-4</v>
      </c>
      <c r="Z397" s="65">
        <f t="shared" si="300"/>
        <v>7.6317014160409149E-4</v>
      </c>
      <c r="AA397" s="65">
        <f t="shared" si="300"/>
        <v>7.6317014160409149E-4</v>
      </c>
      <c r="AB397" s="65">
        <f t="shared" si="300"/>
        <v>7.6317014160409149E-4</v>
      </c>
      <c r="AC397" s="65">
        <f t="shared" si="300"/>
        <v>7.6317014160409149E-4</v>
      </c>
    </row>
    <row r="398" spans="1:29" x14ac:dyDescent="0.25">
      <c r="A398" s="30" t="str">
        <f t="shared" si="299"/>
        <v>Residual value (vehicle)</v>
      </c>
      <c r="B398" s="68">
        <f>((1+B358)^B365)*B358/(((1+B358)^B365)-1)*(B355)/B370/(B367)</f>
        <v>-1.1346797345547289E-4</v>
      </c>
      <c r="C398" s="68">
        <f t="shared" ref="C398:AC398" si="301">((1+C358)^C365)*C358/(((1+C358)^C365)-1)*(C355)/C370/(C367)</f>
        <v>-1.1303657138934111E-4</v>
      </c>
      <c r="D398" s="68">
        <f t="shared" si="301"/>
        <v>-1.1242404229769157E-4</v>
      </c>
      <c r="E398" s="68">
        <f t="shared" si="301"/>
        <v>-1.1155829128693258E-4</v>
      </c>
      <c r="F398" s="68">
        <f t="shared" si="301"/>
        <v>-1.1034279248726903E-4</v>
      </c>
      <c r="G398" s="68">
        <f t="shared" si="301"/>
        <v>-1.0865280791600897E-4</v>
      </c>
      <c r="H398" s="68">
        <f t="shared" si="301"/>
        <v>-1.0633590229126001E-4</v>
      </c>
      <c r="I398" s="68">
        <f t="shared" si="301"/>
        <v>-1.0322222940116694E-4</v>
      </c>
      <c r="J398" s="68">
        <f t="shared" si="301"/>
        <v>-9.9152057416450692E-5</v>
      </c>
      <c r="K398" s="68">
        <f t="shared" si="301"/>
        <v>-9.4026363750057009E-5</v>
      </c>
      <c r="L398" s="68">
        <f t="shared" si="301"/>
        <v>-8.7875678483444322E-5</v>
      </c>
      <c r="M398" s="68">
        <f t="shared" si="301"/>
        <v>-8.0920645629828101E-5</v>
      </c>
      <c r="N398" s="68">
        <f t="shared" si="301"/>
        <v>-7.357824598204721E-5</v>
      </c>
      <c r="O398" s="68">
        <f t="shared" si="301"/>
        <v>-6.6380331025761298E-5</v>
      </c>
      <c r="P398" s="68">
        <f t="shared" si="301"/>
        <v>-5.982792088237961E-5</v>
      </c>
      <c r="Q398" s="68">
        <f t="shared" si="301"/>
        <v>-5.4259305341653007E-5</v>
      </c>
      <c r="R398" s="68">
        <f t="shared" si="301"/>
        <v>-4.9799841576070884E-5</v>
      </c>
      <c r="S398" s="68">
        <f t="shared" si="301"/>
        <v>-4.6397072797805602E-5</v>
      </c>
      <c r="T398" s="68">
        <f t="shared" si="301"/>
        <v>-4.3895764843330094E-5</v>
      </c>
      <c r="U398" s="68">
        <f t="shared" si="301"/>
        <v>-4.2107365841462744E-5</v>
      </c>
      <c r="V398" s="68">
        <f t="shared" si="301"/>
        <v>-4.0853962251293284E-5</v>
      </c>
      <c r="W398" s="68">
        <f t="shared" si="301"/>
        <v>-3.9987783330280735E-5</v>
      </c>
      <c r="X398" s="68">
        <f t="shared" si="301"/>
        <v>-3.93950139312806E-5</v>
      </c>
      <c r="Y398" s="68">
        <f t="shared" si="301"/>
        <v>-3.8992059867999029E-5</v>
      </c>
      <c r="Z398" s="68">
        <f t="shared" si="301"/>
        <v>-3.8719385337209372E-5</v>
      </c>
      <c r="AA398" s="68">
        <f t="shared" si="301"/>
        <v>-3.8535438814060903E-5</v>
      </c>
      <c r="AB398" s="68">
        <f t="shared" si="301"/>
        <v>-3.8411606928446129E-5</v>
      </c>
      <c r="AC398" s="68">
        <f t="shared" si="301"/>
        <v>-3.832836099071531E-5</v>
      </c>
    </row>
    <row r="399" spans="1:29" x14ac:dyDescent="0.25">
      <c r="A399" s="30" t="str">
        <f t="shared" si="299"/>
        <v>Capex costumization</v>
      </c>
      <c r="B399" s="66">
        <f>((1+B358)^B366)*B358/(((1+B358)^B366)-1)*(B356)/B370/(B367)</f>
        <v>7.6311881817276459E-4</v>
      </c>
      <c r="C399" s="66">
        <f t="shared" ref="C399:AC399" si="302">((1+C358)^C366)*C358/(((1+C358)^C366)-1)*(C356)/C370/(C367)</f>
        <v>7.6311881817276459E-4</v>
      </c>
      <c r="D399" s="66">
        <f t="shared" si="302"/>
        <v>7.6311881817276459E-4</v>
      </c>
      <c r="E399" s="66">
        <f t="shared" si="302"/>
        <v>7.6311881817276459E-4</v>
      </c>
      <c r="F399" s="66">
        <f t="shared" si="302"/>
        <v>7.6311881817276459E-4</v>
      </c>
      <c r="G399" s="66">
        <f t="shared" si="302"/>
        <v>7.6311881817276459E-4</v>
      </c>
      <c r="H399" s="66">
        <f t="shared" si="302"/>
        <v>7.6311881817276459E-4</v>
      </c>
      <c r="I399" s="66">
        <f t="shared" si="302"/>
        <v>7.6311881817276459E-4</v>
      </c>
      <c r="J399" s="66">
        <f t="shared" si="302"/>
        <v>7.6311881817276459E-4</v>
      </c>
      <c r="K399" s="66">
        <f t="shared" si="302"/>
        <v>7.6311881817276459E-4</v>
      </c>
      <c r="L399" s="66">
        <f t="shared" si="302"/>
        <v>7.6311881817276459E-4</v>
      </c>
      <c r="M399" s="66">
        <f t="shared" si="302"/>
        <v>7.6311881817276459E-4</v>
      </c>
      <c r="N399" s="66">
        <f t="shared" si="302"/>
        <v>7.6311881817276459E-4</v>
      </c>
      <c r="O399" s="66">
        <f t="shared" si="302"/>
        <v>7.6311881817276459E-4</v>
      </c>
      <c r="P399" s="66">
        <f t="shared" si="302"/>
        <v>7.6311881817276459E-4</v>
      </c>
      <c r="Q399" s="66">
        <f t="shared" si="302"/>
        <v>7.6311881817276459E-4</v>
      </c>
      <c r="R399" s="66">
        <f t="shared" si="302"/>
        <v>7.6311881817276459E-4</v>
      </c>
      <c r="S399" s="66">
        <f t="shared" si="302"/>
        <v>7.6311881817276459E-4</v>
      </c>
      <c r="T399" s="66">
        <f t="shared" si="302"/>
        <v>7.6311881817276459E-4</v>
      </c>
      <c r="U399" s="66">
        <f t="shared" si="302"/>
        <v>7.6311881817276459E-4</v>
      </c>
      <c r="V399" s="66">
        <f t="shared" si="302"/>
        <v>7.6311881817276459E-4</v>
      </c>
      <c r="W399" s="66">
        <f t="shared" si="302"/>
        <v>7.6311881817276459E-4</v>
      </c>
      <c r="X399" s="66">
        <f t="shared" si="302"/>
        <v>7.6311881817276459E-4</v>
      </c>
      <c r="Y399" s="66">
        <f t="shared" si="302"/>
        <v>7.6311881817276459E-4</v>
      </c>
      <c r="Z399" s="66">
        <f t="shared" si="302"/>
        <v>7.6311881817276459E-4</v>
      </c>
      <c r="AA399" s="66">
        <f t="shared" si="302"/>
        <v>7.6311881817276459E-4</v>
      </c>
      <c r="AB399" s="66">
        <f t="shared" si="302"/>
        <v>7.6311881817276459E-4</v>
      </c>
      <c r="AC399" s="66">
        <f t="shared" si="302"/>
        <v>7.6311881817276459E-4</v>
      </c>
    </row>
    <row r="400" spans="1:29" x14ac:dyDescent="0.25">
      <c r="A400" s="30" t="str">
        <f t="shared" si="299"/>
        <v>Residual value (costumization)</v>
      </c>
      <c r="B400" s="69">
        <f>((1+B358)^B366)*B358/(((1+B358)^B366)-1)*(B357)/B370/(B367)</f>
        <v>-3.8155940908638231E-5</v>
      </c>
      <c r="C400" s="69">
        <f t="shared" ref="C400:AC400" si="303">((1+C358)^C366)*C358/(((1+C358)^C366)-1)*(C357)/C370/(C367)</f>
        <v>-3.8155940908638231E-5</v>
      </c>
      <c r="D400" s="69">
        <f t="shared" si="303"/>
        <v>-3.8155940908638231E-5</v>
      </c>
      <c r="E400" s="69">
        <f t="shared" si="303"/>
        <v>-3.8155940908638231E-5</v>
      </c>
      <c r="F400" s="69">
        <f t="shared" si="303"/>
        <v>-3.8155940908638231E-5</v>
      </c>
      <c r="G400" s="69">
        <f t="shared" si="303"/>
        <v>-3.8155940908638231E-5</v>
      </c>
      <c r="H400" s="69">
        <f t="shared" si="303"/>
        <v>-3.8155940908638231E-5</v>
      </c>
      <c r="I400" s="69">
        <f t="shared" si="303"/>
        <v>-3.8155940908638231E-5</v>
      </c>
      <c r="J400" s="69">
        <f t="shared" si="303"/>
        <v>-3.8155940908638231E-5</v>
      </c>
      <c r="K400" s="69">
        <f t="shared" si="303"/>
        <v>-3.8155940908638231E-5</v>
      </c>
      <c r="L400" s="69">
        <f t="shared" si="303"/>
        <v>-3.8155940908638231E-5</v>
      </c>
      <c r="M400" s="69">
        <f t="shared" si="303"/>
        <v>-3.8155940908638231E-5</v>
      </c>
      <c r="N400" s="69">
        <f t="shared" si="303"/>
        <v>-3.8155940908638231E-5</v>
      </c>
      <c r="O400" s="69">
        <f t="shared" si="303"/>
        <v>-3.8155940908638231E-5</v>
      </c>
      <c r="P400" s="69">
        <f t="shared" si="303"/>
        <v>-3.8155940908638231E-5</v>
      </c>
      <c r="Q400" s="69">
        <f t="shared" si="303"/>
        <v>-3.8155940908638231E-5</v>
      </c>
      <c r="R400" s="69">
        <f t="shared" si="303"/>
        <v>-3.8155940908638231E-5</v>
      </c>
      <c r="S400" s="69">
        <f t="shared" si="303"/>
        <v>-3.8155940908638231E-5</v>
      </c>
      <c r="T400" s="69">
        <f t="shared" si="303"/>
        <v>-3.8155940908638231E-5</v>
      </c>
      <c r="U400" s="69">
        <f t="shared" si="303"/>
        <v>-3.8155940908638231E-5</v>
      </c>
      <c r="V400" s="69">
        <f t="shared" si="303"/>
        <v>-3.8155940908638231E-5</v>
      </c>
      <c r="W400" s="69">
        <f t="shared" si="303"/>
        <v>-3.8155940908638231E-5</v>
      </c>
      <c r="X400" s="69">
        <f t="shared" si="303"/>
        <v>-3.8155940908638231E-5</v>
      </c>
      <c r="Y400" s="69">
        <f t="shared" si="303"/>
        <v>-3.8155940908638231E-5</v>
      </c>
      <c r="Z400" s="69">
        <f t="shared" si="303"/>
        <v>-3.8155940908638231E-5</v>
      </c>
      <c r="AA400" s="69">
        <f t="shared" si="303"/>
        <v>-3.8155940908638231E-5</v>
      </c>
      <c r="AB400" s="69">
        <f t="shared" si="303"/>
        <v>-3.8155940908638231E-5</v>
      </c>
      <c r="AC400" s="69">
        <f t="shared" si="303"/>
        <v>-3.8155940908638231E-5</v>
      </c>
    </row>
    <row r="401" spans="1:29" x14ac:dyDescent="0.25">
      <c r="A401" s="30" t="str">
        <f t="shared" si="299"/>
        <v>Opex fix (admin, crew, insurance)</v>
      </c>
      <c r="B401" s="66">
        <f>B359/B370/(B367)</f>
        <v>3.6264505802320927E-3</v>
      </c>
      <c r="C401" s="66">
        <f t="shared" ref="C401:AC401" si="304">C359/C370/(C367)</f>
        <v>3.6264505802320927E-3</v>
      </c>
      <c r="D401" s="66">
        <f t="shared" si="304"/>
        <v>3.6264505802320927E-3</v>
      </c>
      <c r="E401" s="66">
        <f t="shared" si="304"/>
        <v>3.6264505802320927E-3</v>
      </c>
      <c r="F401" s="66">
        <f t="shared" si="304"/>
        <v>3.6264505802320927E-3</v>
      </c>
      <c r="G401" s="66">
        <f t="shared" si="304"/>
        <v>3.6264505802320927E-3</v>
      </c>
      <c r="H401" s="66">
        <f t="shared" si="304"/>
        <v>3.6264505802320927E-3</v>
      </c>
      <c r="I401" s="66">
        <f t="shared" si="304"/>
        <v>3.6264505802320927E-3</v>
      </c>
      <c r="J401" s="66">
        <f t="shared" si="304"/>
        <v>3.6264505802320927E-3</v>
      </c>
      <c r="K401" s="66">
        <f t="shared" si="304"/>
        <v>3.6264505802320927E-3</v>
      </c>
      <c r="L401" s="66">
        <f t="shared" si="304"/>
        <v>3.6264505802320927E-3</v>
      </c>
      <c r="M401" s="66">
        <f t="shared" si="304"/>
        <v>3.6264505802320927E-3</v>
      </c>
      <c r="N401" s="66">
        <f t="shared" si="304"/>
        <v>3.6264505802320927E-3</v>
      </c>
      <c r="O401" s="66">
        <f t="shared" si="304"/>
        <v>3.6264505802320927E-3</v>
      </c>
      <c r="P401" s="66">
        <f t="shared" si="304"/>
        <v>3.6264505802320927E-3</v>
      </c>
      <c r="Q401" s="66">
        <f t="shared" si="304"/>
        <v>3.6264505802320927E-3</v>
      </c>
      <c r="R401" s="66">
        <f t="shared" si="304"/>
        <v>3.6264505802320927E-3</v>
      </c>
      <c r="S401" s="66">
        <f t="shared" si="304"/>
        <v>3.6264505802320927E-3</v>
      </c>
      <c r="T401" s="66">
        <f t="shared" si="304"/>
        <v>3.6264505802320927E-3</v>
      </c>
      <c r="U401" s="66">
        <f t="shared" si="304"/>
        <v>3.6264505802320927E-3</v>
      </c>
      <c r="V401" s="66">
        <f t="shared" si="304"/>
        <v>3.6264505802320927E-3</v>
      </c>
      <c r="W401" s="66">
        <f t="shared" si="304"/>
        <v>3.6264505802320927E-3</v>
      </c>
      <c r="X401" s="66">
        <f t="shared" si="304"/>
        <v>3.6264505802320927E-3</v>
      </c>
      <c r="Y401" s="66">
        <f t="shared" si="304"/>
        <v>3.6264505802320927E-3</v>
      </c>
      <c r="Z401" s="66">
        <f t="shared" si="304"/>
        <v>3.6264505802320927E-3</v>
      </c>
      <c r="AA401" s="66">
        <f t="shared" si="304"/>
        <v>3.6264505802320927E-3</v>
      </c>
      <c r="AB401" s="66">
        <f t="shared" si="304"/>
        <v>3.6264505802320927E-3</v>
      </c>
      <c r="AC401" s="66">
        <f t="shared" si="304"/>
        <v>3.6264505802320927E-3</v>
      </c>
    </row>
    <row r="402" spans="1:29" x14ac:dyDescent="0.25">
      <c r="A402" s="30" t="str">
        <f t="shared" si="299"/>
        <v>Opex maintenance &amp; repair</v>
      </c>
      <c r="B402" s="66">
        <f>B360/B370/(B367)</f>
        <v>2.6260504201680674E-3</v>
      </c>
      <c r="C402" s="66">
        <f t="shared" ref="C402:AC402" si="305">C360/C370/(C367)</f>
        <v>2.6260504201680674E-3</v>
      </c>
      <c r="D402" s="66">
        <f t="shared" si="305"/>
        <v>2.6260504201680674E-3</v>
      </c>
      <c r="E402" s="66">
        <f t="shared" si="305"/>
        <v>2.6260504201680674E-3</v>
      </c>
      <c r="F402" s="66">
        <f t="shared" si="305"/>
        <v>2.6260504201680674E-3</v>
      </c>
      <c r="G402" s="66">
        <f t="shared" si="305"/>
        <v>2.6260504201680674E-3</v>
      </c>
      <c r="H402" s="66">
        <f t="shared" si="305"/>
        <v>2.6260504201680674E-3</v>
      </c>
      <c r="I402" s="66">
        <f t="shared" si="305"/>
        <v>2.6260504201680674E-3</v>
      </c>
      <c r="J402" s="66">
        <f t="shared" si="305"/>
        <v>2.6260504201680674E-3</v>
      </c>
      <c r="K402" s="66">
        <f t="shared" si="305"/>
        <v>2.6260504201680674E-3</v>
      </c>
      <c r="L402" s="66">
        <f t="shared" si="305"/>
        <v>2.6260504201680674E-3</v>
      </c>
      <c r="M402" s="66">
        <f t="shared" si="305"/>
        <v>2.6260504201680674E-3</v>
      </c>
      <c r="N402" s="66">
        <f t="shared" si="305"/>
        <v>2.6260504201680674E-3</v>
      </c>
      <c r="O402" s="66">
        <f t="shared" si="305"/>
        <v>2.6260504201680674E-3</v>
      </c>
      <c r="P402" s="66">
        <f t="shared" si="305"/>
        <v>2.6260504201680674E-3</v>
      </c>
      <c r="Q402" s="66">
        <f t="shared" si="305"/>
        <v>2.6260504201680674E-3</v>
      </c>
      <c r="R402" s="66">
        <f t="shared" si="305"/>
        <v>2.6260504201680674E-3</v>
      </c>
      <c r="S402" s="66">
        <f t="shared" si="305"/>
        <v>2.6260504201680674E-3</v>
      </c>
      <c r="T402" s="66">
        <f t="shared" si="305"/>
        <v>2.6260504201680674E-3</v>
      </c>
      <c r="U402" s="66">
        <f t="shared" si="305"/>
        <v>2.6260504201680674E-3</v>
      </c>
      <c r="V402" s="66">
        <f t="shared" si="305"/>
        <v>2.6260504201680674E-3</v>
      </c>
      <c r="W402" s="66">
        <f t="shared" si="305"/>
        <v>2.6260504201680674E-3</v>
      </c>
      <c r="X402" s="66">
        <f t="shared" si="305"/>
        <v>2.6260504201680674E-3</v>
      </c>
      <c r="Y402" s="66">
        <f t="shared" si="305"/>
        <v>2.6260504201680674E-3</v>
      </c>
      <c r="Z402" s="66">
        <f t="shared" si="305"/>
        <v>2.6260504201680674E-3</v>
      </c>
      <c r="AA402" s="66">
        <f t="shared" si="305"/>
        <v>2.6260504201680674E-3</v>
      </c>
      <c r="AB402" s="66">
        <f t="shared" si="305"/>
        <v>2.6260504201680674E-3</v>
      </c>
      <c r="AC402" s="66">
        <f t="shared" si="305"/>
        <v>2.6260504201680674E-3</v>
      </c>
    </row>
    <row r="403" spans="1:29" x14ac:dyDescent="0.25">
      <c r="A403" s="30" t="str">
        <f t="shared" si="299"/>
        <v>Opex var (mode-fees, shunting)</v>
      </c>
      <c r="B403" s="66">
        <f>B361*B370/B370/(B367)</f>
        <v>4.0016006402561026E-3</v>
      </c>
      <c r="C403" s="66">
        <f t="shared" ref="C403:AC403" si="306">C361*C370/C370/(C367)</f>
        <v>4.0016006402561026E-3</v>
      </c>
      <c r="D403" s="66">
        <f t="shared" si="306"/>
        <v>4.0016006402561026E-3</v>
      </c>
      <c r="E403" s="66">
        <f t="shared" si="306"/>
        <v>4.0016006402561026E-3</v>
      </c>
      <c r="F403" s="66">
        <f t="shared" si="306"/>
        <v>4.0016006402561026E-3</v>
      </c>
      <c r="G403" s="66">
        <f t="shared" si="306"/>
        <v>4.0016006402561026E-3</v>
      </c>
      <c r="H403" s="66">
        <f t="shared" si="306"/>
        <v>4.0016006402561026E-3</v>
      </c>
      <c r="I403" s="66">
        <f t="shared" si="306"/>
        <v>4.0016006402561026E-3</v>
      </c>
      <c r="J403" s="66">
        <f t="shared" si="306"/>
        <v>4.0016006402561026E-3</v>
      </c>
      <c r="K403" s="66">
        <f t="shared" si="306"/>
        <v>4.0016006402561026E-3</v>
      </c>
      <c r="L403" s="66">
        <f t="shared" si="306"/>
        <v>4.0016006402561026E-3</v>
      </c>
      <c r="M403" s="66">
        <f t="shared" si="306"/>
        <v>4.0016006402561026E-3</v>
      </c>
      <c r="N403" s="66">
        <f t="shared" si="306"/>
        <v>4.0016006402561026E-3</v>
      </c>
      <c r="O403" s="66">
        <f t="shared" si="306"/>
        <v>4.0016006402561026E-3</v>
      </c>
      <c r="P403" s="66">
        <f t="shared" si="306"/>
        <v>4.0016006402561026E-3</v>
      </c>
      <c r="Q403" s="66">
        <f t="shared" si="306"/>
        <v>4.0016006402561026E-3</v>
      </c>
      <c r="R403" s="66">
        <f t="shared" si="306"/>
        <v>4.0016006402561026E-3</v>
      </c>
      <c r="S403" s="66">
        <f t="shared" si="306"/>
        <v>4.0016006402561026E-3</v>
      </c>
      <c r="T403" s="66">
        <f t="shared" si="306"/>
        <v>4.0016006402561026E-3</v>
      </c>
      <c r="U403" s="66">
        <f t="shared" si="306"/>
        <v>4.0016006402561026E-3</v>
      </c>
      <c r="V403" s="66">
        <f t="shared" si="306"/>
        <v>4.0016006402561026E-3</v>
      </c>
      <c r="W403" s="66">
        <f t="shared" si="306"/>
        <v>4.0016006402561026E-3</v>
      </c>
      <c r="X403" s="66">
        <f t="shared" si="306"/>
        <v>4.0016006402561026E-3</v>
      </c>
      <c r="Y403" s="66">
        <f t="shared" si="306"/>
        <v>4.0016006402561026E-3</v>
      </c>
      <c r="Z403" s="66">
        <f t="shared" si="306"/>
        <v>4.0016006402561026E-3</v>
      </c>
      <c r="AA403" s="66">
        <f t="shared" si="306"/>
        <v>4.0016006402561026E-3</v>
      </c>
      <c r="AB403" s="66">
        <f t="shared" si="306"/>
        <v>4.0016006402561026E-3</v>
      </c>
      <c r="AC403" s="66">
        <f t="shared" si="306"/>
        <v>4.0016006402561026E-3</v>
      </c>
    </row>
    <row r="404" spans="1:29" x14ac:dyDescent="0.25">
      <c r="A404" s="30" t="str">
        <f t="shared" si="299"/>
        <v>Fuel Cost</v>
      </c>
      <c r="B404" s="66">
        <f>B362*B363*B370/B370/(B367)</f>
        <v>1.9863208475390157E-3</v>
      </c>
      <c r="C404" s="66">
        <f t="shared" ref="C404:AC404" si="307">C362*C363*C370/C370/(C367)</f>
        <v>1.8493332028811521E-3</v>
      </c>
      <c r="D404" s="66">
        <f t="shared" si="307"/>
        <v>1.7123455582232895E-3</v>
      </c>
      <c r="E404" s="66">
        <f t="shared" si="307"/>
        <v>1.5753579135654259E-3</v>
      </c>
      <c r="F404" s="66">
        <f t="shared" si="307"/>
        <v>1.4383702689075631E-3</v>
      </c>
      <c r="G404" s="66">
        <f t="shared" si="307"/>
        <v>1.3013826242497001E-3</v>
      </c>
      <c r="H404" s="66">
        <f t="shared" si="307"/>
        <v>1.1643949795918369E-3</v>
      </c>
      <c r="I404" s="66">
        <f t="shared" si="307"/>
        <v>1.0274073349339737E-3</v>
      </c>
      <c r="J404" s="66">
        <f t="shared" si="307"/>
        <v>1.0066145674412622E-3</v>
      </c>
      <c r="K404" s="66">
        <f t="shared" si="307"/>
        <v>9.8582179994855077E-4</v>
      </c>
      <c r="L404" s="66">
        <f t="shared" si="307"/>
        <v>9.650290324558394E-4</v>
      </c>
      <c r="M404" s="66">
        <f t="shared" si="307"/>
        <v>9.4423626496312793E-4</v>
      </c>
      <c r="N404" s="66">
        <f t="shared" si="307"/>
        <v>9.2344349747041678E-4</v>
      </c>
      <c r="O404" s="66">
        <f t="shared" si="307"/>
        <v>9.026507299777053E-4</v>
      </c>
      <c r="P404" s="66">
        <f t="shared" si="307"/>
        <v>8.8185796248499405E-4</v>
      </c>
      <c r="Q404" s="66">
        <f t="shared" si="307"/>
        <v>8.6106519499228268E-4</v>
      </c>
      <c r="R404" s="66">
        <f t="shared" si="307"/>
        <v>8.402724274995711E-4</v>
      </c>
      <c r="S404" s="66">
        <f t="shared" si="307"/>
        <v>8.1947966000685995E-4</v>
      </c>
      <c r="T404" s="66">
        <f t="shared" si="307"/>
        <v>7.9868689251414858E-4</v>
      </c>
      <c r="U404" s="66">
        <f t="shared" si="307"/>
        <v>7.7789412502143711E-4</v>
      </c>
      <c r="V404" s="66">
        <f t="shared" si="307"/>
        <v>7.5710135752872563E-4</v>
      </c>
      <c r="W404" s="66">
        <f t="shared" si="307"/>
        <v>7.3630859003601427E-4</v>
      </c>
      <c r="X404" s="66">
        <f t="shared" si="307"/>
        <v>7.1551582254330312E-4</v>
      </c>
      <c r="Y404" s="66">
        <f t="shared" si="307"/>
        <v>6.9472305505059154E-4</v>
      </c>
      <c r="Z404" s="66">
        <f t="shared" si="307"/>
        <v>6.7393028755788017E-4</v>
      </c>
      <c r="AA404" s="66">
        <f t="shared" si="307"/>
        <v>6.5313752006516891E-4</v>
      </c>
      <c r="AB404" s="66">
        <f t="shared" si="307"/>
        <v>6.3234475257245744E-4</v>
      </c>
      <c r="AC404" s="66">
        <f t="shared" si="307"/>
        <v>6.1155198507974618E-4</v>
      </c>
    </row>
    <row r="405" spans="1:29" x14ac:dyDescent="0.25">
      <c r="A405" s="59" t="str">
        <f>A368</f>
        <v>Market failure (av. utilization)</v>
      </c>
      <c r="B405" s="66">
        <f t="shared" ref="B405:AC405" si="308">B394/B368-B394/B367</f>
        <v>5.3244331059987254E-3</v>
      </c>
      <c r="C405" s="66">
        <f t="shared" si="308"/>
        <v>5.2713279005463833E-3</v>
      </c>
      <c r="D405" s="66">
        <f t="shared" si="308"/>
        <v>5.2182931333817472E-3</v>
      </c>
      <c r="E405" s="66">
        <f t="shared" si="308"/>
        <v>5.1653568414078734E-3</v>
      </c>
      <c r="F405" s="66">
        <f t="shared" si="308"/>
        <v>5.1125565624630179E-3</v>
      </c>
      <c r="G405" s="66">
        <f t="shared" si="308"/>
        <v>5.0599408057626725E-3</v>
      </c>
      <c r="H405" s="66">
        <f t="shared" si="308"/>
        <v>5.0075688516942399E-3</v>
      </c>
      <c r="I405" s="66">
        <f t="shared" si="308"/>
        <v>4.9555067515623264E-3</v>
      </c>
      <c r="J405" s="66">
        <f t="shared" si="308"/>
        <v>4.9490035199758857E-3</v>
      </c>
      <c r="K405" s="66">
        <f t="shared" si="308"/>
        <v>4.9429107690434279E-3</v>
      </c>
      <c r="L405" s="66">
        <f t="shared" si="308"/>
        <v>4.9372166259555022E-3</v>
      </c>
      <c r="M405" s="66">
        <f t="shared" si="308"/>
        <v>4.9318352847069653E-3</v>
      </c>
      <c r="N405" s="66">
        <f t="shared" si="308"/>
        <v>4.9266045861006014E-3</v>
      </c>
      <c r="O405" s="66">
        <f t="shared" si="308"/>
        <v>4.9213176990031034E-3</v>
      </c>
      <c r="P405" s="66">
        <f t="shared" si="308"/>
        <v>4.9157797822561439E-3</v>
      </c>
      <c r="Q405" s="66">
        <f t="shared" si="308"/>
        <v>4.9098592787192585E-3</v>
      </c>
      <c r="R405" s="66">
        <f t="shared" si="308"/>
        <v>4.9035074383809302E-3</v>
      </c>
      <c r="S405" s="66">
        <f t="shared" si="308"/>
        <v>4.8967446611030922E-3</v>
      </c>
      <c r="T405" s="66">
        <f t="shared" si="308"/>
        <v>4.8896313157271113E-3</v>
      </c>
      <c r="U405" s="66">
        <f t="shared" si="308"/>
        <v>4.88224072798067E-3</v>
      </c>
      <c r="V405" s="66">
        <f t="shared" si="308"/>
        <v>4.8746420864630158E-3</v>
      </c>
      <c r="W405" s="66">
        <f t="shared" si="308"/>
        <v>4.8668928575740233E-3</v>
      </c>
      <c r="X405" s="66">
        <f t="shared" si="308"/>
        <v>4.8590373027597999E-3</v>
      </c>
      <c r="Y405" s="66">
        <f t="shared" si="308"/>
        <v>4.8511079308705771E-3</v>
      </c>
      <c r="Z405" s="66">
        <f t="shared" si="308"/>
        <v>4.8431278947187201E-3</v>
      </c>
      <c r="AA405" s="66">
        <f t="shared" si="308"/>
        <v>4.8351133532305579E-3</v>
      </c>
      <c r="AB405" s="66">
        <f t="shared" si="308"/>
        <v>4.827075433827795E-3</v>
      </c>
      <c r="AC405" s="66">
        <f t="shared" si="308"/>
        <v>4.8190217310008585E-3</v>
      </c>
    </row>
    <row r="406" spans="1:29" x14ac:dyDescent="0.25">
      <c r="A406" s="59" t="str">
        <f>A369</f>
        <v>Payload loss (fuel)</v>
      </c>
      <c r="B406" s="66">
        <f>B394/(B367-B369)-B394/B367</f>
        <v>0</v>
      </c>
      <c r="C406" s="66">
        <f t="shared" ref="C406:AC406" si="309">C394/(C367-C369)-C394/C367</f>
        <v>0</v>
      </c>
      <c r="D406" s="66">
        <f t="shared" si="309"/>
        <v>0</v>
      </c>
      <c r="E406" s="66">
        <f t="shared" si="309"/>
        <v>0</v>
      </c>
      <c r="F406" s="66">
        <f t="shared" si="309"/>
        <v>0</v>
      </c>
      <c r="G406" s="66">
        <f t="shared" si="309"/>
        <v>0</v>
      </c>
      <c r="H406" s="66">
        <f t="shared" si="309"/>
        <v>0</v>
      </c>
      <c r="I406" s="66">
        <f t="shared" si="309"/>
        <v>0</v>
      </c>
      <c r="J406" s="66">
        <f t="shared" si="309"/>
        <v>0</v>
      </c>
      <c r="K406" s="66">
        <f t="shared" si="309"/>
        <v>0</v>
      </c>
      <c r="L406" s="66">
        <f t="shared" si="309"/>
        <v>0</v>
      </c>
      <c r="M406" s="66">
        <f t="shared" si="309"/>
        <v>0</v>
      </c>
      <c r="N406" s="66">
        <f t="shared" si="309"/>
        <v>0</v>
      </c>
      <c r="O406" s="66">
        <f t="shared" si="309"/>
        <v>0</v>
      </c>
      <c r="P406" s="66">
        <f t="shared" si="309"/>
        <v>0</v>
      </c>
      <c r="Q406" s="66">
        <f t="shared" si="309"/>
        <v>0</v>
      </c>
      <c r="R406" s="66">
        <f t="shared" si="309"/>
        <v>0</v>
      </c>
      <c r="S406" s="66">
        <f t="shared" si="309"/>
        <v>0</v>
      </c>
      <c r="T406" s="66">
        <f t="shared" si="309"/>
        <v>0</v>
      </c>
      <c r="U406" s="66">
        <f t="shared" si="309"/>
        <v>0</v>
      </c>
      <c r="V406" s="66">
        <f t="shared" si="309"/>
        <v>0</v>
      </c>
      <c r="W406" s="66">
        <f t="shared" si="309"/>
        <v>0</v>
      </c>
      <c r="X406" s="66">
        <f t="shared" si="309"/>
        <v>0</v>
      </c>
      <c r="Y406" s="66">
        <f t="shared" si="309"/>
        <v>0</v>
      </c>
      <c r="Z406" s="66">
        <f t="shared" si="309"/>
        <v>0</v>
      </c>
      <c r="AA406" s="66">
        <f t="shared" si="309"/>
        <v>0</v>
      </c>
      <c r="AB406" s="66">
        <f t="shared" si="309"/>
        <v>0</v>
      </c>
      <c r="AC406" s="66">
        <f t="shared" si="309"/>
        <v>0</v>
      </c>
    </row>
    <row r="407" spans="1:29" ht="15.75" thickBot="1" x14ac:dyDescent="0.3">
      <c r="A407" s="59" t="str">
        <f>A344</f>
        <v>Emission Cost</v>
      </c>
      <c r="B407" s="66">
        <f>B364*B370/B370/(B367)</f>
        <v>0</v>
      </c>
      <c r="C407" s="66">
        <f t="shared" ref="C407:AC407" si="310">C364*C370/C370/(C367)</f>
        <v>0</v>
      </c>
      <c r="D407" s="66">
        <f t="shared" si="310"/>
        <v>0</v>
      </c>
      <c r="E407" s="66">
        <f t="shared" si="310"/>
        <v>0</v>
      </c>
      <c r="F407" s="66">
        <f t="shared" si="310"/>
        <v>0</v>
      </c>
      <c r="G407" s="66">
        <f t="shared" si="310"/>
        <v>0</v>
      </c>
      <c r="H407" s="66">
        <f t="shared" si="310"/>
        <v>0</v>
      </c>
      <c r="I407" s="66">
        <f t="shared" si="310"/>
        <v>0</v>
      </c>
      <c r="J407" s="66">
        <f t="shared" si="310"/>
        <v>0</v>
      </c>
      <c r="K407" s="66">
        <f t="shared" si="310"/>
        <v>0</v>
      </c>
      <c r="L407" s="66">
        <f t="shared" si="310"/>
        <v>0</v>
      </c>
      <c r="M407" s="66">
        <f t="shared" si="310"/>
        <v>0</v>
      </c>
      <c r="N407" s="66">
        <f t="shared" si="310"/>
        <v>0</v>
      </c>
      <c r="O407" s="66">
        <f t="shared" si="310"/>
        <v>0</v>
      </c>
      <c r="P407" s="66">
        <f t="shared" si="310"/>
        <v>0</v>
      </c>
      <c r="Q407" s="66">
        <f t="shared" si="310"/>
        <v>0</v>
      </c>
      <c r="R407" s="66">
        <f t="shared" si="310"/>
        <v>0</v>
      </c>
      <c r="S407" s="66">
        <f t="shared" si="310"/>
        <v>0</v>
      </c>
      <c r="T407" s="66">
        <f t="shared" si="310"/>
        <v>0</v>
      </c>
      <c r="U407" s="66">
        <f t="shared" si="310"/>
        <v>0</v>
      </c>
      <c r="V407" s="66">
        <f t="shared" si="310"/>
        <v>0</v>
      </c>
      <c r="W407" s="66">
        <f t="shared" si="310"/>
        <v>0</v>
      </c>
      <c r="X407" s="66">
        <f t="shared" si="310"/>
        <v>0</v>
      </c>
      <c r="Y407" s="66">
        <f t="shared" si="310"/>
        <v>0</v>
      </c>
      <c r="Z407" s="66">
        <f t="shared" si="310"/>
        <v>0</v>
      </c>
      <c r="AA407" s="66">
        <f t="shared" si="310"/>
        <v>0</v>
      </c>
      <c r="AB407" s="66">
        <f t="shared" si="310"/>
        <v>0</v>
      </c>
      <c r="AC407" s="66">
        <f t="shared" si="310"/>
        <v>0</v>
      </c>
    </row>
    <row r="408" spans="1:29" ht="15.75" thickBot="1" x14ac:dyDescent="0.3">
      <c r="A408" s="31" t="s">
        <v>210</v>
      </c>
      <c r="B408" s="67">
        <f>B397+B398+B399+B400+B401+B402+B403+B404+B405+B406+B407</f>
        <v>1.8939520639606751E-2</v>
      </c>
      <c r="C408" s="67">
        <f t="shared" ref="C408:AC408" si="311">C397+C398+C399+C400+C401+C402+C403+C404+C405+C406+C407</f>
        <v>1.8749859191562676E-2</v>
      </c>
      <c r="D408" s="67">
        <f t="shared" si="311"/>
        <v>1.8560449308831824E-2</v>
      </c>
      <c r="E408" s="67">
        <f t="shared" si="311"/>
        <v>1.8371391123210845E-2</v>
      </c>
      <c r="F408" s="67">
        <f t="shared" si="311"/>
        <v>1.8182818698407793E-2</v>
      </c>
      <c r="G408" s="67">
        <f t="shared" si="311"/>
        <v>1.7994905281620843E-2</v>
      </c>
      <c r="H408" s="67">
        <f t="shared" si="311"/>
        <v>1.7807862588519296E-2</v>
      </c>
      <c r="I408" s="67">
        <f t="shared" si="311"/>
        <v>1.7621926516619611E-2</v>
      </c>
      <c r="J408" s="67">
        <f t="shared" si="311"/>
        <v>1.7598700689525175E-2</v>
      </c>
      <c r="K408" s="67">
        <f t="shared" si="311"/>
        <v>1.7576940864766404E-2</v>
      </c>
      <c r="L408" s="67">
        <f t="shared" si="311"/>
        <v>1.7556604639452376E-2</v>
      </c>
      <c r="M408" s="67">
        <f t="shared" si="311"/>
        <v>1.7537385563564746E-2</v>
      </c>
      <c r="N408" s="67">
        <f t="shared" si="311"/>
        <v>1.7518704497113451E-2</v>
      </c>
      <c r="O408" s="67">
        <f t="shared" si="311"/>
        <v>1.7499822757479529E-2</v>
      </c>
      <c r="P408" s="67">
        <f t="shared" si="311"/>
        <v>1.748004448338324E-2</v>
      </c>
      <c r="Q408" s="67">
        <f t="shared" si="311"/>
        <v>1.7458899827894371E-2</v>
      </c>
      <c r="R408" s="67">
        <f t="shared" si="311"/>
        <v>1.7436214683828909E-2</v>
      </c>
      <c r="S408" s="67">
        <f t="shared" si="311"/>
        <v>1.7412061907836625E-2</v>
      </c>
      <c r="T408" s="67">
        <f t="shared" si="311"/>
        <v>1.7386657102922413E-2</v>
      </c>
      <c r="U408" s="67">
        <f t="shared" si="311"/>
        <v>1.7360262146685124E-2</v>
      </c>
      <c r="V408" s="67">
        <f t="shared" si="311"/>
        <v>1.7333124141264929E-2</v>
      </c>
      <c r="W408" s="67">
        <f t="shared" si="311"/>
        <v>1.7305448323804238E-2</v>
      </c>
      <c r="X408" s="67">
        <f t="shared" si="311"/>
        <v>1.7277392770896301E-2</v>
      </c>
      <c r="Y408" s="67">
        <f t="shared" si="311"/>
        <v>1.7249073585577653E-2</v>
      </c>
      <c r="Z408" s="67">
        <f t="shared" si="311"/>
        <v>1.722057345646387E-2</v>
      </c>
      <c r="AA408" s="67">
        <f t="shared" si="311"/>
        <v>1.7191950094006148E-2</v>
      </c>
      <c r="AB408" s="67">
        <f t="shared" si="311"/>
        <v>1.7163243238996286E-2</v>
      </c>
      <c r="AC408" s="67">
        <f t="shared" si="311"/>
        <v>1.7134480014614373E-2</v>
      </c>
    </row>
    <row r="410" spans="1:29" x14ac:dyDescent="0.25">
      <c r="B410" s="40"/>
    </row>
    <row r="429" spans="1:1" s="3" customFormat="1" ht="21" x14ac:dyDescent="0.35">
      <c r="A429" s="2" t="str">
        <f>'Parameter Input'!A193</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Input'!$L$147</f>
        <v>3500000</v>
      </c>
      <c r="C439" s="42">
        <f>'Parameter Input'!$M$147</f>
        <v>3500000</v>
      </c>
      <c r="D439" s="1" t="s">
        <v>15</v>
      </c>
      <c r="L439" s="51">
        <f>'Parameter Input'!$O$147</f>
        <v>12</v>
      </c>
      <c r="M439" s="52">
        <v>0</v>
      </c>
      <c r="N439" s="52">
        <v>1</v>
      </c>
      <c r="O439" s="52">
        <f>'Parameter Input'!$P$147</f>
        <v>0.9</v>
      </c>
      <c r="P439" s="53">
        <f>'Parameter Input'!$Q$147</f>
        <v>0.4</v>
      </c>
      <c r="Q439" s="4">
        <f t="shared" ref="Q439:AR448" si="312">$N439+($M439-$N439)*((1/(1+EXP(-$P439*(Q$9-$L439)))^$O439))</f>
        <v>0.9867978615748374</v>
      </c>
      <c r="R439" s="4">
        <f t="shared" si="312"/>
        <v>0.98114509762858249</v>
      </c>
      <c r="S439" s="4">
        <f t="shared" si="312"/>
        <v>0.97311898315872036</v>
      </c>
      <c r="T439" s="4">
        <f t="shared" si="312"/>
        <v>0.96177484161592774</v>
      </c>
      <c r="U439" s="4">
        <f t="shared" si="312"/>
        <v>0.94584787155511363</v>
      </c>
      <c r="V439" s="4">
        <f t="shared" si="312"/>
        <v>0.92370360150141495</v>
      </c>
      <c r="W439" s="4">
        <f t="shared" si="312"/>
        <v>0.89334463567658451</v>
      </c>
      <c r="X439" s="4">
        <f t="shared" si="312"/>
        <v>0.85254543874327005</v>
      </c>
      <c r="Y439" s="4">
        <f t="shared" si="312"/>
        <v>0.79921300652623883</v>
      </c>
      <c r="Z439" s="4">
        <f t="shared" si="312"/>
        <v>0.73204982249993378</v>
      </c>
      <c r="AA439" s="4">
        <f t="shared" si="312"/>
        <v>0.65145592958786691</v>
      </c>
      <c r="AB439" s="4">
        <f t="shared" si="312"/>
        <v>0.56032247880849573</v>
      </c>
      <c r="AC439" s="4">
        <f t="shared" si="312"/>
        <v>0.46411326873185343</v>
      </c>
      <c r="AD439" s="4">
        <f t="shared" si="312"/>
        <v>0.36979727595523937</v>
      </c>
      <c r="AE439" s="4">
        <f t="shared" si="312"/>
        <v>0.28393948637231203</v>
      </c>
      <c r="AF439" s="4">
        <f t="shared" si="312"/>
        <v>0.21097259161117732</v>
      </c>
      <c r="AG439" s="4">
        <f t="shared" si="312"/>
        <v>0.15253917653798199</v>
      </c>
      <c r="AH439" s="4">
        <f t="shared" si="312"/>
        <v>0.10795188737709993</v>
      </c>
      <c r="AI439" s="4">
        <f t="shared" si="312"/>
        <v>7.5176653938091809E-2</v>
      </c>
      <c r="AJ439" s="4">
        <f t="shared" si="312"/>
        <v>5.1742836177502194E-2</v>
      </c>
      <c r="AK439" s="4">
        <f t="shared" si="312"/>
        <v>3.5319190625345942E-2</v>
      </c>
      <c r="AL439" s="4">
        <f t="shared" si="312"/>
        <v>2.3969442072658165E-2</v>
      </c>
      <c r="AM439" s="4">
        <f t="shared" si="312"/>
        <v>1.6202243558389728E-2</v>
      </c>
      <c r="AN439" s="4">
        <f t="shared" si="312"/>
        <v>1.0922240564108399E-2</v>
      </c>
      <c r="AO439" s="4">
        <f t="shared" si="312"/>
        <v>7.3493212906090566E-3</v>
      </c>
      <c r="AP439" s="4">
        <f t="shared" si="312"/>
        <v>4.9390262185057265E-3</v>
      </c>
      <c r="AQ439" s="4">
        <f t="shared" si="312"/>
        <v>3.3164275492956197E-3</v>
      </c>
      <c r="AR439" s="4">
        <f t="shared" si="312"/>
        <v>2.2256362146679809E-3</v>
      </c>
    </row>
    <row r="440" spans="1:44" x14ac:dyDescent="0.25">
      <c r="A440" s="24" t="s">
        <v>28</v>
      </c>
      <c r="B440" s="60">
        <f>'Parameter Input'!$L$148</f>
        <v>-525000</v>
      </c>
      <c r="C440" s="61">
        <f>'Parameter Input'!$M$148</f>
        <v>-175000</v>
      </c>
      <c r="D440" s="1" t="s">
        <v>15</v>
      </c>
      <c r="L440" s="54">
        <f>'Parameter Input'!$O$148</f>
        <v>12</v>
      </c>
      <c r="M440" s="37">
        <v>0</v>
      </c>
      <c r="N440" s="37">
        <v>1</v>
      </c>
      <c r="O440" s="37">
        <f>'Parameter Input'!$P$148</f>
        <v>0.9</v>
      </c>
      <c r="P440" s="55">
        <f>'Parameter Input'!$Q$148</f>
        <v>0.4</v>
      </c>
      <c r="Q440" s="4">
        <f t="shared" si="312"/>
        <v>0.9867978615748374</v>
      </c>
      <c r="R440" s="4">
        <f t="shared" si="312"/>
        <v>0.98114509762858249</v>
      </c>
      <c r="S440" s="4">
        <f t="shared" si="312"/>
        <v>0.97311898315872036</v>
      </c>
      <c r="T440" s="4">
        <f t="shared" si="312"/>
        <v>0.96177484161592774</v>
      </c>
      <c r="U440" s="4">
        <f t="shared" si="312"/>
        <v>0.94584787155511363</v>
      </c>
      <c r="V440" s="4">
        <f t="shared" si="312"/>
        <v>0.92370360150141495</v>
      </c>
      <c r="W440" s="4">
        <f t="shared" si="312"/>
        <v>0.89334463567658451</v>
      </c>
      <c r="X440" s="4">
        <f t="shared" si="312"/>
        <v>0.85254543874327005</v>
      </c>
      <c r="Y440" s="4">
        <f t="shared" si="312"/>
        <v>0.79921300652623883</v>
      </c>
      <c r="Z440" s="4">
        <f t="shared" si="312"/>
        <v>0.73204982249993378</v>
      </c>
      <c r="AA440" s="4">
        <f t="shared" si="312"/>
        <v>0.65145592958786691</v>
      </c>
      <c r="AB440" s="4">
        <f t="shared" si="312"/>
        <v>0.56032247880849573</v>
      </c>
      <c r="AC440" s="4">
        <f t="shared" si="312"/>
        <v>0.46411326873185343</v>
      </c>
      <c r="AD440" s="4">
        <f t="shared" si="312"/>
        <v>0.36979727595523937</v>
      </c>
      <c r="AE440" s="4">
        <f t="shared" si="312"/>
        <v>0.28393948637231203</v>
      </c>
      <c r="AF440" s="4">
        <f t="shared" si="312"/>
        <v>0.21097259161117732</v>
      </c>
      <c r="AG440" s="4">
        <f t="shared" si="312"/>
        <v>0.15253917653798199</v>
      </c>
      <c r="AH440" s="4">
        <f t="shared" si="312"/>
        <v>0.10795188737709993</v>
      </c>
      <c r="AI440" s="4">
        <f t="shared" si="312"/>
        <v>7.5176653938091809E-2</v>
      </c>
      <c r="AJ440" s="4">
        <f t="shared" si="312"/>
        <v>5.1742836177502194E-2</v>
      </c>
      <c r="AK440" s="4">
        <f t="shared" si="312"/>
        <v>3.5319190625345942E-2</v>
      </c>
      <c r="AL440" s="4">
        <f t="shared" si="312"/>
        <v>2.3969442072658165E-2</v>
      </c>
      <c r="AM440" s="4">
        <f t="shared" si="312"/>
        <v>1.6202243558389728E-2</v>
      </c>
      <c r="AN440" s="4">
        <f t="shared" si="312"/>
        <v>1.0922240564108399E-2</v>
      </c>
      <c r="AO440" s="4">
        <f t="shared" si="312"/>
        <v>7.3493212906090566E-3</v>
      </c>
      <c r="AP440" s="4">
        <f t="shared" si="312"/>
        <v>4.9390262185057265E-3</v>
      </c>
      <c r="AQ440" s="4">
        <f t="shared" si="312"/>
        <v>3.3164275492956197E-3</v>
      </c>
      <c r="AR440" s="4">
        <f t="shared" si="312"/>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79</v>
      </c>
      <c r="B443" s="45">
        <f>'Parameter Input'!$L$154</f>
        <v>0.06</v>
      </c>
      <c r="C443" s="46">
        <f>'Parameter Input'!$M$154</f>
        <v>0.06</v>
      </c>
      <c r="D443" s="1" t="s">
        <v>57</v>
      </c>
      <c r="L443" s="54">
        <f>'Parameter Input'!$O$154</f>
        <v>12</v>
      </c>
      <c r="M443" s="37">
        <v>0</v>
      </c>
      <c r="N443" s="37">
        <v>1</v>
      </c>
      <c r="O443" s="37">
        <f>'Parameter Input'!$P$154</f>
        <v>0.9</v>
      </c>
      <c r="P443" s="55">
        <f>'Parameter Input'!$Q$154</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52</v>
      </c>
      <c r="B445" s="43">
        <f>'Parameter Input'!$L$150</f>
        <v>1050000</v>
      </c>
      <c r="C445" s="44">
        <f>'Parameter Input'!$M$150</f>
        <v>1050000</v>
      </c>
      <c r="D445" s="1" t="s">
        <v>38</v>
      </c>
      <c r="L445" s="54">
        <f>'Parameter Input'!$O$150</f>
        <v>12</v>
      </c>
      <c r="M445" s="37">
        <v>0</v>
      </c>
      <c r="N445" s="37">
        <v>1</v>
      </c>
      <c r="O445" s="37">
        <f>'Parameter Input'!$P$150</f>
        <v>0.9</v>
      </c>
      <c r="P445" s="55">
        <f>'Parameter Input'!$Q$150</f>
        <v>0.4</v>
      </c>
      <c r="Q445" s="4">
        <f t="shared" si="312"/>
        <v>0.9867978615748374</v>
      </c>
      <c r="R445" s="4">
        <f t="shared" si="312"/>
        <v>0.98114509762858249</v>
      </c>
      <c r="S445" s="4">
        <f t="shared" si="312"/>
        <v>0.97311898315872036</v>
      </c>
      <c r="T445" s="4">
        <f t="shared" si="312"/>
        <v>0.96177484161592774</v>
      </c>
      <c r="U445" s="4">
        <f t="shared" si="312"/>
        <v>0.94584787155511363</v>
      </c>
      <c r="V445" s="4">
        <f t="shared" si="312"/>
        <v>0.92370360150141495</v>
      </c>
      <c r="W445" s="4">
        <f t="shared" si="312"/>
        <v>0.89334463567658451</v>
      </c>
      <c r="X445" s="4">
        <f t="shared" si="312"/>
        <v>0.85254543874327005</v>
      </c>
      <c r="Y445" s="4">
        <f t="shared" si="312"/>
        <v>0.79921300652623883</v>
      </c>
      <c r="Z445" s="4">
        <f t="shared" si="312"/>
        <v>0.73204982249993378</v>
      </c>
      <c r="AA445" s="4">
        <f t="shared" si="312"/>
        <v>0.65145592958786691</v>
      </c>
      <c r="AB445" s="4">
        <f t="shared" si="312"/>
        <v>0.56032247880849573</v>
      </c>
      <c r="AC445" s="4">
        <f t="shared" si="312"/>
        <v>0.46411326873185343</v>
      </c>
      <c r="AD445" s="4">
        <f t="shared" si="312"/>
        <v>0.36979727595523937</v>
      </c>
      <c r="AE445" s="4">
        <f t="shared" si="312"/>
        <v>0.28393948637231203</v>
      </c>
      <c r="AF445" s="4">
        <f t="shared" si="312"/>
        <v>0.21097259161117732</v>
      </c>
      <c r="AG445" s="4">
        <f t="shared" si="312"/>
        <v>0.15253917653798199</v>
      </c>
      <c r="AH445" s="4">
        <f t="shared" si="312"/>
        <v>0.10795188737709993</v>
      </c>
      <c r="AI445" s="4">
        <f t="shared" si="312"/>
        <v>7.5176653938091809E-2</v>
      </c>
      <c r="AJ445" s="4">
        <f t="shared" si="312"/>
        <v>5.1742836177502194E-2</v>
      </c>
      <c r="AK445" s="4">
        <f t="shared" si="312"/>
        <v>3.5319190625345942E-2</v>
      </c>
      <c r="AL445" s="4">
        <f t="shared" si="312"/>
        <v>2.3969442072658165E-2</v>
      </c>
      <c r="AM445" s="4">
        <f t="shared" si="312"/>
        <v>1.6202243558389728E-2</v>
      </c>
      <c r="AN445" s="4">
        <f t="shared" si="312"/>
        <v>1.0922240564108399E-2</v>
      </c>
      <c r="AO445" s="4">
        <f t="shared" si="312"/>
        <v>7.3493212906090566E-3</v>
      </c>
      <c r="AP445" s="4">
        <f t="shared" si="312"/>
        <v>4.9390262185057265E-3</v>
      </c>
      <c r="AQ445" s="4">
        <f t="shared" si="312"/>
        <v>3.3164275492956197E-3</v>
      </c>
      <c r="AR445" s="4">
        <f t="shared" si="312"/>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59</v>
      </c>
      <c r="B447" s="47">
        <f>'Parameter Input'!$L$151</f>
        <v>76.777599999999993</v>
      </c>
      <c r="C447" s="48">
        <f>'Parameter Input'!$M$151</f>
        <v>76.777599999999993</v>
      </c>
      <c r="D447" s="1" t="s">
        <v>60</v>
      </c>
      <c r="L447" s="54">
        <f>'Parameter Input'!$O$151</f>
        <v>12</v>
      </c>
      <c r="M447" s="37">
        <v>0</v>
      </c>
      <c r="N447" s="37">
        <v>1</v>
      </c>
      <c r="O447" s="37">
        <f>'Parameter Input'!$P$151</f>
        <v>0.9</v>
      </c>
      <c r="P447" s="55">
        <f>'Parameter Input'!$Q$151</f>
        <v>0.4</v>
      </c>
      <c r="Q447" s="4">
        <f t="shared" si="312"/>
        <v>0.9867978615748374</v>
      </c>
      <c r="R447" s="4">
        <f t="shared" si="312"/>
        <v>0.98114509762858249</v>
      </c>
      <c r="S447" s="4">
        <f t="shared" si="312"/>
        <v>0.97311898315872036</v>
      </c>
      <c r="T447" s="4">
        <f t="shared" si="312"/>
        <v>0.96177484161592774</v>
      </c>
      <c r="U447" s="4">
        <f t="shared" si="312"/>
        <v>0.94584787155511363</v>
      </c>
      <c r="V447" s="4">
        <f t="shared" si="312"/>
        <v>0.92370360150141495</v>
      </c>
      <c r="W447" s="4">
        <f t="shared" si="312"/>
        <v>0.89334463567658451</v>
      </c>
      <c r="X447" s="4">
        <f t="shared" si="312"/>
        <v>0.85254543874327005</v>
      </c>
      <c r="Y447" s="4">
        <f t="shared" si="312"/>
        <v>0.79921300652623883</v>
      </c>
      <c r="Z447" s="4">
        <f t="shared" si="312"/>
        <v>0.73204982249993378</v>
      </c>
      <c r="AA447" s="4">
        <f t="shared" si="312"/>
        <v>0.65145592958786691</v>
      </c>
      <c r="AB447" s="4">
        <f t="shared" si="312"/>
        <v>0.56032247880849573</v>
      </c>
      <c r="AC447" s="4">
        <f t="shared" si="312"/>
        <v>0.46411326873185343</v>
      </c>
      <c r="AD447" s="4">
        <f t="shared" si="312"/>
        <v>0.36979727595523937</v>
      </c>
      <c r="AE447" s="4">
        <f t="shared" si="312"/>
        <v>0.28393948637231203</v>
      </c>
      <c r="AF447" s="4">
        <f t="shared" si="312"/>
        <v>0.21097259161117732</v>
      </c>
      <c r="AG447" s="4">
        <f t="shared" si="312"/>
        <v>0.15253917653798199</v>
      </c>
      <c r="AH447" s="4">
        <f t="shared" si="312"/>
        <v>0.10795188737709993</v>
      </c>
      <c r="AI447" s="4">
        <f t="shared" si="312"/>
        <v>7.5176653938091809E-2</v>
      </c>
      <c r="AJ447" s="4">
        <f t="shared" si="312"/>
        <v>5.1742836177502194E-2</v>
      </c>
      <c r="AK447" s="4">
        <f t="shared" si="312"/>
        <v>3.5319190625345942E-2</v>
      </c>
      <c r="AL447" s="4">
        <f t="shared" si="312"/>
        <v>2.3969442072658165E-2</v>
      </c>
      <c r="AM447" s="4">
        <f t="shared" si="312"/>
        <v>1.6202243558389728E-2</v>
      </c>
      <c r="AN447" s="4">
        <f t="shared" si="312"/>
        <v>1.0922240564108399E-2</v>
      </c>
      <c r="AO447" s="4">
        <f t="shared" si="312"/>
        <v>7.3493212906090566E-3</v>
      </c>
      <c r="AP447" s="4">
        <f t="shared" si="312"/>
        <v>4.9390262185057265E-3</v>
      </c>
      <c r="AQ447" s="4">
        <f t="shared" si="312"/>
        <v>3.3164275492956197E-3</v>
      </c>
      <c r="AR447" s="4">
        <f t="shared" si="312"/>
        <v>2.2256362146679809E-3</v>
      </c>
    </row>
    <row r="448" spans="1:44" x14ac:dyDescent="0.25">
      <c r="A448" s="24" t="s">
        <v>67</v>
      </c>
      <c r="B448" s="45">
        <f>'Parameter Input'!$L$152</f>
        <v>0.1</v>
      </c>
      <c r="C448" s="46">
        <f>'Parameter Input'!$M$152</f>
        <v>0.1</v>
      </c>
      <c r="D448" s="1" t="s">
        <v>68</v>
      </c>
      <c r="L448" s="54">
        <f>'Parameter Input'!$O$152</f>
        <v>12</v>
      </c>
      <c r="M448" s="37">
        <v>0</v>
      </c>
      <c r="N448" s="37">
        <v>1</v>
      </c>
      <c r="O448" s="37">
        <f>'Parameter Input'!$P$152</f>
        <v>0.9</v>
      </c>
      <c r="P448" s="55">
        <f>'Parameter Input'!$Q$152</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206</v>
      </c>
      <c r="B449" s="45">
        <f>'Parameter Input'!L155</f>
        <v>0</v>
      </c>
      <c r="C449" s="46">
        <f>'Parameter Input'!M155</f>
        <v>0</v>
      </c>
      <c r="D449" s="1"/>
      <c r="L449" s="54">
        <f>'Parameter Input'!O155</f>
        <v>17</v>
      </c>
      <c r="M449" s="37">
        <v>0</v>
      </c>
      <c r="N449" s="37">
        <v>1</v>
      </c>
      <c r="O449" s="37">
        <f>'Parameter Input'!P155</f>
        <v>0.9</v>
      </c>
      <c r="P449" s="55">
        <f>'Parameter Input'!Q155</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41</v>
      </c>
      <c r="B450" s="43">
        <f>'Parameter Input'!$L$149</f>
        <v>20</v>
      </c>
      <c r="C450" s="44">
        <f>'Parameter Input'!$M$149</f>
        <v>20</v>
      </c>
      <c r="D450" s="1" t="s">
        <v>42</v>
      </c>
      <c r="L450" s="54">
        <f>'Parameter Input'!$O$149</f>
        <v>12</v>
      </c>
      <c r="M450" s="37">
        <v>0</v>
      </c>
      <c r="N450" s="37">
        <v>1</v>
      </c>
      <c r="O450" s="37">
        <f>'Parameter Input'!$P$149</f>
        <v>0.9</v>
      </c>
      <c r="P450" s="55">
        <f>'Parameter Input'!$Q$149</f>
        <v>0.4</v>
      </c>
      <c r="Q450" s="4">
        <f t="shared" ref="Q450:AF455" si="316">$N450+($M450-$N450)*((1/(1+EXP(-$P450*(Q$9-$L450)))^$O450))</f>
        <v>0.9867978615748374</v>
      </c>
      <c r="R450" s="4">
        <f t="shared" si="316"/>
        <v>0.98114509762858249</v>
      </c>
      <c r="S450" s="4">
        <f t="shared" si="316"/>
        <v>0.97311898315872036</v>
      </c>
      <c r="T450" s="4">
        <f t="shared" si="316"/>
        <v>0.96177484161592774</v>
      </c>
      <c r="U450" s="4">
        <f t="shared" si="316"/>
        <v>0.94584787155511363</v>
      </c>
      <c r="V450" s="4">
        <f t="shared" si="316"/>
        <v>0.92370360150141495</v>
      </c>
      <c r="W450" s="4">
        <f t="shared" si="316"/>
        <v>0.89334463567658451</v>
      </c>
      <c r="X450" s="4">
        <f t="shared" si="316"/>
        <v>0.85254543874327005</v>
      </c>
      <c r="Y450" s="4">
        <f t="shared" si="316"/>
        <v>0.79921300652623883</v>
      </c>
      <c r="Z450" s="4">
        <f t="shared" si="316"/>
        <v>0.73204982249993378</v>
      </c>
      <c r="AA450" s="4">
        <f t="shared" si="316"/>
        <v>0.65145592958786691</v>
      </c>
      <c r="AB450" s="4">
        <f t="shared" si="316"/>
        <v>0.56032247880849573</v>
      </c>
      <c r="AC450" s="4">
        <f t="shared" si="316"/>
        <v>0.46411326873185343</v>
      </c>
      <c r="AD450" s="4">
        <f t="shared" si="316"/>
        <v>0.36979727595523937</v>
      </c>
      <c r="AE450" s="4">
        <f t="shared" si="316"/>
        <v>0.28393948637231203</v>
      </c>
      <c r="AF450" s="4">
        <f t="shared" si="316"/>
        <v>0.21097259161117732</v>
      </c>
      <c r="AG450" s="4">
        <f t="shared" si="313"/>
        <v>0.15253917653798199</v>
      </c>
      <c r="AH450" s="4">
        <f t="shared" si="313"/>
        <v>0.10795188737709993</v>
      </c>
      <c r="AI450" s="4">
        <f t="shared" si="313"/>
        <v>7.5176653938091809E-2</v>
      </c>
      <c r="AJ450" s="4">
        <f t="shared" si="314"/>
        <v>5.1742836177502194E-2</v>
      </c>
      <c r="AK450" s="4">
        <f t="shared" si="314"/>
        <v>3.5319190625345942E-2</v>
      </c>
      <c r="AL450" s="4">
        <f t="shared" si="314"/>
        <v>2.3969442072658165E-2</v>
      </c>
      <c r="AM450" s="4">
        <f t="shared" si="314"/>
        <v>1.6202243558389728E-2</v>
      </c>
      <c r="AN450" s="4">
        <f t="shared" si="314"/>
        <v>1.0922240564108399E-2</v>
      </c>
      <c r="AO450" s="4">
        <f t="shared" si="314"/>
        <v>7.3493212906090566E-3</v>
      </c>
      <c r="AP450" s="4">
        <f t="shared" si="314"/>
        <v>4.9390262185057265E-3</v>
      </c>
      <c r="AQ450" s="4">
        <f t="shared" si="314"/>
        <v>3.3164275492956197E-3</v>
      </c>
      <c r="AR450" s="4">
        <f t="shared" si="314"/>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73</v>
      </c>
      <c r="B454" s="72">
        <f>'Parameter Input'!$L$153</f>
        <v>0</v>
      </c>
      <c r="C454" s="73">
        <f>'Parameter Input'!$M$153</f>
        <v>0</v>
      </c>
      <c r="D454" s="1" t="s">
        <v>57</v>
      </c>
      <c r="L454" s="54">
        <f>'Parameter Input'!$O$153</f>
        <v>12</v>
      </c>
      <c r="M454" s="37">
        <v>0</v>
      </c>
      <c r="N454" s="37">
        <v>1</v>
      </c>
      <c r="O454" s="37">
        <f>'Parameter Input'!$P$153</f>
        <v>0.9</v>
      </c>
      <c r="P454" s="55">
        <f>'Parameter Input'!$Q$153</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7">A439</f>
        <v>Capex vehicle</v>
      </c>
      <c r="B459" s="62">
        <f t="shared" ref="B459:B467" si="318">$B439+($C439-$B439)*(1-Q439)</f>
        <v>3500000</v>
      </c>
      <c r="C459" s="62">
        <f t="shared" ref="C459:C467" si="319">$B439+($C439-$B439)*(1-R439)</f>
        <v>3500000</v>
      </c>
      <c r="D459" s="62">
        <f t="shared" ref="D459:D467" si="320">$B439+($C439-$B439)*(1-S439)</f>
        <v>3500000</v>
      </c>
      <c r="E459" s="62">
        <f t="shared" ref="E459:E467" si="321">$B439+($C439-$B439)*(1-T439)</f>
        <v>3500000</v>
      </c>
      <c r="F459" s="62">
        <f t="shared" ref="F459:F467" si="322">$B439+($C439-$B439)*(1-U439)</f>
        <v>3500000</v>
      </c>
      <c r="G459" s="62">
        <f t="shared" ref="G459:G467" si="323">$B439+($C439-$B439)*(1-V439)</f>
        <v>3500000</v>
      </c>
      <c r="H459" s="62">
        <f t="shared" ref="H459:H467" si="324">$B439+($C439-$B439)*(1-W439)</f>
        <v>3500000</v>
      </c>
      <c r="I459" s="62">
        <f t="shared" ref="I459:I467" si="325">$B439+($C439-$B439)*(1-X439)</f>
        <v>3500000</v>
      </c>
      <c r="J459" s="62">
        <f t="shared" ref="J459:J467" si="326">$B439+($C439-$B439)*(1-Y439)</f>
        <v>3500000</v>
      </c>
      <c r="K459" s="62">
        <f t="shared" ref="K459:K467" si="327">$B439+($C439-$B439)*(1-Z439)</f>
        <v>3500000</v>
      </c>
      <c r="L459" s="62">
        <f t="shared" ref="L459:L467" si="328">$B439+($C439-$B439)*(1-AA439)</f>
        <v>3500000</v>
      </c>
      <c r="M459" s="62">
        <f t="shared" ref="M459:M467" si="329">$B439+($C439-$B439)*(1-AB439)</f>
        <v>3500000</v>
      </c>
      <c r="N459" s="62">
        <f t="shared" ref="N459:N467" si="330">$B439+($C439-$B439)*(1-AC439)</f>
        <v>3500000</v>
      </c>
      <c r="O459" s="62">
        <f t="shared" ref="O459:O467" si="331">$B439+($C439-$B439)*(1-AD439)</f>
        <v>3500000</v>
      </c>
      <c r="P459" s="62">
        <f t="shared" ref="P459:P467" si="332">$B439+($C439-$B439)*(1-AE439)</f>
        <v>3500000</v>
      </c>
      <c r="Q459" s="62">
        <f t="shared" ref="Q459:Q467" si="333">$B439+($C439-$B439)*(1-AF439)</f>
        <v>3500000</v>
      </c>
      <c r="R459" s="62">
        <f t="shared" ref="R459:R467" si="334">$B439+($C439-$B439)*(1-AG439)</f>
        <v>3500000</v>
      </c>
      <c r="S459" s="62">
        <f t="shared" ref="S459:S467" si="335">$B439+($C439-$B439)*(1-AH439)</f>
        <v>3500000</v>
      </c>
      <c r="T459" s="62">
        <f t="shared" ref="T459:T467" si="336">$B439+($C439-$B439)*(1-AI439)</f>
        <v>3500000</v>
      </c>
      <c r="U459" s="62">
        <f t="shared" ref="U459:U467" si="337">$B439+($C439-$B439)*(1-AJ439)</f>
        <v>3500000</v>
      </c>
      <c r="V459" s="62">
        <f t="shared" ref="V459:V467" si="338">$B439+($C439-$B439)*(1-AK439)</f>
        <v>3500000</v>
      </c>
      <c r="W459" s="62">
        <f t="shared" ref="W459:W467" si="339">$B439+($C439-$B439)*(1-AL439)</f>
        <v>3500000</v>
      </c>
      <c r="X459" s="62">
        <f t="shared" ref="X459:X467" si="340">$B439+($C439-$B439)*(1-AM439)</f>
        <v>3500000</v>
      </c>
      <c r="Y459" s="62">
        <f t="shared" ref="Y459:Y467" si="341">$B439+($C439-$B439)*(1-AN439)</f>
        <v>3500000</v>
      </c>
      <c r="Z459" s="62">
        <f t="shared" ref="Z459:Z467" si="342">$B439+($C439-$B439)*(1-AO439)</f>
        <v>3500000</v>
      </c>
      <c r="AA459" s="62">
        <f t="shared" ref="AA459:AA467" si="343">$B439+($C439-$B439)*(1-AP439)</f>
        <v>3500000</v>
      </c>
      <c r="AB459" s="62">
        <f t="shared" ref="AB459:AB467" si="344">$B439+($C439-$B439)*(1-AQ439)</f>
        <v>3500000</v>
      </c>
      <c r="AC459" s="62">
        <f t="shared" ref="AC459:AC467" si="345">$B439+($C439-$B439)*(1-AR439)</f>
        <v>3500000</v>
      </c>
    </row>
    <row r="460" spans="1:44" x14ac:dyDescent="0.25">
      <c r="A460" s="30" t="str">
        <f t="shared" si="317"/>
        <v>Residual value (vehicle)</v>
      </c>
      <c r="B460" s="62">
        <f t="shared" si="318"/>
        <v>-520379.25155119307</v>
      </c>
      <c r="C460" s="62">
        <f t="shared" si="319"/>
        <v>-518400.78417000384</v>
      </c>
      <c r="D460" s="62">
        <f t="shared" si="320"/>
        <v>-515591.64410555211</v>
      </c>
      <c r="E460" s="62">
        <f t="shared" si="321"/>
        <v>-511621.1945655747</v>
      </c>
      <c r="F460" s="62">
        <f t="shared" si="322"/>
        <v>-506046.75504428975</v>
      </c>
      <c r="G460" s="62">
        <f t="shared" si="323"/>
        <v>-498296.26052549522</v>
      </c>
      <c r="H460" s="62">
        <f t="shared" si="324"/>
        <v>-487670.62248680455</v>
      </c>
      <c r="I460" s="62">
        <f t="shared" si="325"/>
        <v>-473390.90356014454</v>
      </c>
      <c r="J460" s="62">
        <f t="shared" si="326"/>
        <v>-454724.55228418356</v>
      </c>
      <c r="K460" s="62">
        <f t="shared" si="327"/>
        <v>-431217.43787497684</v>
      </c>
      <c r="L460" s="62">
        <f t="shared" si="328"/>
        <v>-403009.57535575342</v>
      </c>
      <c r="M460" s="62">
        <f t="shared" si="329"/>
        <v>-371112.8675829735</v>
      </c>
      <c r="N460" s="62">
        <f t="shared" si="330"/>
        <v>-337439.64405614871</v>
      </c>
      <c r="O460" s="62">
        <f t="shared" si="331"/>
        <v>-304429.04658433376</v>
      </c>
      <c r="P460" s="62">
        <f t="shared" si="332"/>
        <v>-274378.82023030921</v>
      </c>
      <c r="Q460" s="62">
        <f t="shared" si="333"/>
        <v>-248840.40706391208</v>
      </c>
      <c r="R460" s="62">
        <f t="shared" si="334"/>
        <v>-228388.71178829367</v>
      </c>
      <c r="S460" s="62">
        <f t="shared" si="335"/>
        <v>-212783.16058198496</v>
      </c>
      <c r="T460" s="62">
        <f t="shared" si="336"/>
        <v>-201311.8288783321</v>
      </c>
      <c r="U460" s="62">
        <f t="shared" si="337"/>
        <v>-193109.99266212579</v>
      </c>
      <c r="V460" s="62">
        <f t="shared" si="338"/>
        <v>-187361.71671887109</v>
      </c>
      <c r="W460" s="62">
        <f t="shared" si="339"/>
        <v>-183389.30472543038</v>
      </c>
      <c r="X460" s="62">
        <f t="shared" si="340"/>
        <v>-180670.78524543642</v>
      </c>
      <c r="Y460" s="62">
        <f t="shared" si="341"/>
        <v>-178822.78419743793</v>
      </c>
      <c r="Z460" s="62">
        <f t="shared" si="342"/>
        <v>-177572.26245171315</v>
      </c>
      <c r="AA460" s="62">
        <f t="shared" si="343"/>
        <v>-176728.659176477</v>
      </c>
      <c r="AB460" s="62">
        <f t="shared" si="344"/>
        <v>-176160.74964225345</v>
      </c>
      <c r="AC460" s="62">
        <f t="shared" si="345"/>
        <v>-175778.97267513379</v>
      </c>
    </row>
    <row r="461" spans="1:44" x14ac:dyDescent="0.25">
      <c r="A461" s="30" t="str">
        <f t="shared" si="317"/>
        <v>Capex costumization</v>
      </c>
      <c r="B461" s="62">
        <f t="shared" si="318"/>
        <v>3500000</v>
      </c>
      <c r="C461" s="62">
        <f t="shared" si="319"/>
        <v>3500000</v>
      </c>
      <c r="D461" s="62">
        <f t="shared" si="320"/>
        <v>3500000</v>
      </c>
      <c r="E461" s="62">
        <f t="shared" si="321"/>
        <v>3500000</v>
      </c>
      <c r="F461" s="62">
        <f t="shared" si="322"/>
        <v>3500000</v>
      </c>
      <c r="G461" s="62">
        <f t="shared" si="323"/>
        <v>3500000</v>
      </c>
      <c r="H461" s="62">
        <f t="shared" si="324"/>
        <v>3500000</v>
      </c>
      <c r="I461" s="62">
        <f t="shared" si="325"/>
        <v>3500000</v>
      </c>
      <c r="J461" s="62">
        <f t="shared" si="326"/>
        <v>3500000</v>
      </c>
      <c r="K461" s="62">
        <f t="shared" si="327"/>
        <v>3500000</v>
      </c>
      <c r="L461" s="62">
        <f t="shared" si="328"/>
        <v>3500000</v>
      </c>
      <c r="M461" s="62">
        <f t="shared" si="329"/>
        <v>3500000</v>
      </c>
      <c r="N461" s="62">
        <f t="shared" si="330"/>
        <v>3500000</v>
      </c>
      <c r="O461" s="62">
        <f t="shared" si="331"/>
        <v>3500000</v>
      </c>
      <c r="P461" s="62">
        <f t="shared" si="332"/>
        <v>3500000</v>
      </c>
      <c r="Q461" s="62">
        <f t="shared" si="333"/>
        <v>3500000</v>
      </c>
      <c r="R461" s="62">
        <f t="shared" si="334"/>
        <v>3500000</v>
      </c>
      <c r="S461" s="62">
        <f t="shared" si="335"/>
        <v>3500000</v>
      </c>
      <c r="T461" s="62">
        <f t="shared" si="336"/>
        <v>3500000</v>
      </c>
      <c r="U461" s="62">
        <f t="shared" si="337"/>
        <v>3500000</v>
      </c>
      <c r="V461" s="62">
        <f t="shared" si="338"/>
        <v>3500000</v>
      </c>
      <c r="W461" s="62">
        <f t="shared" si="339"/>
        <v>3500000</v>
      </c>
      <c r="X461" s="62">
        <f t="shared" si="340"/>
        <v>3500000</v>
      </c>
      <c r="Y461" s="62">
        <f t="shared" si="341"/>
        <v>3500000</v>
      </c>
      <c r="Z461" s="62">
        <f t="shared" si="342"/>
        <v>3500000</v>
      </c>
      <c r="AA461" s="62">
        <f t="shared" si="343"/>
        <v>3500000</v>
      </c>
      <c r="AB461" s="62">
        <f t="shared" si="344"/>
        <v>3500000</v>
      </c>
      <c r="AC461" s="62">
        <f t="shared" si="345"/>
        <v>3500000</v>
      </c>
    </row>
    <row r="462" spans="1:44" x14ac:dyDescent="0.25">
      <c r="A462" s="30" t="str">
        <f t="shared" si="317"/>
        <v>Residual value (costumization)</v>
      </c>
      <c r="B462" s="62">
        <f t="shared" si="318"/>
        <v>-175000</v>
      </c>
      <c r="C462" s="62">
        <f t="shared" si="319"/>
        <v>-175000</v>
      </c>
      <c r="D462" s="62">
        <f t="shared" si="320"/>
        <v>-175000</v>
      </c>
      <c r="E462" s="62">
        <f t="shared" si="321"/>
        <v>-175000</v>
      </c>
      <c r="F462" s="62">
        <f t="shared" si="322"/>
        <v>-175000</v>
      </c>
      <c r="G462" s="62">
        <f t="shared" si="323"/>
        <v>-175000</v>
      </c>
      <c r="H462" s="62">
        <f t="shared" si="324"/>
        <v>-175000</v>
      </c>
      <c r="I462" s="62">
        <f t="shared" si="325"/>
        <v>-175000</v>
      </c>
      <c r="J462" s="62">
        <f t="shared" si="326"/>
        <v>-175000</v>
      </c>
      <c r="K462" s="62">
        <f t="shared" si="327"/>
        <v>-175000</v>
      </c>
      <c r="L462" s="62">
        <f t="shared" si="328"/>
        <v>-175000</v>
      </c>
      <c r="M462" s="62">
        <f t="shared" si="329"/>
        <v>-175000</v>
      </c>
      <c r="N462" s="62">
        <f t="shared" si="330"/>
        <v>-175000</v>
      </c>
      <c r="O462" s="62">
        <f t="shared" si="331"/>
        <v>-175000</v>
      </c>
      <c r="P462" s="62">
        <f t="shared" si="332"/>
        <v>-175000</v>
      </c>
      <c r="Q462" s="62">
        <f t="shared" si="333"/>
        <v>-175000</v>
      </c>
      <c r="R462" s="62">
        <f t="shared" si="334"/>
        <v>-175000</v>
      </c>
      <c r="S462" s="62">
        <f t="shared" si="335"/>
        <v>-175000</v>
      </c>
      <c r="T462" s="62">
        <f t="shared" si="336"/>
        <v>-175000</v>
      </c>
      <c r="U462" s="62">
        <f t="shared" si="337"/>
        <v>-175000</v>
      </c>
      <c r="V462" s="62">
        <f t="shared" si="338"/>
        <v>-175000</v>
      </c>
      <c r="W462" s="62">
        <f t="shared" si="339"/>
        <v>-175000</v>
      </c>
      <c r="X462" s="62">
        <f t="shared" si="340"/>
        <v>-175000</v>
      </c>
      <c r="Y462" s="62">
        <f t="shared" si="341"/>
        <v>-175000</v>
      </c>
      <c r="Z462" s="62">
        <f t="shared" si="342"/>
        <v>-175000</v>
      </c>
      <c r="AA462" s="62">
        <f t="shared" si="343"/>
        <v>-175000</v>
      </c>
      <c r="AB462" s="62">
        <f t="shared" si="344"/>
        <v>-175000</v>
      </c>
      <c r="AC462" s="62">
        <f t="shared" si="345"/>
        <v>-175000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650000</v>
      </c>
      <c r="C464" s="62">
        <f t="shared" si="319"/>
        <v>650000</v>
      </c>
      <c r="D464" s="62">
        <f t="shared" si="320"/>
        <v>650000</v>
      </c>
      <c r="E464" s="62">
        <f t="shared" si="321"/>
        <v>650000</v>
      </c>
      <c r="F464" s="62">
        <f t="shared" si="322"/>
        <v>650000</v>
      </c>
      <c r="G464" s="62">
        <f t="shared" si="323"/>
        <v>650000</v>
      </c>
      <c r="H464" s="62">
        <f t="shared" si="324"/>
        <v>650000</v>
      </c>
      <c r="I464" s="62">
        <f t="shared" si="325"/>
        <v>650000</v>
      </c>
      <c r="J464" s="62">
        <f t="shared" si="326"/>
        <v>650000</v>
      </c>
      <c r="K464" s="62">
        <f t="shared" si="327"/>
        <v>650000</v>
      </c>
      <c r="L464" s="62">
        <f t="shared" si="328"/>
        <v>650000</v>
      </c>
      <c r="M464" s="62">
        <f t="shared" si="329"/>
        <v>650000</v>
      </c>
      <c r="N464" s="62">
        <f t="shared" si="330"/>
        <v>650000</v>
      </c>
      <c r="O464" s="62">
        <f t="shared" si="331"/>
        <v>650000</v>
      </c>
      <c r="P464" s="62">
        <f t="shared" si="332"/>
        <v>650000</v>
      </c>
      <c r="Q464" s="62">
        <f t="shared" si="333"/>
        <v>650000</v>
      </c>
      <c r="R464" s="62">
        <f t="shared" si="334"/>
        <v>650000</v>
      </c>
      <c r="S464" s="62">
        <f t="shared" si="335"/>
        <v>650000</v>
      </c>
      <c r="T464" s="62">
        <f t="shared" si="336"/>
        <v>650000</v>
      </c>
      <c r="U464" s="62">
        <f t="shared" si="337"/>
        <v>650000</v>
      </c>
      <c r="V464" s="62">
        <f t="shared" si="338"/>
        <v>650000</v>
      </c>
      <c r="W464" s="62">
        <f t="shared" si="339"/>
        <v>650000</v>
      </c>
      <c r="X464" s="62">
        <f t="shared" si="340"/>
        <v>650000</v>
      </c>
      <c r="Y464" s="62">
        <f t="shared" si="341"/>
        <v>650000</v>
      </c>
      <c r="Z464" s="62">
        <f t="shared" si="342"/>
        <v>650000</v>
      </c>
      <c r="AA464" s="62">
        <f t="shared" si="343"/>
        <v>650000</v>
      </c>
      <c r="AB464" s="62">
        <f t="shared" si="344"/>
        <v>650000</v>
      </c>
      <c r="AC464" s="62">
        <f t="shared" si="345"/>
        <v>650000</v>
      </c>
    </row>
    <row r="465" spans="1:29" x14ac:dyDescent="0.25">
      <c r="A465" s="30" t="str">
        <f t="shared" si="317"/>
        <v>Opex maintenance &amp; repair</v>
      </c>
      <c r="B465" s="62">
        <f t="shared" si="318"/>
        <v>1050000</v>
      </c>
      <c r="C465" s="62">
        <f t="shared" si="319"/>
        <v>1050000</v>
      </c>
      <c r="D465" s="62">
        <f t="shared" si="320"/>
        <v>1050000</v>
      </c>
      <c r="E465" s="62">
        <f t="shared" si="321"/>
        <v>1050000</v>
      </c>
      <c r="F465" s="62">
        <f t="shared" si="322"/>
        <v>1050000</v>
      </c>
      <c r="G465" s="62">
        <f t="shared" si="323"/>
        <v>1050000</v>
      </c>
      <c r="H465" s="62">
        <f t="shared" si="324"/>
        <v>1050000</v>
      </c>
      <c r="I465" s="62">
        <f t="shared" si="325"/>
        <v>1050000</v>
      </c>
      <c r="J465" s="62">
        <f t="shared" si="326"/>
        <v>1050000</v>
      </c>
      <c r="K465" s="62">
        <f t="shared" si="327"/>
        <v>1050000</v>
      </c>
      <c r="L465" s="62">
        <f t="shared" si="328"/>
        <v>1050000</v>
      </c>
      <c r="M465" s="62">
        <f t="shared" si="329"/>
        <v>1050000</v>
      </c>
      <c r="N465" s="62">
        <f t="shared" si="330"/>
        <v>1050000</v>
      </c>
      <c r="O465" s="62">
        <f t="shared" si="331"/>
        <v>1050000</v>
      </c>
      <c r="P465" s="62">
        <f t="shared" si="332"/>
        <v>1050000</v>
      </c>
      <c r="Q465" s="62">
        <f t="shared" si="333"/>
        <v>1050000</v>
      </c>
      <c r="R465" s="62">
        <f t="shared" si="334"/>
        <v>1050000</v>
      </c>
      <c r="S465" s="62">
        <f t="shared" si="335"/>
        <v>1050000</v>
      </c>
      <c r="T465" s="62">
        <f t="shared" si="336"/>
        <v>1050000</v>
      </c>
      <c r="U465" s="62">
        <f t="shared" si="337"/>
        <v>1050000</v>
      </c>
      <c r="V465" s="62">
        <f t="shared" si="338"/>
        <v>1050000</v>
      </c>
      <c r="W465" s="62">
        <f t="shared" si="339"/>
        <v>1050000</v>
      </c>
      <c r="X465" s="62">
        <f t="shared" si="340"/>
        <v>1050000</v>
      </c>
      <c r="Y465" s="62">
        <f t="shared" si="341"/>
        <v>1050000</v>
      </c>
      <c r="Z465" s="62">
        <f t="shared" si="342"/>
        <v>1050000</v>
      </c>
      <c r="AA465" s="62">
        <f t="shared" si="343"/>
        <v>1050000</v>
      </c>
      <c r="AB465" s="62">
        <f t="shared" si="344"/>
        <v>1050000</v>
      </c>
      <c r="AC465" s="62">
        <f t="shared" si="345"/>
        <v>1050000</v>
      </c>
    </row>
    <row r="466" spans="1:29" x14ac:dyDescent="0.25">
      <c r="A466" s="30" t="str">
        <f t="shared" si="317"/>
        <v>Opex var (mode-fees, shunting)</v>
      </c>
      <c r="B466" s="62">
        <f t="shared" si="318"/>
        <v>3.9215686274509802</v>
      </c>
      <c r="C466" s="62">
        <f t="shared" si="319"/>
        <v>3.9215686274509802</v>
      </c>
      <c r="D466" s="62">
        <f t="shared" si="320"/>
        <v>3.9215686274509802</v>
      </c>
      <c r="E466" s="62">
        <f t="shared" si="321"/>
        <v>3.9215686274509802</v>
      </c>
      <c r="F466" s="62">
        <f t="shared" si="322"/>
        <v>3.9215686274509802</v>
      </c>
      <c r="G466" s="62">
        <f t="shared" si="323"/>
        <v>3.9215686274509802</v>
      </c>
      <c r="H466" s="62">
        <f t="shared" si="324"/>
        <v>3.9215686274509802</v>
      </c>
      <c r="I466" s="62">
        <f t="shared" si="325"/>
        <v>3.9215686274509802</v>
      </c>
      <c r="J466" s="62">
        <f t="shared" si="326"/>
        <v>3.9215686274509802</v>
      </c>
      <c r="K466" s="62">
        <f t="shared" si="327"/>
        <v>3.9215686274509802</v>
      </c>
      <c r="L466" s="62">
        <f t="shared" si="328"/>
        <v>3.9215686274509802</v>
      </c>
      <c r="M466" s="62">
        <f t="shared" si="329"/>
        <v>3.9215686274509802</v>
      </c>
      <c r="N466" s="62">
        <f t="shared" si="330"/>
        <v>3.9215686274509802</v>
      </c>
      <c r="O466" s="62">
        <f t="shared" si="331"/>
        <v>3.9215686274509802</v>
      </c>
      <c r="P466" s="62">
        <f t="shared" si="332"/>
        <v>3.9215686274509802</v>
      </c>
      <c r="Q466" s="62">
        <f t="shared" si="333"/>
        <v>3.9215686274509802</v>
      </c>
      <c r="R466" s="62">
        <f t="shared" si="334"/>
        <v>3.9215686274509802</v>
      </c>
      <c r="S466" s="62">
        <f t="shared" si="335"/>
        <v>3.9215686274509802</v>
      </c>
      <c r="T466" s="62">
        <f t="shared" si="336"/>
        <v>3.9215686274509802</v>
      </c>
      <c r="U466" s="62">
        <f t="shared" si="337"/>
        <v>3.9215686274509802</v>
      </c>
      <c r="V466" s="62">
        <f t="shared" si="338"/>
        <v>3.9215686274509802</v>
      </c>
      <c r="W466" s="62">
        <f t="shared" si="339"/>
        <v>3.9215686274509802</v>
      </c>
      <c r="X466" s="62">
        <f t="shared" si="340"/>
        <v>3.9215686274509802</v>
      </c>
      <c r="Y466" s="62">
        <f t="shared" si="341"/>
        <v>3.9215686274509802</v>
      </c>
      <c r="Z466" s="62">
        <f t="shared" si="342"/>
        <v>3.9215686274509802</v>
      </c>
      <c r="AA466" s="62">
        <f t="shared" si="343"/>
        <v>3.9215686274509802</v>
      </c>
      <c r="AB466" s="62">
        <f t="shared" si="344"/>
        <v>3.9215686274509802</v>
      </c>
      <c r="AC466" s="62">
        <f t="shared" si="345"/>
        <v>3.9215686274509802</v>
      </c>
    </row>
    <row r="467" spans="1:29" x14ac:dyDescent="0.25">
      <c r="A467" s="30" t="str">
        <f t="shared" si="317"/>
        <v>Fuel Economy</v>
      </c>
      <c r="B467" s="62">
        <f t="shared" si="318"/>
        <v>76.777599999999993</v>
      </c>
      <c r="C467" s="62">
        <f t="shared" si="319"/>
        <v>76.777599999999993</v>
      </c>
      <c r="D467" s="62">
        <f t="shared" si="320"/>
        <v>76.777599999999993</v>
      </c>
      <c r="E467" s="62">
        <f t="shared" si="321"/>
        <v>76.777599999999993</v>
      </c>
      <c r="F467" s="62">
        <f t="shared" si="322"/>
        <v>76.777599999999993</v>
      </c>
      <c r="G467" s="62">
        <f t="shared" si="323"/>
        <v>76.777599999999993</v>
      </c>
      <c r="H467" s="62">
        <f t="shared" si="324"/>
        <v>76.777599999999993</v>
      </c>
      <c r="I467" s="62">
        <f t="shared" si="325"/>
        <v>76.777599999999993</v>
      </c>
      <c r="J467" s="62">
        <f t="shared" si="326"/>
        <v>76.777599999999993</v>
      </c>
      <c r="K467" s="62">
        <f t="shared" si="327"/>
        <v>76.777599999999993</v>
      </c>
      <c r="L467" s="62">
        <f t="shared" si="328"/>
        <v>76.777599999999993</v>
      </c>
      <c r="M467" s="62">
        <f t="shared" si="329"/>
        <v>76.777599999999993</v>
      </c>
      <c r="N467" s="62">
        <f t="shared" si="330"/>
        <v>76.777599999999993</v>
      </c>
      <c r="O467" s="62">
        <f t="shared" si="331"/>
        <v>76.777599999999993</v>
      </c>
      <c r="P467" s="62">
        <f t="shared" si="332"/>
        <v>76.777599999999993</v>
      </c>
      <c r="Q467" s="62">
        <f t="shared" si="333"/>
        <v>76.777599999999993</v>
      </c>
      <c r="R467" s="62">
        <f t="shared" si="334"/>
        <v>76.777599999999993</v>
      </c>
      <c r="S467" s="62">
        <f t="shared" si="335"/>
        <v>76.777599999999993</v>
      </c>
      <c r="T467" s="62">
        <f t="shared" si="336"/>
        <v>76.777599999999993</v>
      </c>
      <c r="U467" s="62">
        <f t="shared" si="337"/>
        <v>76.777599999999993</v>
      </c>
      <c r="V467" s="62">
        <f t="shared" si="338"/>
        <v>76.777599999999993</v>
      </c>
      <c r="W467" s="62">
        <f t="shared" si="339"/>
        <v>76.777599999999993</v>
      </c>
      <c r="X467" s="62">
        <f t="shared" si="340"/>
        <v>76.777599999999993</v>
      </c>
      <c r="Y467" s="62">
        <f t="shared" si="341"/>
        <v>76.777599999999993</v>
      </c>
      <c r="Z467" s="62">
        <f t="shared" si="342"/>
        <v>76.777599999999993</v>
      </c>
      <c r="AA467" s="62">
        <f t="shared" si="343"/>
        <v>76.777599999999993</v>
      </c>
      <c r="AB467" s="62">
        <f t="shared" si="344"/>
        <v>76.777599999999993</v>
      </c>
      <c r="AC467" s="62">
        <f t="shared" si="345"/>
        <v>76.777599999999993</v>
      </c>
    </row>
    <row r="468" spans="1:29" x14ac:dyDescent="0.25">
      <c r="A468" s="30" t="str">
        <f t="shared" si="317"/>
        <v>Fuel Cost</v>
      </c>
      <c r="B468" s="62">
        <f>'Parameter Input'!J8</f>
        <v>5.7951260504201685E-2</v>
      </c>
      <c r="C468" s="62">
        <f>'Parameter Input'!K8</f>
        <v>5.3954621848739497E-2</v>
      </c>
      <c r="D468" s="62">
        <f>'Parameter Input'!L8</f>
        <v>4.9957983193277315E-2</v>
      </c>
      <c r="E468" s="62">
        <f>'Parameter Input'!M8</f>
        <v>4.5961344537815127E-2</v>
      </c>
      <c r="F468" s="62">
        <f>'Parameter Input'!N8</f>
        <v>4.1964705882352946E-2</v>
      </c>
      <c r="G468" s="62">
        <f>'Parameter Input'!O8</f>
        <v>3.7968067226890764E-2</v>
      </c>
      <c r="H468" s="62">
        <f>'Parameter Input'!P8</f>
        <v>3.3971428571428583E-2</v>
      </c>
      <c r="I468" s="62">
        <f>'Parameter Input'!Q8</f>
        <v>2.9974789915966391E-2</v>
      </c>
      <c r="J468" s="62">
        <f>'Parameter Input'!R8</f>
        <v>2.9368157262905165E-2</v>
      </c>
      <c r="K468" s="62">
        <f>'Parameter Input'!S8</f>
        <v>2.8761524609843939E-2</v>
      </c>
      <c r="L468" s="62">
        <f>'Parameter Input'!T8</f>
        <v>2.8154891956782713E-2</v>
      </c>
      <c r="M468" s="62">
        <f>'Parameter Input'!U8</f>
        <v>2.7548259303721487E-2</v>
      </c>
      <c r="N468" s="62">
        <f>'Parameter Input'!V8</f>
        <v>2.6941626650660268E-2</v>
      </c>
      <c r="O468" s="62">
        <f>'Parameter Input'!W8</f>
        <v>2.6334993997599043E-2</v>
      </c>
      <c r="P468" s="62">
        <f>'Parameter Input'!X8</f>
        <v>2.5728361344537817E-2</v>
      </c>
      <c r="Q468" s="62">
        <f>'Parameter Input'!Y8</f>
        <v>2.5121728691476591E-2</v>
      </c>
      <c r="R468" s="62">
        <f>'Parameter Input'!Z8</f>
        <v>2.4515096038415365E-2</v>
      </c>
      <c r="S468" s="62">
        <f>'Parameter Input'!AA8</f>
        <v>2.3908463385354146E-2</v>
      </c>
      <c r="T468" s="62">
        <f>'Parameter Input'!AB8</f>
        <v>2.330183073229292E-2</v>
      </c>
      <c r="U468" s="62">
        <f>'Parameter Input'!AC8</f>
        <v>2.2695198079231694E-2</v>
      </c>
      <c r="V468" s="62">
        <f>'Parameter Input'!AD8</f>
        <v>2.2088565426170468E-2</v>
      </c>
      <c r="W468" s="62">
        <f>'Parameter Input'!AE8</f>
        <v>2.1481932773109242E-2</v>
      </c>
      <c r="X468" s="62">
        <f>'Parameter Input'!AF8</f>
        <v>2.0875300120048023E-2</v>
      </c>
      <c r="Y468" s="62">
        <f>'Parameter Input'!AG8</f>
        <v>2.0268667466986797E-2</v>
      </c>
      <c r="Z468" s="62">
        <f>'Parameter Input'!AH8</f>
        <v>1.9662034813925571E-2</v>
      </c>
      <c r="AA468" s="62">
        <f>'Parameter Input'!AI8</f>
        <v>1.9055402160864345E-2</v>
      </c>
      <c r="AB468" s="62">
        <f>'Parameter Input'!AJ8</f>
        <v>1.8448769507803119E-2</v>
      </c>
      <c r="AC468" s="62">
        <f>'Parameter Input'!AK8</f>
        <v>1.78421368547419E-2</v>
      </c>
    </row>
    <row r="469" spans="1:29" x14ac:dyDescent="0.25">
      <c r="A469" s="30" t="str">
        <f t="shared" si="317"/>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 t="shared" si="317"/>
        <v>Lifetime vehicle</v>
      </c>
      <c r="B470" s="62">
        <f>$B450+($C450-$B450)*(1-Q450)</f>
        <v>20</v>
      </c>
      <c r="C470" s="62">
        <f t="shared" ref="C470:L472" si="347">$B450+($C450-$B450)*(1-R450)</f>
        <v>20</v>
      </c>
      <c r="D470" s="62">
        <f t="shared" si="347"/>
        <v>20</v>
      </c>
      <c r="E470" s="62">
        <f t="shared" si="347"/>
        <v>20</v>
      </c>
      <c r="F470" s="62">
        <f t="shared" si="347"/>
        <v>20</v>
      </c>
      <c r="G470" s="62">
        <f t="shared" si="347"/>
        <v>20</v>
      </c>
      <c r="H470" s="62">
        <f t="shared" si="347"/>
        <v>20</v>
      </c>
      <c r="I470" s="62">
        <f t="shared" si="347"/>
        <v>20</v>
      </c>
      <c r="J470" s="62">
        <f t="shared" si="347"/>
        <v>20</v>
      </c>
      <c r="K470" s="62">
        <f t="shared" si="347"/>
        <v>20</v>
      </c>
      <c r="L470" s="62">
        <f t="shared" si="347"/>
        <v>20</v>
      </c>
      <c r="M470" s="62">
        <f t="shared" ref="M470:V472" si="348">$B450+($C450-$B450)*(1-AB450)</f>
        <v>20</v>
      </c>
      <c r="N470" s="62">
        <f t="shared" si="348"/>
        <v>20</v>
      </c>
      <c r="O470" s="62">
        <f t="shared" si="348"/>
        <v>20</v>
      </c>
      <c r="P470" s="62">
        <f t="shared" si="348"/>
        <v>20</v>
      </c>
      <c r="Q470" s="62">
        <f t="shared" si="348"/>
        <v>20</v>
      </c>
      <c r="R470" s="62">
        <f t="shared" si="348"/>
        <v>20</v>
      </c>
      <c r="S470" s="62">
        <f t="shared" si="348"/>
        <v>20</v>
      </c>
      <c r="T470" s="62">
        <f t="shared" si="348"/>
        <v>20</v>
      </c>
      <c r="U470" s="62">
        <f t="shared" si="348"/>
        <v>20</v>
      </c>
      <c r="V470" s="62">
        <f t="shared" si="348"/>
        <v>20</v>
      </c>
      <c r="W470" s="62">
        <f t="shared" ref="W470:AC472" si="349">$B450+($C450-$B450)*(1-AL450)</f>
        <v>20</v>
      </c>
      <c r="X470" s="62">
        <f t="shared" si="349"/>
        <v>20</v>
      </c>
      <c r="Y470" s="62">
        <f t="shared" si="349"/>
        <v>20</v>
      </c>
      <c r="Z470" s="62">
        <f t="shared" si="349"/>
        <v>20</v>
      </c>
      <c r="AA470" s="62">
        <f t="shared" si="349"/>
        <v>20</v>
      </c>
      <c r="AB470" s="62">
        <f t="shared" si="349"/>
        <v>20</v>
      </c>
      <c r="AC470" s="62">
        <f t="shared" si="349"/>
        <v>20</v>
      </c>
    </row>
    <row r="471" spans="1:29" x14ac:dyDescent="0.25">
      <c r="A471" s="30" t="str">
        <f t="shared" si="317"/>
        <v>Lifetime costumization</v>
      </c>
      <c r="B471" s="62">
        <f>$B451+($C451-$B451)*(1-Q451)</f>
        <v>30</v>
      </c>
      <c r="C471" s="62">
        <f t="shared" si="347"/>
        <v>30</v>
      </c>
      <c r="D471" s="62">
        <f t="shared" si="347"/>
        <v>30</v>
      </c>
      <c r="E471" s="62">
        <f t="shared" si="347"/>
        <v>30</v>
      </c>
      <c r="F471" s="62">
        <f t="shared" si="347"/>
        <v>30</v>
      </c>
      <c r="G471" s="62">
        <f t="shared" si="347"/>
        <v>30</v>
      </c>
      <c r="H471" s="62">
        <f t="shared" si="347"/>
        <v>30</v>
      </c>
      <c r="I471" s="62">
        <f t="shared" si="347"/>
        <v>30</v>
      </c>
      <c r="J471" s="62">
        <f t="shared" si="347"/>
        <v>30</v>
      </c>
      <c r="K471" s="62">
        <f t="shared" si="347"/>
        <v>30</v>
      </c>
      <c r="L471" s="62">
        <f t="shared" si="347"/>
        <v>30</v>
      </c>
      <c r="M471" s="62">
        <f t="shared" si="348"/>
        <v>30</v>
      </c>
      <c r="N471" s="62">
        <f t="shared" si="348"/>
        <v>30</v>
      </c>
      <c r="O471" s="62">
        <f t="shared" si="348"/>
        <v>30</v>
      </c>
      <c r="P471" s="62">
        <f t="shared" si="348"/>
        <v>30</v>
      </c>
      <c r="Q471" s="62">
        <f t="shared" si="348"/>
        <v>30</v>
      </c>
      <c r="R471" s="62">
        <f t="shared" si="348"/>
        <v>30</v>
      </c>
      <c r="S471" s="62">
        <f t="shared" si="348"/>
        <v>30</v>
      </c>
      <c r="T471" s="62">
        <f t="shared" si="348"/>
        <v>30</v>
      </c>
      <c r="U471" s="62">
        <f t="shared" si="348"/>
        <v>30</v>
      </c>
      <c r="V471" s="62">
        <f t="shared" si="348"/>
        <v>30</v>
      </c>
      <c r="W471" s="62">
        <f t="shared" si="349"/>
        <v>30</v>
      </c>
      <c r="X471" s="62">
        <f t="shared" si="349"/>
        <v>30</v>
      </c>
      <c r="Y471" s="62">
        <f t="shared" si="349"/>
        <v>30</v>
      </c>
      <c r="Z471" s="62">
        <f t="shared" si="349"/>
        <v>30</v>
      </c>
      <c r="AA471" s="62">
        <f t="shared" si="349"/>
        <v>30</v>
      </c>
      <c r="AB471" s="62">
        <f t="shared" si="349"/>
        <v>30</v>
      </c>
      <c r="AC471" s="62">
        <f t="shared" si="349"/>
        <v>30</v>
      </c>
    </row>
    <row r="472" spans="1:29" x14ac:dyDescent="0.25">
      <c r="A472" s="30" t="str">
        <f t="shared" si="317"/>
        <v>Tonnage .</v>
      </c>
      <c r="B472" s="62">
        <f>$B452+($C452-$B452)*(1-Q452)</f>
        <v>2800</v>
      </c>
      <c r="C472" s="62">
        <f t="shared" si="347"/>
        <v>2800</v>
      </c>
      <c r="D472" s="62">
        <f t="shared" si="347"/>
        <v>2800</v>
      </c>
      <c r="E472" s="62">
        <f t="shared" si="347"/>
        <v>2800</v>
      </c>
      <c r="F472" s="62">
        <f t="shared" si="347"/>
        <v>2800</v>
      </c>
      <c r="G472" s="62">
        <f t="shared" si="347"/>
        <v>2800</v>
      </c>
      <c r="H472" s="62">
        <f t="shared" si="347"/>
        <v>2800</v>
      </c>
      <c r="I472" s="62">
        <f t="shared" si="347"/>
        <v>2800</v>
      </c>
      <c r="J472" s="62">
        <f t="shared" si="347"/>
        <v>2800</v>
      </c>
      <c r="K472" s="62">
        <f t="shared" si="347"/>
        <v>2800</v>
      </c>
      <c r="L472" s="62">
        <f t="shared" si="347"/>
        <v>2800</v>
      </c>
      <c r="M472" s="62">
        <f t="shared" si="348"/>
        <v>2800</v>
      </c>
      <c r="N472" s="62">
        <f t="shared" si="348"/>
        <v>2800</v>
      </c>
      <c r="O472" s="62">
        <f t="shared" si="348"/>
        <v>2800</v>
      </c>
      <c r="P472" s="62">
        <f t="shared" si="348"/>
        <v>2800</v>
      </c>
      <c r="Q472" s="62">
        <f t="shared" si="348"/>
        <v>2800</v>
      </c>
      <c r="R472" s="62">
        <f t="shared" si="348"/>
        <v>2800</v>
      </c>
      <c r="S472" s="62">
        <f t="shared" si="348"/>
        <v>2800</v>
      </c>
      <c r="T472" s="62">
        <f t="shared" si="348"/>
        <v>2800</v>
      </c>
      <c r="U472" s="62">
        <f t="shared" si="348"/>
        <v>2800</v>
      </c>
      <c r="V472" s="62">
        <f t="shared" si="348"/>
        <v>2800</v>
      </c>
      <c r="W472" s="62">
        <f t="shared" si="349"/>
        <v>2800</v>
      </c>
      <c r="X472" s="62">
        <f t="shared" si="349"/>
        <v>2800</v>
      </c>
      <c r="Y472" s="62">
        <f t="shared" si="349"/>
        <v>2800</v>
      </c>
      <c r="Z472" s="62">
        <f t="shared" si="349"/>
        <v>2800</v>
      </c>
      <c r="AA472" s="62">
        <f t="shared" si="349"/>
        <v>2800</v>
      </c>
      <c r="AB472" s="62">
        <f t="shared" si="349"/>
        <v>2800</v>
      </c>
      <c r="AC472" s="62">
        <f t="shared" si="349"/>
        <v>2800</v>
      </c>
    </row>
    <row r="473" spans="1:29" x14ac:dyDescent="0.25">
      <c r="A473" s="30" t="str">
        <f t="shared" si="317"/>
        <v>Market failure (av. utilization)</v>
      </c>
      <c r="B473" s="62">
        <f t="shared" ref="B473:K474" si="350">($B453+($C453-$B453)*(1-Q453))*B$44</f>
        <v>955.73333333333335</v>
      </c>
      <c r="C473" s="62">
        <f t="shared" si="350"/>
        <v>955.73333333333335</v>
      </c>
      <c r="D473" s="62">
        <f t="shared" si="350"/>
        <v>955.73333333333335</v>
      </c>
      <c r="E473" s="62">
        <f t="shared" si="350"/>
        <v>955.73333333333335</v>
      </c>
      <c r="F473" s="62">
        <f t="shared" si="350"/>
        <v>955.73333333333335</v>
      </c>
      <c r="G473" s="62">
        <f t="shared" si="350"/>
        <v>955.73333333333335</v>
      </c>
      <c r="H473" s="62">
        <f t="shared" si="350"/>
        <v>955.73333333333335</v>
      </c>
      <c r="I473" s="62">
        <f t="shared" si="350"/>
        <v>955.73333333333335</v>
      </c>
      <c r="J473" s="62">
        <f t="shared" si="350"/>
        <v>955.73333333333335</v>
      </c>
      <c r="K473" s="62">
        <f t="shared" si="350"/>
        <v>955.73333333333335</v>
      </c>
      <c r="L473" s="62">
        <f t="shared" ref="L473:U474" si="351">($B453+($C453-$B453)*(1-AA453))*L$44</f>
        <v>955.73333333333335</v>
      </c>
      <c r="M473" s="62">
        <f t="shared" si="351"/>
        <v>955.73333333333335</v>
      </c>
      <c r="N473" s="62">
        <f t="shared" si="351"/>
        <v>955.73333333333335</v>
      </c>
      <c r="O473" s="62">
        <f t="shared" si="351"/>
        <v>955.73333333333335</v>
      </c>
      <c r="P473" s="62">
        <f t="shared" si="351"/>
        <v>955.73333333333335</v>
      </c>
      <c r="Q473" s="62">
        <f t="shared" si="351"/>
        <v>955.73333333333335</v>
      </c>
      <c r="R473" s="62">
        <f t="shared" si="351"/>
        <v>955.73333333333335</v>
      </c>
      <c r="S473" s="62">
        <f t="shared" si="351"/>
        <v>955.73333333333335</v>
      </c>
      <c r="T473" s="62">
        <f t="shared" si="351"/>
        <v>955.73333333333335</v>
      </c>
      <c r="U473" s="62">
        <f t="shared" si="351"/>
        <v>955.73333333333335</v>
      </c>
      <c r="V473" s="62">
        <f t="shared" ref="V473:AC474" si="352">($B453+($C453-$B453)*(1-AK453))*V$44</f>
        <v>955.73333333333335</v>
      </c>
      <c r="W473" s="62">
        <f t="shared" si="352"/>
        <v>955.73333333333335</v>
      </c>
      <c r="X473" s="62">
        <f t="shared" si="352"/>
        <v>955.73333333333335</v>
      </c>
      <c r="Y473" s="62">
        <f t="shared" si="352"/>
        <v>955.73333333333335</v>
      </c>
      <c r="Z473" s="62">
        <f t="shared" si="352"/>
        <v>955.73333333333335</v>
      </c>
      <c r="AA473" s="62">
        <f t="shared" si="352"/>
        <v>955.73333333333335</v>
      </c>
      <c r="AB473" s="62">
        <f t="shared" si="352"/>
        <v>955.73333333333335</v>
      </c>
      <c r="AC473" s="62">
        <f t="shared" si="352"/>
        <v>955.73333333333335</v>
      </c>
    </row>
    <row r="474" spans="1:29" x14ac:dyDescent="0.25">
      <c r="A474" s="30" t="s">
        <v>73</v>
      </c>
      <c r="B474" s="62">
        <f t="shared" si="350"/>
        <v>0</v>
      </c>
      <c r="C474" s="62">
        <f t="shared" si="350"/>
        <v>0</v>
      </c>
      <c r="D474" s="62">
        <f t="shared" si="350"/>
        <v>0</v>
      </c>
      <c r="E474" s="62">
        <f t="shared" si="350"/>
        <v>0</v>
      </c>
      <c r="F474" s="62">
        <f t="shared" si="350"/>
        <v>0</v>
      </c>
      <c r="G474" s="62">
        <f t="shared" si="350"/>
        <v>0</v>
      </c>
      <c r="H474" s="62">
        <f t="shared" si="350"/>
        <v>0</v>
      </c>
      <c r="I474" s="62">
        <f t="shared" si="350"/>
        <v>0</v>
      </c>
      <c r="J474" s="62">
        <f t="shared" si="350"/>
        <v>0</v>
      </c>
      <c r="K474" s="62">
        <f t="shared" si="350"/>
        <v>0</v>
      </c>
      <c r="L474" s="62">
        <f t="shared" si="351"/>
        <v>0</v>
      </c>
      <c r="M474" s="62">
        <f t="shared" si="351"/>
        <v>0</v>
      </c>
      <c r="N474" s="62">
        <f t="shared" si="351"/>
        <v>0</v>
      </c>
      <c r="O474" s="62">
        <f t="shared" si="351"/>
        <v>0</v>
      </c>
      <c r="P474" s="62">
        <f t="shared" si="351"/>
        <v>0</v>
      </c>
      <c r="Q474" s="62">
        <f t="shared" si="351"/>
        <v>0</v>
      </c>
      <c r="R474" s="62">
        <f t="shared" si="351"/>
        <v>0</v>
      </c>
      <c r="S474" s="62">
        <f t="shared" si="351"/>
        <v>0</v>
      </c>
      <c r="T474" s="62">
        <f t="shared" si="351"/>
        <v>0</v>
      </c>
      <c r="U474" s="62">
        <f t="shared" si="351"/>
        <v>0</v>
      </c>
      <c r="V474" s="62">
        <f t="shared" si="352"/>
        <v>0</v>
      </c>
      <c r="W474" s="62">
        <f t="shared" si="352"/>
        <v>0</v>
      </c>
      <c r="X474" s="62">
        <f t="shared" si="352"/>
        <v>0</v>
      </c>
      <c r="Y474" s="62">
        <f t="shared" si="352"/>
        <v>0</v>
      </c>
      <c r="Z474" s="62">
        <f t="shared" si="352"/>
        <v>0</v>
      </c>
      <c r="AA474" s="62">
        <f t="shared" si="352"/>
        <v>0</v>
      </c>
      <c r="AB474" s="62">
        <f t="shared" si="352"/>
        <v>0</v>
      </c>
      <c r="AC474" s="62">
        <f t="shared" si="352"/>
        <v>0</v>
      </c>
    </row>
    <row r="475" spans="1:29" x14ac:dyDescent="0.25">
      <c r="A475" s="30" t="str">
        <f>A455</f>
        <v>Annual Mileage</v>
      </c>
      <c r="B475" s="62">
        <f t="shared" ref="B475:AC475" si="353">$B455+($C455-$B455)*(1-Q455)</f>
        <v>178500</v>
      </c>
      <c r="C475" s="62">
        <f t="shared" si="353"/>
        <v>178500</v>
      </c>
      <c r="D475" s="62">
        <f t="shared" si="353"/>
        <v>178500</v>
      </c>
      <c r="E475" s="62">
        <f t="shared" si="353"/>
        <v>178500</v>
      </c>
      <c r="F475" s="62">
        <f t="shared" si="353"/>
        <v>178500</v>
      </c>
      <c r="G475" s="62">
        <f t="shared" si="353"/>
        <v>178500</v>
      </c>
      <c r="H475" s="62">
        <f t="shared" si="353"/>
        <v>178500</v>
      </c>
      <c r="I475" s="62">
        <f t="shared" si="353"/>
        <v>178500</v>
      </c>
      <c r="J475" s="62">
        <f t="shared" si="353"/>
        <v>178500</v>
      </c>
      <c r="K475" s="62">
        <f t="shared" si="353"/>
        <v>178500</v>
      </c>
      <c r="L475" s="62">
        <f t="shared" si="353"/>
        <v>178500</v>
      </c>
      <c r="M475" s="62">
        <f t="shared" si="353"/>
        <v>178500</v>
      </c>
      <c r="N475" s="62">
        <f t="shared" si="353"/>
        <v>178500</v>
      </c>
      <c r="O475" s="62">
        <f t="shared" si="353"/>
        <v>178500</v>
      </c>
      <c r="P475" s="62">
        <f t="shared" si="353"/>
        <v>178500</v>
      </c>
      <c r="Q475" s="62">
        <f t="shared" si="353"/>
        <v>178500</v>
      </c>
      <c r="R475" s="62">
        <f t="shared" si="353"/>
        <v>178500</v>
      </c>
      <c r="S475" s="62">
        <f t="shared" si="353"/>
        <v>178500</v>
      </c>
      <c r="T475" s="62">
        <f t="shared" si="353"/>
        <v>178500</v>
      </c>
      <c r="U475" s="62">
        <f t="shared" si="353"/>
        <v>178500</v>
      </c>
      <c r="V475" s="62">
        <f t="shared" si="353"/>
        <v>178500</v>
      </c>
      <c r="W475" s="62">
        <f t="shared" si="353"/>
        <v>178500</v>
      </c>
      <c r="X475" s="62">
        <f t="shared" si="353"/>
        <v>178500</v>
      </c>
      <c r="Y475" s="62">
        <f t="shared" si="353"/>
        <v>178500</v>
      </c>
      <c r="Z475" s="62">
        <f t="shared" si="353"/>
        <v>178500</v>
      </c>
      <c r="AA475" s="62">
        <f t="shared" si="353"/>
        <v>178500</v>
      </c>
      <c r="AB475" s="62">
        <f t="shared" si="353"/>
        <v>178500</v>
      </c>
      <c r="AC475" s="62">
        <f t="shared" si="353"/>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4">((1+C463)^C470)*C463/(((1+C463)^C470)-1)*(C459)</f>
        <v>305145.94941897993</v>
      </c>
      <c r="D478" s="63">
        <f t="shared" si="354"/>
        <v>305145.94941897993</v>
      </c>
      <c r="E478" s="63">
        <f t="shared" si="354"/>
        <v>305145.94941897993</v>
      </c>
      <c r="F478" s="63">
        <f t="shared" si="354"/>
        <v>305145.94941897993</v>
      </c>
      <c r="G478" s="63">
        <f t="shared" si="354"/>
        <v>305145.94941897993</v>
      </c>
      <c r="H478" s="63">
        <f t="shared" si="354"/>
        <v>305145.94941897993</v>
      </c>
      <c r="I478" s="63">
        <f t="shared" si="354"/>
        <v>305145.94941897993</v>
      </c>
      <c r="J478" s="63">
        <f t="shared" si="354"/>
        <v>305145.94941897993</v>
      </c>
      <c r="K478" s="63">
        <f t="shared" si="354"/>
        <v>305145.94941897993</v>
      </c>
      <c r="L478" s="63">
        <f t="shared" si="354"/>
        <v>305145.94941897993</v>
      </c>
      <c r="M478" s="63">
        <f t="shared" si="354"/>
        <v>305145.94941897993</v>
      </c>
      <c r="N478" s="63">
        <f t="shared" si="354"/>
        <v>305145.94941897993</v>
      </c>
      <c r="O478" s="63">
        <f t="shared" si="354"/>
        <v>305145.94941897993</v>
      </c>
      <c r="P478" s="63">
        <f t="shared" si="354"/>
        <v>305145.94941897993</v>
      </c>
      <c r="Q478" s="63">
        <f t="shared" si="354"/>
        <v>305145.94941897993</v>
      </c>
      <c r="R478" s="63">
        <f t="shared" si="354"/>
        <v>305145.94941897993</v>
      </c>
      <c r="S478" s="63">
        <f t="shared" si="354"/>
        <v>305145.94941897993</v>
      </c>
      <c r="T478" s="63">
        <f t="shared" si="354"/>
        <v>305145.94941897993</v>
      </c>
      <c r="U478" s="63">
        <f t="shared" si="354"/>
        <v>305145.94941897993</v>
      </c>
      <c r="V478" s="63">
        <f t="shared" si="354"/>
        <v>305145.94941897993</v>
      </c>
      <c r="W478" s="63">
        <f t="shared" si="354"/>
        <v>305145.94941897993</v>
      </c>
      <c r="X478" s="63">
        <f t="shared" si="354"/>
        <v>305145.94941897993</v>
      </c>
      <c r="Y478" s="63">
        <f t="shared" si="354"/>
        <v>305145.94941897993</v>
      </c>
      <c r="Z478" s="63">
        <f t="shared" si="354"/>
        <v>305145.94941897993</v>
      </c>
      <c r="AA478" s="63">
        <f t="shared" si="354"/>
        <v>305145.94941897993</v>
      </c>
      <c r="AB478" s="63">
        <f t="shared" si="354"/>
        <v>305145.94941897993</v>
      </c>
      <c r="AC478" s="63">
        <f t="shared" si="354"/>
        <v>305145.94941897993</v>
      </c>
    </row>
    <row r="479" spans="1:29" x14ac:dyDescent="0.25">
      <c r="A479" s="30" t="str">
        <f>A460</f>
        <v>Residual value (vehicle)</v>
      </c>
      <c r="B479" s="62">
        <f>((1+B463)^B470)*B463/(((1+B463)^B470)-1)*(B460)</f>
        <v>-45369.034506436277</v>
      </c>
      <c r="C479" s="62">
        <f t="shared" ref="C479:AC479" si="355">((1+C463)^C470)*C463/(((1+C463)^C470)-1)*(C460)</f>
        <v>-45196.542704314146</v>
      </c>
      <c r="D479" s="62">
        <f t="shared" si="355"/>
        <v>-44951.629072308999</v>
      </c>
      <c r="E479" s="62">
        <f t="shared" si="355"/>
        <v>-44605.467188167124</v>
      </c>
      <c r="F479" s="62">
        <f t="shared" si="355"/>
        <v>-44119.462148109647</v>
      </c>
      <c r="G479" s="62">
        <f t="shared" si="355"/>
        <v>-43443.738717137028</v>
      </c>
      <c r="H479" s="62">
        <f t="shared" si="355"/>
        <v>-42517.347172137401</v>
      </c>
      <c r="I479" s="62">
        <f t="shared" si="355"/>
        <v>-41272.376203762586</v>
      </c>
      <c r="J479" s="62">
        <f t="shared" si="355"/>
        <v>-39644.958637393647</v>
      </c>
      <c r="K479" s="62">
        <f t="shared" si="355"/>
        <v>-37595.501281822799</v>
      </c>
      <c r="L479" s="62">
        <f t="shared" si="355"/>
        <v>-35136.211284820376</v>
      </c>
      <c r="M479" s="62">
        <f t="shared" si="355"/>
        <v>-32355.310948630464</v>
      </c>
      <c r="N479" s="62">
        <f t="shared" si="355"/>
        <v>-29419.525873461753</v>
      </c>
      <c r="O479" s="62">
        <f t="shared" si="355"/>
        <v>-26541.511557340396</v>
      </c>
      <c r="P479" s="62">
        <f t="shared" si="355"/>
        <v>-23921.595885610663</v>
      </c>
      <c r="Q479" s="62">
        <f t="shared" si="355"/>
        <v>-21695.040647806538</v>
      </c>
      <c r="R479" s="62">
        <f t="shared" si="355"/>
        <v>-19911.968655776182</v>
      </c>
      <c r="S479" s="62">
        <f t="shared" si="355"/>
        <v>-18551.40558747459</v>
      </c>
      <c r="T479" s="62">
        <f t="shared" si="355"/>
        <v>-17551.282614957105</v>
      </c>
      <c r="U479" s="62">
        <f t="shared" si="355"/>
        <v>-16836.209158050464</v>
      </c>
      <c r="V479" s="62">
        <f t="shared" si="355"/>
        <v>-16335.048266557109</v>
      </c>
      <c r="W479" s="62">
        <f t="shared" si="355"/>
        <v>-15988.715286779448</v>
      </c>
      <c r="X479" s="62">
        <f t="shared" si="355"/>
        <v>-15751.702370283236</v>
      </c>
      <c r="Y479" s="62">
        <f t="shared" si="355"/>
        <v>-15590.58521762073</v>
      </c>
      <c r="Z479" s="62">
        <f t="shared" si="355"/>
        <v>-15481.559033229796</v>
      </c>
      <c r="AA479" s="62">
        <f t="shared" si="355"/>
        <v>-15408.009855414111</v>
      </c>
      <c r="AB479" s="62">
        <f t="shared" si="355"/>
        <v>-15358.496914269901</v>
      </c>
      <c r="AC479" s="62">
        <f t="shared" si="355"/>
        <v>-15325.211858527608</v>
      </c>
    </row>
    <row r="480" spans="1:29" x14ac:dyDescent="0.25">
      <c r="A480" s="30" t="str">
        <f>A461</f>
        <v>Capex costumization</v>
      </c>
      <c r="B480" s="62">
        <f>((1+B463)^B471)*B463/(((1+B463)^B471)-1)*(B461)</f>
        <v>254271.19021516517</v>
      </c>
      <c r="C480" s="62">
        <f t="shared" ref="C480:AC480" si="356">((1+C463)^C471)*C463/(((1+C463)^C471)-1)*(C461)</f>
        <v>254271.19021516517</v>
      </c>
      <c r="D480" s="62">
        <f t="shared" si="356"/>
        <v>254271.19021516517</v>
      </c>
      <c r="E480" s="62">
        <f t="shared" si="356"/>
        <v>254271.19021516517</v>
      </c>
      <c r="F480" s="62">
        <f t="shared" si="356"/>
        <v>254271.19021516517</v>
      </c>
      <c r="G480" s="62">
        <f t="shared" si="356"/>
        <v>254271.19021516517</v>
      </c>
      <c r="H480" s="62">
        <f t="shared" si="356"/>
        <v>254271.19021516517</v>
      </c>
      <c r="I480" s="62">
        <f t="shared" si="356"/>
        <v>254271.19021516517</v>
      </c>
      <c r="J480" s="62">
        <f t="shared" si="356"/>
        <v>254271.19021516517</v>
      </c>
      <c r="K480" s="62">
        <f t="shared" si="356"/>
        <v>254271.19021516517</v>
      </c>
      <c r="L480" s="62">
        <f t="shared" si="356"/>
        <v>254271.19021516517</v>
      </c>
      <c r="M480" s="62">
        <f t="shared" si="356"/>
        <v>254271.19021516517</v>
      </c>
      <c r="N480" s="62">
        <f t="shared" si="356"/>
        <v>254271.19021516517</v>
      </c>
      <c r="O480" s="62">
        <f t="shared" si="356"/>
        <v>254271.19021516517</v>
      </c>
      <c r="P480" s="62">
        <f t="shared" si="356"/>
        <v>254271.19021516517</v>
      </c>
      <c r="Q480" s="62">
        <f t="shared" si="356"/>
        <v>254271.19021516517</v>
      </c>
      <c r="R480" s="62">
        <f t="shared" si="356"/>
        <v>254271.19021516517</v>
      </c>
      <c r="S480" s="62">
        <f t="shared" si="356"/>
        <v>254271.19021516517</v>
      </c>
      <c r="T480" s="62">
        <f t="shared" si="356"/>
        <v>254271.19021516517</v>
      </c>
      <c r="U480" s="62">
        <f t="shared" si="356"/>
        <v>254271.19021516517</v>
      </c>
      <c r="V480" s="62">
        <f t="shared" si="356"/>
        <v>254271.19021516517</v>
      </c>
      <c r="W480" s="62">
        <f t="shared" si="356"/>
        <v>254271.19021516517</v>
      </c>
      <c r="X480" s="62">
        <f t="shared" si="356"/>
        <v>254271.19021516517</v>
      </c>
      <c r="Y480" s="62">
        <f t="shared" si="356"/>
        <v>254271.19021516517</v>
      </c>
      <c r="Z480" s="62">
        <f t="shared" si="356"/>
        <v>254271.19021516517</v>
      </c>
      <c r="AA480" s="62">
        <f t="shared" si="356"/>
        <v>254271.19021516517</v>
      </c>
      <c r="AB480" s="62">
        <f t="shared" si="356"/>
        <v>254271.19021516517</v>
      </c>
      <c r="AC480" s="62">
        <f t="shared" si="356"/>
        <v>254271.19021516517</v>
      </c>
    </row>
    <row r="481" spans="1:29" x14ac:dyDescent="0.25">
      <c r="A481" s="30" t="str">
        <f>A462</f>
        <v>Residual value (costumization)</v>
      </c>
      <c r="B481" s="62">
        <f>((1+B463)^B471)*B463/(((1+B463)^B471)-1)*(B462)</f>
        <v>-12713.559510758259</v>
      </c>
      <c r="C481" s="62">
        <f t="shared" ref="C481:AC481" si="357">((1+C463)^C471)*C463/(((1+C463)^C471)-1)*(C462)</f>
        <v>-12713.559510758259</v>
      </c>
      <c r="D481" s="62">
        <f t="shared" si="357"/>
        <v>-12713.559510758259</v>
      </c>
      <c r="E481" s="62">
        <f t="shared" si="357"/>
        <v>-12713.559510758259</v>
      </c>
      <c r="F481" s="62">
        <f t="shared" si="357"/>
        <v>-12713.559510758259</v>
      </c>
      <c r="G481" s="62">
        <f t="shared" si="357"/>
        <v>-12713.559510758259</v>
      </c>
      <c r="H481" s="62">
        <f t="shared" si="357"/>
        <v>-12713.559510758259</v>
      </c>
      <c r="I481" s="62">
        <f t="shared" si="357"/>
        <v>-12713.559510758259</v>
      </c>
      <c r="J481" s="62">
        <f t="shared" si="357"/>
        <v>-12713.559510758259</v>
      </c>
      <c r="K481" s="62">
        <f t="shared" si="357"/>
        <v>-12713.559510758259</v>
      </c>
      <c r="L481" s="62">
        <f t="shared" si="357"/>
        <v>-12713.559510758259</v>
      </c>
      <c r="M481" s="62">
        <f t="shared" si="357"/>
        <v>-12713.559510758259</v>
      </c>
      <c r="N481" s="62">
        <f t="shared" si="357"/>
        <v>-12713.559510758259</v>
      </c>
      <c r="O481" s="62">
        <f t="shared" si="357"/>
        <v>-12713.559510758259</v>
      </c>
      <c r="P481" s="62">
        <f t="shared" si="357"/>
        <v>-12713.559510758259</v>
      </c>
      <c r="Q481" s="62">
        <f t="shared" si="357"/>
        <v>-12713.559510758259</v>
      </c>
      <c r="R481" s="62">
        <f t="shared" si="357"/>
        <v>-12713.559510758259</v>
      </c>
      <c r="S481" s="62">
        <f t="shared" si="357"/>
        <v>-12713.559510758259</v>
      </c>
      <c r="T481" s="62">
        <f t="shared" si="357"/>
        <v>-12713.559510758259</v>
      </c>
      <c r="U481" s="62">
        <f t="shared" si="357"/>
        <v>-12713.559510758259</v>
      </c>
      <c r="V481" s="62">
        <f t="shared" si="357"/>
        <v>-12713.559510758259</v>
      </c>
      <c r="W481" s="62">
        <f t="shared" si="357"/>
        <v>-12713.559510758259</v>
      </c>
      <c r="X481" s="62">
        <f t="shared" si="357"/>
        <v>-12713.559510758259</v>
      </c>
      <c r="Y481" s="62">
        <f t="shared" si="357"/>
        <v>-12713.559510758259</v>
      </c>
      <c r="Z481" s="62">
        <f t="shared" si="357"/>
        <v>-12713.559510758259</v>
      </c>
      <c r="AA481" s="62">
        <f t="shared" si="357"/>
        <v>-12713.559510758259</v>
      </c>
      <c r="AB481" s="62">
        <f t="shared" si="357"/>
        <v>-12713.559510758259</v>
      </c>
      <c r="AC481" s="62">
        <f t="shared" si="357"/>
        <v>-12713.559510758259</v>
      </c>
    </row>
    <row r="482" spans="1:29" x14ac:dyDescent="0.25">
      <c r="A482" s="30" t="str">
        <f t="shared" ref="A482:AC482" si="358">A464</f>
        <v>Opex fix (admin, crew, insurance)</v>
      </c>
      <c r="B482" s="62">
        <f t="shared" si="358"/>
        <v>650000</v>
      </c>
      <c r="C482" s="62">
        <f t="shared" si="358"/>
        <v>650000</v>
      </c>
      <c r="D482" s="62">
        <f t="shared" si="358"/>
        <v>650000</v>
      </c>
      <c r="E482" s="62">
        <f t="shared" si="358"/>
        <v>650000</v>
      </c>
      <c r="F482" s="62">
        <f t="shared" si="358"/>
        <v>650000</v>
      </c>
      <c r="G482" s="62">
        <f t="shared" si="358"/>
        <v>650000</v>
      </c>
      <c r="H482" s="62">
        <f t="shared" si="358"/>
        <v>650000</v>
      </c>
      <c r="I482" s="62">
        <f t="shared" si="358"/>
        <v>650000</v>
      </c>
      <c r="J482" s="62">
        <f t="shared" si="358"/>
        <v>650000</v>
      </c>
      <c r="K482" s="62">
        <f t="shared" si="358"/>
        <v>650000</v>
      </c>
      <c r="L482" s="62">
        <f t="shared" si="358"/>
        <v>650000</v>
      </c>
      <c r="M482" s="62">
        <f t="shared" si="358"/>
        <v>650000</v>
      </c>
      <c r="N482" s="62">
        <f t="shared" si="358"/>
        <v>650000</v>
      </c>
      <c r="O482" s="62">
        <f t="shared" si="358"/>
        <v>650000</v>
      </c>
      <c r="P482" s="62">
        <f t="shared" si="358"/>
        <v>650000</v>
      </c>
      <c r="Q482" s="62">
        <f t="shared" si="358"/>
        <v>650000</v>
      </c>
      <c r="R482" s="62">
        <f t="shared" si="358"/>
        <v>650000</v>
      </c>
      <c r="S482" s="62">
        <f t="shared" si="358"/>
        <v>650000</v>
      </c>
      <c r="T482" s="62">
        <f t="shared" si="358"/>
        <v>650000</v>
      </c>
      <c r="U482" s="62">
        <f t="shared" si="358"/>
        <v>650000</v>
      </c>
      <c r="V482" s="62">
        <f t="shared" si="358"/>
        <v>650000</v>
      </c>
      <c r="W482" s="62">
        <f t="shared" si="358"/>
        <v>650000</v>
      </c>
      <c r="X482" s="62">
        <f t="shared" si="358"/>
        <v>650000</v>
      </c>
      <c r="Y482" s="62">
        <f t="shared" si="358"/>
        <v>650000</v>
      </c>
      <c r="Z482" s="62">
        <f t="shared" si="358"/>
        <v>650000</v>
      </c>
      <c r="AA482" s="62">
        <f t="shared" si="358"/>
        <v>650000</v>
      </c>
      <c r="AB482" s="62">
        <f t="shared" si="358"/>
        <v>650000</v>
      </c>
      <c r="AC482" s="62">
        <f t="shared" si="358"/>
        <v>650000</v>
      </c>
    </row>
    <row r="483" spans="1:29" x14ac:dyDescent="0.25">
      <c r="A483" s="30" t="str">
        <f t="shared" ref="A483:AC483" si="359">A465</f>
        <v>Opex maintenance &amp; repair</v>
      </c>
      <c r="B483" s="62">
        <f t="shared" si="359"/>
        <v>1050000</v>
      </c>
      <c r="C483" s="62">
        <f t="shared" si="359"/>
        <v>1050000</v>
      </c>
      <c r="D483" s="62">
        <f t="shared" si="359"/>
        <v>1050000</v>
      </c>
      <c r="E483" s="62">
        <f t="shared" si="359"/>
        <v>1050000</v>
      </c>
      <c r="F483" s="62">
        <f t="shared" si="359"/>
        <v>1050000</v>
      </c>
      <c r="G483" s="62">
        <f t="shared" si="359"/>
        <v>1050000</v>
      </c>
      <c r="H483" s="62">
        <f t="shared" si="359"/>
        <v>1050000</v>
      </c>
      <c r="I483" s="62">
        <f t="shared" si="359"/>
        <v>1050000</v>
      </c>
      <c r="J483" s="62">
        <f t="shared" si="359"/>
        <v>1050000</v>
      </c>
      <c r="K483" s="62">
        <f t="shared" si="359"/>
        <v>1050000</v>
      </c>
      <c r="L483" s="62">
        <f t="shared" si="359"/>
        <v>1050000</v>
      </c>
      <c r="M483" s="62">
        <f t="shared" si="359"/>
        <v>1050000</v>
      </c>
      <c r="N483" s="62">
        <f t="shared" si="359"/>
        <v>1050000</v>
      </c>
      <c r="O483" s="62">
        <f t="shared" si="359"/>
        <v>1050000</v>
      </c>
      <c r="P483" s="62">
        <f t="shared" si="359"/>
        <v>1050000</v>
      </c>
      <c r="Q483" s="62">
        <f t="shared" si="359"/>
        <v>1050000</v>
      </c>
      <c r="R483" s="62">
        <f t="shared" si="359"/>
        <v>1050000</v>
      </c>
      <c r="S483" s="62">
        <f t="shared" si="359"/>
        <v>1050000</v>
      </c>
      <c r="T483" s="62">
        <f t="shared" si="359"/>
        <v>1050000</v>
      </c>
      <c r="U483" s="62">
        <f t="shared" si="359"/>
        <v>1050000</v>
      </c>
      <c r="V483" s="62">
        <f t="shared" si="359"/>
        <v>1050000</v>
      </c>
      <c r="W483" s="62">
        <f t="shared" si="359"/>
        <v>1050000</v>
      </c>
      <c r="X483" s="62">
        <f t="shared" si="359"/>
        <v>1050000</v>
      </c>
      <c r="Y483" s="62">
        <f t="shared" si="359"/>
        <v>1050000</v>
      </c>
      <c r="Z483" s="62">
        <f t="shared" si="359"/>
        <v>1050000</v>
      </c>
      <c r="AA483" s="62">
        <f t="shared" si="359"/>
        <v>1050000</v>
      </c>
      <c r="AB483" s="62">
        <f t="shared" si="359"/>
        <v>1050000</v>
      </c>
      <c r="AC483" s="62">
        <f t="shared" si="359"/>
        <v>1050000</v>
      </c>
    </row>
    <row r="484" spans="1:29" x14ac:dyDescent="0.25">
      <c r="A484" s="30" t="str">
        <f>A466</f>
        <v>Opex var (mode-fees, shunting)</v>
      </c>
      <c r="B484" s="62">
        <f>B466*B475</f>
        <v>700000</v>
      </c>
      <c r="C484" s="62">
        <f t="shared" ref="C484:AC484" si="360">C466*C475</f>
        <v>700000</v>
      </c>
      <c r="D484" s="62">
        <f t="shared" si="360"/>
        <v>700000</v>
      </c>
      <c r="E484" s="62">
        <f t="shared" si="360"/>
        <v>700000</v>
      </c>
      <c r="F484" s="62">
        <f t="shared" si="360"/>
        <v>700000</v>
      </c>
      <c r="G484" s="62">
        <f t="shared" si="360"/>
        <v>700000</v>
      </c>
      <c r="H484" s="62">
        <f t="shared" si="360"/>
        <v>700000</v>
      </c>
      <c r="I484" s="62">
        <f t="shared" si="360"/>
        <v>700000</v>
      </c>
      <c r="J484" s="62">
        <f t="shared" si="360"/>
        <v>700000</v>
      </c>
      <c r="K484" s="62">
        <f t="shared" si="360"/>
        <v>700000</v>
      </c>
      <c r="L484" s="62">
        <f t="shared" si="360"/>
        <v>700000</v>
      </c>
      <c r="M484" s="62">
        <f t="shared" si="360"/>
        <v>700000</v>
      </c>
      <c r="N484" s="62">
        <f t="shared" si="360"/>
        <v>700000</v>
      </c>
      <c r="O484" s="62">
        <f t="shared" si="360"/>
        <v>700000</v>
      </c>
      <c r="P484" s="62">
        <f t="shared" si="360"/>
        <v>700000</v>
      </c>
      <c r="Q484" s="62">
        <f t="shared" si="360"/>
        <v>700000</v>
      </c>
      <c r="R484" s="62">
        <f t="shared" si="360"/>
        <v>700000</v>
      </c>
      <c r="S484" s="62">
        <f t="shared" si="360"/>
        <v>700000</v>
      </c>
      <c r="T484" s="62">
        <f t="shared" si="360"/>
        <v>700000</v>
      </c>
      <c r="U484" s="62">
        <f t="shared" si="360"/>
        <v>700000</v>
      </c>
      <c r="V484" s="62">
        <f t="shared" si="360"/>
        <v>700000</v>
      </c>
      <c r="W484" s="62">
        <f t="shared" si="360"/>
        <v>700000</v>
      </c>
      <c r="X484" s="62">
        <f t="shared" si="360"/>
        <v>700000</v>
      </c>
      <c r="Y484" s="62">
        <f t="shared" si="360"/>
        <v>700000</v>
      </c>
      <c r="Z484" s="62">
        <f t="shared" si="360"/>
        <v>700000</v>
      </c>
      <c r="AA484" s="62">
        <f t="shared" si="360"/>
        <v>700000</v>
      </c>
      <c r="AB484" s="62">
        <f t="shared" si="360"/>
        <v>700000</v>
      </c>
      <c r="AC484" s="62">
        <f t="shared" si="360"/>
        <v>700000</v>
      </c>
    </row>
    <row r="485" spans="1:29" x14ac:dyDescent="0.25">
      <c r="A485" s="30" t="str">
        <f>A468</f>
        <v>Fuel Cost</v>
      </c>
      <c r="B485" s="62">
        <f>B467*B468*B475</f>
        <v>794210.52768000006</v>
      </c>
      <c r="C485" s="62">
        <f t="shared" ref="C485:AC485" si="361">C467*C468*C475</f>
        <v>739437.38783999986</v>
      </c>
      <c r="D485" s="62">
        <f t="shared" si="361"/>
        <v>684664.24800000002</v>
      </c>
      <c r="E485" s="62">
        <f t="shared" si="361"/>
        <v>629891.10815999995</v>
      </c>
      <c r="F485" s="62">
        <f t="shared" si="361"/>
        <v>575117.96831999999</v>
      </c>
      <c r="G485" s="62">
        <f t="shared" si="361"/>
        <v>520344.82848000008</v>
      </c>
      <c r="H485" s="62">
        <f t="shared" si="361"/>
        <v>465571.68864000007</v>
      </c>
      <c r="I485" s="62">
        <f t="shared" si="361"/>
        <v>410798.54879999999</v>
      </c>
      <c r="J485" s="62">
        <f t="shared" si="361"/>
        <v>402484.76864571427</v>
      </c>
      <c r="K485" s="62">
        <f t="shared" si="361"/>
        <v>394170.98849142861</v>
      </c>
      <c r="L485" s="62">
        <f t="shared" si="361"/>
        <v>385857.20833714283</v>
      </c>
      <c r="M485" s="62">
        <f t="shared" si="361"/>
        <v>377543.42818285705</v>
      </c>
      <c r="N485" s="62">
        <f t="shared" si="361"/>
        <v>369229.64802857145</v>
      </c>
      <c r="O485" s="62">
        <f t="shared" si="361"/>
        <v>360915.86787428573</v>
      </c>
      <c r="P485" s="62">
        <f t="shared" si="361"/>
        <v>352602.08772000001</v>
      </c>
      <c r="Q485" s="62">
        <f t="shared" si="361"/>
        <v>344288.30756571429</v>
      </c>
      <c r="R485" s="62">
        <f t="shared" si="361"/>
        <v>335974.52741142851</v>
      </c>
      <c r="S485" s="62">
        <f t="shared" si="361"/>
        <v>327660.74725714285</v>
      </c>
      <c r="T485" s="62">
        <f t="shared" si="361"/>
        <v>319346.96710285713</v>
      </c>
      <c r="U485" s="62">
        <f t="shared" si="361"/>
        <v>311033.18694857141</v>
      </c>
      <c r="V485" s="62">
        <f t="shared" si="361"/>
        <v>302719.40679428569</v>
      </c>
      <c r="W485" s="62">
        <f t="shared" si="361"/>
        <v>294405.62663999997</v>
      </c>
      <c r="X485" s="62">
        <f t="shared" si="361"/>
        <v>286091.84648571431</v>
      </c>
      <c r="Y485" s="62">
        <f t="shared" si="361"/>
        <v>277778.06633142853</v>
      </c>
      <c r="Z485" s="62">
        <f t="shared" si="361"/>
        <v>269464.28617714281</v>
      </c>
      <c r="AA485" s="62">
        <f t="shared" si="361"/>
        <v>261150.50602285712</v>
      </c>
      <c r="AB485" s="62">
        <f t="shared" si="361"/>
        <v>252836.72586857138</v>
      </c>
      <c r="AC485" s="62">
        <f t="shared" si="361"/>
        <v>244522.94571428571</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209</v>
      </c>
      <c r="B487" s="64">
        <f>B478+B479+B480+B481+B482+B483+B484+B485+B486</f>
        <v>3695545.0732969511</v>
      </c>
      <c r="C487" s="64">
        <f t="shared" ref="C487:AC487" si="363">C478+C479+C480+C481+C482+C483+C484+C485+C486</f>
        <v>3640944.4252590728</v>
      </c>
      <c r="D487" s="64">
        <f t="shared" si="363"/>
        <v>3586416.1990510779</v>
      </c>
      <c r="E487" s="64">
        <f t="shared" si="363"/>
        <v>3531989.2210952197</v>
      </c>
      <c r="F487" s="64">
        <f t="shared" si="363"/>
        <v>3477702.0862952769</v>
      </c>
      <c r="G487" s="64">
        <f t="shared" si="363"/>
        <v>3423604.66988625</v>
      </c>
      <c r="H487" s="64">
        <f t="shared" si="363"/>
        <v>3369757.9215912493</v>
      </c>
      <c r="I487" s="64">
        <f t="shared" si="363"/>
        <v>3316229.752719624</v>
      </c>
      <c r="J487" s="64">
        <f t="shared" si="363"/>
        <v>3309543.3901317073</v>
      </c>
      <c r="K487" s="64">
        <f t="shared" si="363"/>
        <v>3303279.0673329928</v>
      </c>
      <c r="L487" s="64">
        <f t="shared" si="363"/>
        <v>3297424.5771757094</v>
      </c>
      <c r="M487" s="64">
        <f t="shared" si="363"/>
        <v>3291891.6973576136</v>
      </c>
      <c r="N487" s="64">
        <f t="shared" si="363"/>
        <v>3286513.7022784967</v>
      </c>
      <c r="O487" s="64">
        <f t="shared" si="363"/>
        <v>3281077.9364403323</v>
      </c>
      <c r="P487" s="64">
        <f t="shared" si="363"/>
        <v>3275384.0719577763</v>
      </c>
      <c r="Q487" s="64">
        <f t="shared" si="363"/>
        <v>3269296.8470412944</v>
      </c>
      <c r="R487" s="64">
        <f t="shared" si="363"/>
        <v>3262766.1388790393</v>
      </c>
      <c r="S487" s="64">
        <f t="shared" si="363"/>
        <v>3255812.9217930553</v>
      </c>
      <c r="T487" s="64">
        <f t="shared" si="363"/>
        <v>3248499.264611287</v>
      </c>
      <c r="U487" s="64">
        <f t="shared" si="363"/>
        <v>3240900.5579139078</v>
      </c>
      <c r="V487" s="64">
        <f t="shared" si="363"/>
        <v>3233087.9386511156</v>
      </c>
      <c r="W487" s="64">
        <f t="shared" si="363"/>
        <v>3225120.491476607</v>
      </c>
      <c r="X487" s="64">
        <f t="shared" si="363"/>
        <v>3217043.724238818</v>
      </c>
      <c r="Y487" s="64">
        <f t="shared" si="363"/>
        <v>3208891.0612371946</v>
      </c>
      <c r="Z487" s="64">
        <f t="shared" si="363"/>
        <v>3200686.3072673003</v>
      </c>
      <c r="AA487" s="64">
        <f t="shared" si="363"/>
        <v>3192446.0762908296</v>
      </c>
      <c r="AB487" s="64">
        <f t="shared" si="363"/>
        <v>3184181.8090776885</v>
      </c>
      <c r="AC487" s="64">
        <f t="shared" si="363"/>
        <v>3175901.3139791447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1.7095011171931649</v>
      </c>
      <c r="C490" s="65">
        <f t="shared" ref="C490:AC490" si="365">((1+C463)^C470)*C463/(((1+C463)^C470)-1)*(C459)/C475</f>
        <v>1.7095011171931649</v>
      </c>
      <c r="D490" s="65">
        <f t="shared" si="365"/>
        <v>1.7095011171931649</v>
      </c>
      <c r="E490" s="65">
        <f t="shared" si="365"/>
        <v>1.7095011171931649</v>
      </c>
      <c r="F490" s="65">
        <f t="shared" si="365"/>
        <v>1.7095011171931649</v>
      </c>
      <c r="G490" s="65">
        <f t="shared" si="365"/>
        <v>1.7095011171931649</v>
      </c>
      <c r="H490" s="65">
        <f t="shared" si="365"/>
        <v>1.7095011171931649</v>
      </c>
      <c r="I490" s="65">
        <f t="shared" si="365"/>
        <v>1.7095011171931649</v>
      </c>
      <c r="J490" s="65">
        <f t="shared" si="365"/>
        <v>1.7095011171931649</v>
      </c>
      <c r="K490" s="65">
        <f t="shared" si="365"/>
        <v>1.7095011171931649</v>
      </c>
      <c r="L490" s="65">
        <f t="shared" si="365"/>
        <v>1.7095011171931649</v>
      </c>
      <c r="M490" s="65">
        <f t="shared" si="365"/>
        <v>1.7095011171931649</v>
      </c>
      <c r="N490" s="65">
        <f t="shared" si="365"/>
        <v>1.7095011171931649</v>
      </c>
      <c r="O490" s="65">
        <f t="shared" si="365"/>
        <v>1.7095011171931649</v>
      </c>
      <c r="P490" s="65">
        <f t="shared" si="365"/>
        <v>1.7095011171931649</v>
      </c>
      <c r="Q490" s="65">
        <f t="shared" si="365"/>
        <v>1.7095011171931649</v>
      </c>
      <c r="R490" s="65">
        <f t="shared" si="365"/>
        <v>1.7095011171931649</v>
      </c>
      <c r="S490" s="65">
        <f t="shared" si="365"/>
        <v>1.7095011171931649</v>
      </c>
      <c r="T490" s="65">
        <f t="shared" si="365"/>
        <v>1.7095011171931649</v>
      </c>
      <c r="U490" s="65">
        <f t="shared" si="365"/>
        <v>1.7095011171931649</v>
      </c>
      <c r="V490" s="65">
        <f t="shared" si="365"/>
        <v>1.7095011171931649</v>
      </c>
      <c r="W490" s="65">
        <f t="shared" si="365"/>
        <v>1.7095011171931649</v>
      </c>
      <c r="X490" s="65">
        <f t="shared" si="365"/>
        <v>1.7095011171931649</v>
      </c>
      <c r="Y490" s="65">
        <f t="shared" si="365"/>
        <v>1.7095011171931649</v>
      </c>
      <c r="Z490" s="65">
        <f t="shared" si="365"/>
        <v>1.7095011171931649</v>
      </c>
      <c r="AA490" s="65">
        <f t="shared" si="365"/>
        <v>1.7095011171931649</v>
      </c>
      <c r="AB490" s="65">
        <f t="shared" si="365"/>
        <v>1.7095011171931649</v>
      </c>
      <c r="AC490" s="65">
        <f t="shared" si="365"/>
        <v>1.7095011171931649</v>
      </c>
    </row>
    <row r="491" spans="1:29" x14ac:dyDescent="0.25">
      <c r="A491" s="30" t="str">
        <f t="shared" si="364"/>
        <v>Residual value (vehicle)</v>
      </c>
      <c r="B491" s="66">
        <f>((1+B463)^B470)*B463/(((1+B463)^B470)-1)*(B460)/B475</f>
        <v>-0.25416826054025926</v>
      </c>
      <c r="C491" s="66">
        <f t="shared" ref="C491:AC491" si="366">((1+C463)^C470)*C463/(((1+C463)^C470)-1)*(C460)/C475</f>
        <v>-0.2532019199121241</v>
      </c>
      <c r="D491" s="66">
        <f t="shared" si="366"/>
        <v>-0.25182985474682912</v>
      </c>
      <c r="E491" s="66">
        <f t="shared" si="366"/>
        <v>-0.24989057248272897</v>
      </c>
      <c r="F491" s="66">
        <f t="shared" si="366"/>
        <v>-0.24716785517148263</v>
      </c>
      <c r="G491" s="66">
        <f t="shared" si="366"/>
        <v>-0.2433822897318601</v>
      </c>
      <c r="H491" s="66">
        <f t="shared" si="366"/>
        <v>-0.23819242113242242</v>
      </c>
      <c r="I491" s="66">
        <f t="shared" si="366"/>
        <v>-0.23121779385861393</v>
      </c>
      <c r="J491" s="66">
        <f t="shared" si="366"/>
        <v>-0.22210060861284955</v>
      </c>
      <c r="K491" s="66">
        <f t="shared" si="366"/>
        <v>-0.21061905480012771</v>
      </c>
      <c r="L491" s="66">
        <f t="shared" si="366"/>
        <v>-0.19684151980291528</v>
      </c>
      <c r="M491" s="66">
        <f t="shared" si="366"/>
        <v>-0.18126224621081494</v>
      </c>
      <c r="N491" s="66">
        <f t="shared" si="366"/>
        <v>-0.16481527099978574</v>
      </c>
      <c r="O491" s="66">
        <f t="shared" si="366"/>
        <v>-0.14869194149770532</v>
      </c>
      <c r="P491" s="66">
        <f t="shared" si="366"/>
        <v>-0.13401454277653033</v>
      </c>
      <c r="Q491" s="66">
        <f t="shared" si="366"/>
        <v>-0.12154084396530274</v>
      </c>
      <c r="R491" s="66">
        <f t="shared" si="366"/>
        <v>-0.11155164513039878</v>
      </c>
      <c r="S491" s="66">
        <f t="shared" si="366"/>
        <v>-0.10392944306708454</v>
      </c>
      <c r="T491" s="66">
        <f t="shared" si="366"/>
        <v>-9.8326513249059416E-2</v>
      </c>
      <c r="U491" s="66">
        <f t="shared" si="366"/>
        <v>-9.4320499484876544E-2</v>
      </c>
      <c r="V491" s="66">
        <f t="shared" si="366"/>
        <v>-9.1512875442896963E-2</v>
      </c>
      <c r="W491" s="66">
        <f t="shared" si="366"/>
        <v>-8.9572634659828843E-2</v>
      </c>
      <c r="X491" s="66">
        <f t="shared" si="366"/>
        <v>-8.8244831206068547E-2</v>
      </c>
      <c r="Y491" s="66">
        <f t="shared" si="366"/>
        <v>-8.734221410431782E-2</v>
      </c>
      <c r="Z491" s="66">
        <f t="shared" si="366"/>
        <v>-8.6731423155348999E-2</v>
      </c>
      <c r="AA491" s="66">
        <f t="shared" si="366"/>
        <v>-8.631938294349642E-2</v>
      </c>
      <c r="AB491" s="66">
        <f t="shared" si="366"/>
        <v>-8.6041999519719331E-2</v>
      </c>
      <c r="AC491" s="66">
        <f t="shared" si="366"/>
        <v>-8.5855528619202287E-2</v>
      </c>
    </row>
    <row r="492" spans="1:29" x14ac:dyDescent="0.25">
      <c r="A492" s="30" t="str">
        <f t="shared" si="364"/>
        <v>Capex costumization</v>
      </c>
      <c r="B492" s="66">
        <f>((1+B463)^B471)*B463/(((1+B463)^B471)-1)*(B461)/B475</f>
        <v>1.4244884605891606</v>
      </c>
      <c r="C492" s="66">
        <f t="shared" ref="C492:AC492" si="367">((1+C463)^C471)*C463/(((1+C463)^C471)-1)*(C461)/C475</f>
        <v>1.4244884605891606</v>
      </c>
      <c r="D492" s="66">
        <f t="shared" si="367"/>
        <v>1.4244884605891606</v>
      </c>
      <c r="E492" s="66">
        <f t="shared" si="367"/>
        <v>1.4244884605891606</v>
      </c>
      <c r="F492" s="66">
        <f t="shared" si="367"/>
        <v>1.4244884605891606</v>
      </c>
      <c r="G492" s="66">
        <f t="shared" si="367"/>
        <v>1.4244884605891606</v>
      </c>
      <c r="H492" s="66">
        <f t="shared" si="367"/>
        <v>1.4244884605891606</v>
      </c>
      <c r="I492" s="66">
        <f t="shared" si="367"/>
        <v>1.4244884605891606</v>
      </c>
      <c r="J492" s="66">
        <f t="shared" si="367"/>
        <v>1.4244884605891606</v>
      </c>
      <c r="K492" s="66">
        <f t="shared" si="367"/>
        <v>1.4244884605891606</v>
      </c>
      <c r="L492" s="66">
        <f t="shared" si="367"/>
        <v>1.4244884605891606</v>
      </c>
      <c r="M492" s="66">
        <f t="shared" si="367"/>
        <v>1.4244884605891606</v>
      </c>
      <c r="N492" s="66">
        <f t="shared" si="367"/>
        <v>1.4244884605891606</v>
      </c>
      <c r="O492" s="66">
        <f t="shared" si="367"/>
        <v>1.4244884605891606</v>
      </c>
      <c r="P492" s="66">
        <f t="shared" si="367"/>
        <v>1.4244884605891606</v>
      </c>
      <c r="Q492" s="66">
        <f t="shared" si="367"/>
        <v>1.4244884605891606</v>
      </c>
      <c r="R492" s="66">
        <f t="shared" si="367"/>
        <v>1.4244884605891606</v>
      </c>
      <c r="S492" s="66">
        <f t="shared" si="367"/>
        <v>1.4244884605891606</v>
      </c>
      <c r="T492" s="66">
        <f t="shared" si="367"/>
        <v>1.4244884605891606</v>
      </c>
      <c r="U492" s="66">
        <f t="shared" si="367"/>
        <v>1.4244884605891606</v>
      </c>
      <c r="V492" s="66">
        <f t="shared" si="367"/>
        <v>1.4244884605891606</v>
      </c>
      <c r="W492" s="66">
        <f t="shared" si="367"/>
        <v>1.4244884605891606</v>
      </c>
      <c r="X492" s="66">
        <f t="shared" si="367"/>
        <v>1.4244884605891606</v>
      </c>
      <c r="Y492" s="66">
        <f t="shared" si="367"/>
        <v>1.4244884605891606</v>
      </c>
      <c r="Z492" s="66">
        <f t="shared" si="367"/>
        <v>1.4244884605891606</v>
      </c>
      <c r="AA492" s="66">
        <f t="shared" si="367"/>
        <v>1.4244884605891606</v>
      </c>
      <c r="AB492" s="66">
        <f t="shared" si="367"/>
        <v>1.4244884605891606</v>
      </c>
      <c r="AC492" s="66">
        <f t="shared" si="367"/>
        <v>1.4244884605891606</v>
      </c>
    </row>
    <row r="493" spans="1:29" x14ac:dyDescent="0.25">
      <c r="A493" s="30" t="str">
        <f t="shared" si="364"/>
        <v>Residual value (costumization)</v>
      </c>
      <c r="B493" s="66">
        <f>((1+B463)^B471)*B463/(((1+B463)^B471)-1)*(B462)/B475</f>
        <v>-7.1224423029458042E-2</v>
      </c>
      <c r="C493" s="66">
        <f t="shared" ref="C493:AC493" si="368">((1+C463)^C471)*C463/(((1+C463)^C471)-1)*(C462)/C475</f>
        <v>-7.1224423029458042E-2</v>
      </c>
      <c r="D493" s="66">
        <f t="shared" si="368"/>
        <v>-7.1224423029458042E-2</v>
      </c>
      <c r="E493" s="66">
        <f t="shared" si="368"/>
        <v>-7.1224423029458042E-2</v>
      </c>
      <c r="F493" s="66">
        <f t="shared" si="368"/>
        <v>-7.1224423029458042E-2</v>
      </c>
      <c r="G493" s="66">
        <f t="shared" si="368"/>
        <v>-7.1224423029458042E-2</v>
      </c>
      <c r="H493" s="66">
        <f t="shared" si="368"/>
        <v>-7.1224423029458042E-2</v>
      </c>
      <c r="I493" s="66">
        <f t="shared" si="368"/>
        <v>-7.1224423029458042E-2</v>
      </c>
      <c r="J493" s="66">
        <f t="shared" si="368"/>
        <v>-7.1224423029458042E-2</v>
      </c>
      <c r="K493" s="66">
        <f t="shared" si="368"/>
        <v>-7.1224423029458042E-2</v>
      </c>
      <c r="L493" s="66">
        <f t="shared" si="368"/>
        <v>-7.1224423029458042E-2</v>
      </c>
      <c r="M493" s="66">
        <f t="shared" si="368"/>
        <v>-7.1224423029458042E-2</v>
      </c>
      <c r="N493" s="66">
        <f t="shared" si="368"/>
        <v>-7.1224423029458042E-2</v>
      </c>
      <c r="O493" s="66">
        <f t="shared" si="368"/>
        <v>-7.1224423029458042E-2</v>
      </c>
      <c r="P493" s="66">
        <f t="shared" si="368"/>
        <v>-7.1224423029458042E-2</v>
      </c>
      <c r="Q493" s="66">
        <f t="shared" si="368"/>
        <v>-7.1224423029458042E-2</v>
      </c>
      <c r="R493" s="66">
        <f t="shared" si="368"/>
        <v>-7.1224423029458042E-2</v>
      </c>
      <c r="S493" s="66">
        <f t="shared" si="368"/>
        <v>-7.1224423029458042E-2</v>
      </c>
      <c r="T493" s="66">
        <f t="shared" si="368"/>
        <v>-7.1224423029458042E-2</v>
      </c>
      <c r="U493" s="66">
        <f t="shared" si="368"/>
        <v>-7.1224423029458042E-2</v>
      </c>
      <c r="V493" s="66">
        <f t="shared" si="368"/>
        <v>-7.1224423029458042E-2</v>
      </c>
      <c r="W493" s="66">
        <f t="shared" si="368"/>
        <v>-7.1224423029458042E-2</v>
      </c>
      <c r="X493" s="66">
        <f t="shared" si="368"/>
        <v>-7.1224423029458042E-2</v>
      </c>
      <c r="Y493" s="66">
        <f t="shared" si="368"/>
        <v>-7.1224423029458042E-2</v>
      </c>
      <c r="Z493" s="66">
        <f t="shared" si="368"/>
        <v>-7.1224423029458042E-2</v>
      </c>
      <c r="AA493" s="66">
        <f t="shared" si="368"/>
        <v>-7.1224423029458042E-2</v>
      </c>
      <c r="AB493" s="66">
        <f t="shared" si="368"/>
        <v>-7.1224423029458042E-2</v>
      </c>
      <c r="AC493" s="66">
        <f t="shared" si="368"/>
        <v>-7.1224423029458042E-2</v>
      </c>
    </row>
    <row r="494" spans="1:29" x14ac:dyDescent="0.25">
      <c r="A494" s="30" t="str">
        <f t="shared" si="364"/>
        <v>Opex fix (admin, crew, insurance)</v>
      </c>
      <c r="B494" s="66">
        <f>B464/B475</f>
        <v>3.6414565826330532</v>
      </c>
      <c r="C494" s="66">
        <f t="shared" ref="C494:AC494" si="369">C464/C475</f>
        <v>3.6414565826330532</v>
      </c>
      <c r="D494" s="66">
        <f t="shared" si="369"/>
        <v>3.6414565826330532</v>
      </c>
      <c r="E494" s="66">
        <f t="shared" si="369"/>
        <v>3.6414565826330532</v>
      </c>
      <c r="F494" s="66">
        <f t="shared" si="369"/>
        <v>3.6414565826330532</v>
      </c>
      <c r="G494" s="66">
        <f t="shared" si="369"/>
        <v>3.6414565826330532</v>
      </c>
      <c r="H494" s="66">
        <f t="shared" si="369"/>
        <v>3.6414565826330532</v>
      </c>
      <c r="I494" s="66">
        <f t="shared" si="369"/>
        <v>3.6414565826330532</v>
      </c>
      <c r="J494" s="66">
        <f t="shared" si="369"/>
        <v>3.6414565826330532</v>
      </c>
      <c r="K494" s="66">
        <f t="shared" si="369"/>
        <v>3.6414565826330532</v>
      </c>
      <c r="L494" s="66">
        <f t="shared" si="369"/>
        <v>3.6414565826330532</v>
      </c>
      <c r="M494" s="66">
        <f t="shared" si="369"/>
        <v>3.6414565826330532</v>
      </c>
      <c r="N494" s="66">
        <f t="shared" si="369"/>
        <v>3.6414565826330532</v>
      </c>
      <c r="O494" s="66">
        <f t="shared" si="369"/>
        <v>3.6414565826330532</v>
      </c>
      <c r="P494" s="66">
        <f t="shared" si="369"/>
        <v>3.6414565826330532</v>
      </c>
      <c r="Q494" s="66">
        <f t="shared" si="369"/>
        <v>3.6414565826330532</v>
      </c>
      <c r="R494" s="66">
        <f t="shared" si="369"/>
        <v>3.6414565826330532</v>
      </c>
      <c r="S494" s="66">
        <f t="shared" si="369"/>
        <v>3.6414565826330532</v>
      </c>
      <c r="T494" s="66">
        <f t="shared" si="369"/>
        <v>3.6414565826330532</v>
      </c>
      <c r="U494" s="66">
        <f t="shared" si="369"/>
        <v>3.6414565826330532</v>
      </c>
      <c r="V494" s="66">
        <f t="shared" si="369"/>
        <v>3.6414565826330532</v>
      </c>
      <c r="W494" s="66">
        <f t="shared" si="369"/>
        <v>3.6414565826330532</v>
      </c>
      <c r="X494" s="66">
        <f t="shared" si="369"/>
        <v>3.6414565826330532</v>
      </c>
      <c r="Y494" s="66">
        <f t="shared" si="369"/>
        <v>3.6414565826330532</v>
      </c>
      <c r="Z494" s="66">
        <f t="shared" si="369"/>
        <v>3.6414565826330532</v>
      </c>
      <c r="AA494" s="66">
        <f t="shared" si="369"/>
        <v>3.6414565826330532</v>
      </c>
      <c r="AB494" s="66">
        <f t="shared" si="369"/>
        <v>3.6414565826330532</v>
      </c>
      <c r="AC494" s="66">
        <f t="shared" si="369"/>
        <v>3.6414565826330532</v>
      </c>
    </row>
    <row r="495" spans="1:29" x14ac:dyDescent="0.25">
      <c r="A495" s="30" t="str">
        <f t="shared" si="364"/>
        <v>Opex maintenance &amp; repair</v>
      </c>
      <c r="B495" s="66">
        <f>B465/B475</f>
        <v>5.882352941176471</v>
      </c>
      <c r="C495" s="66">
        <f t="shared" ref="C495:AC495" si="370">C465/C475</f>
        <v>5.882352941176471</v>
      </c>
      <c r="D495" s="66">
        <f t="shared" si="370"/>
        <v>5.882352941176471</v>
      </c>
      <c r="E495" s="66">
        <f t="shared" si="370"/>
        <v>5.882352941176471</v>
      </c>
      <c r="F495" s="66">
        <f t="shared" si="370"/>
        <v>5.882352941176471</v>
      </c>
      <c r="G495" s="66">
        <f t="shared" si="370"/>
        <v>5.882352941176471</v>
      </c>
      <c r="H495" s="66">
        <f t="shared" si="370"/>
        <v>5.882352941176471</v>
      </c>
      <c r="I495" s="66">
        <f t="shared" si="370"/>
        <v>5.882352941176471</v>
      </c>
      <c r="J495" s="66">
        <f t="shared" si="370"/>
        <v>5.882352941176471</v>
      </c>
      <c r="K495" s="66">
        <f t="shared" si="370"/>
        <v>5.882352941176471</v>
      </c>
      <c r="L495" s="66">
        <f t="shared" si="370"/>
        <v>5.882352941176471</v>
      </c>
      <c r="M495" s="66">
        <f t="shared" si="370"/>
        <v>5.882352941176471</v>
      </c>
      <c r="N495" s="66">
        <f t="shared" si="370"/>
        <v>5.882352941176471</v>
      </c>
      <c r="O495" s="66">
        <f t="shared" si="370"/>
        <v>5.882352941176471</v>
      </c>
      <c r="P495" s="66">
        <f t="shared" si="370"/>
        <v>5.882352941176471</v>
      </c>
      <c r="Q495" s="66">
        <f t="shared" si="370"/>
        <v>5.882352941176471</v>
      </c>
      <c r="R495" s="66">
        <f t="shared" si="370"/>
        <v>5.882352941176471</v>
      </c>
      <c r="S495" s="66">
        <f t="shared" si="370"/>
        <v>5.882352941176471</v>
      </c>
      <c r="T495" s="66">
        <f t="shared" si="370"/>
        <v>5.882352941176471</v>
      </c>
      <c r="U495" s="66">
        <f t="shared" si="370"/>
        <v>5.882352941176471</v>
      </c>
      <c r="V495" s="66">
        <f t="shared" si="370"/>
        <v>5.882352941176471</v>
      </c>
      <c r="W495" s="66">
        <f t="shared" si="370"/>
        <v>5.882352941176471</v>
      </c>
      <c r="X495" s="66">
        <f t="shared" si="370"/>
        <v>5.882352941176471</v>
      </c>
      <c r="Y495" s="66">
        <f t="shared" si="370"/>
        <v>5.882352941176471</v>
      </c>
      <c r="Z495" s="66">
        <f t="shared" si="370"/>
        <v>5.882352941176471</v>
      </c>
      <c r="AA495" s="66">
        <f t="shared" si="370"/>
        <v>5.882352941176471</v>
      </c>
      <c r="AB495" s="66">
        <f t="shared" si="370"/>
        <v>5.882352941176471</v>
      </c>
      <c r="AC495" s="66">
        <f t="shared" si="370"/>
        <v>5.882352941176471</v>
      </c>
    </row>
    <row r="496" spans="1:29" x14ac:dyDescent="0.25">
      <c r="A496" s="30" t="str">
        <f t="shared" si="364"/>
        <v>Opex var (mode-fees, shunting)</v>
      </c>
      <c r="B496" s="66">
        <f>B466*B475/B475</f>
        <v>3.9215686274509802</v>
      </c>
      <c r="C496" s="66">
        <f t="shared" ref="C496:AC496" si="371">C466*C475/C475</f>
        <v>3.9215686274509802</v>
      </c>
      <c r="D496" s="66">
        <f t="shared" si="371"/>
        <v>3.9215686274509802</v>
      </c>
      <c r="E496" s="66">
        <f t="shared" si="371"/>
        <v>3.9215686274509802</v>
      </c>
      <c r="F496" s="66">
        <f t="shared" si="371"/>
        <v>3.9215686274509802</v>
      </c>
      <c r="G496" s="66">
        <f t="shared" si="371"/>
        <v>3.9215686274509802</v>
      </c>
      <c r="H496" s="66">
        <f t="shared" si="371"/>
        <v>3.9215686274509802</v>
      </c>
      <c r="I496" s="66">
        <f t="shared" si="371"/>
        <v>3.9215686274509802</v>
      </c>
      <c r="J496" s="66">
        <f t="shared" si="371"/>
        <v>3.9215686274509802</v>
      </c>
      <c r="K496" s="66">
        <f t="shared" si="371"/>
        <v>3.9215686274509802</v>
      </c>
      <c r="L496" s="66">
        <f t="shared" si="371"/>
        <v>3.9215686274509802</v>
      </c>
      <c r="M496" s="66">
        <f t="shared" si="371"/>
        <v>3.9215686274509802</v>
      </c>
      <c r="N496" s="66">
        <f t="shared" si="371"/>
        <v>3.9215686274509802</v>
      </c>
      <c r="O496" s="66">
        <f t="shared" si="371"/>
        <v>3.9215686274509802</v>
      </c>
      <c r="P496" s="66">
        <f t="shared" si="371"/>
        <v>3.9215686274509802</v>
      </c>
      <c r="Q496" s="66">
        <f t="shared" si="371"/>
        <v>3.9215686274509802</v>
      </c>
      <c r="R496" s="66">
        <f t="shared" si="371"/>
        <v>3.9215686274509802</v>
      </c>
      <c r="S496" s="66">
        <f t="shared" si="371"/>
        <v>3.9215686274509802</v>
      </c>
      <c r="T496" s="66">
        <f t="shared" si="371"/>
        <v>3.9215686274509802</v>
      </c>
      <c r="U496" s="66">
        <f t="shared" si="371"/>
        <v>3.9215686274509802</v>
      </c>
      <c r="V496" s="66">
        <f t="shared" si="371"/>
        <v>3.9215686274509802</v>
      </c>
      <c r="W496" s="66">
        <f t="shared" si="371"/>
        <v>3.9215686274509802</v>
      </c>
      <c r="X496" s="66">
        <f t="shared" si="371"/>
        <v>3.9215686274509802</v>
      </c>
      <c r="Y496" s="66">
        <f t="shared" si="371"/>
        <v>3.9215686274509802</v>
      </c>
      <c r="Z496" s="66">
        <f t="shared" si="371"/>
        <v>3.9215686274509802</v>
      </c>
      <c r="AA496" s="66">
        <f t="shared" si="371"/>
        <v>3.9215686274509802</v>
      </c>
      <c r="AB496" s="66">
        <f t="shared" si="371"/>
        <v>3.9215686274509802</v>
      </c>
      <c r="AC496" s="66">
        <f t="shared" si="371"/>
        <v>3.9215686274509802</v>
      </c>
    </row>
    <row r="497" spans="1:29" x14ac:dyDescent="0.25">
      <c r="A497" s="30" t="str">
        <f t="shared" si="364"/>
        <v>Fuel Cost</v>
      </c>
      <c r="B497" s="66">
        <f>B467*B468*B475/B475</f>
        <v>4.4493586984873952</v>
      </c>
      <c r="C497" s="66">
        <f t="shared" ref="C497:AC497" si="372">C467*C468*C475/C475</f>
        <v>4.1425063744537809</v>
      </c>
      <c r="D497" s="66">
        <f t="shared" si="372"/>
        <v>3.8356540504201684</v>
      </c>
      <c r="E497" s="66">
        <f t="shared" si="372"/>
        <v>3.5288017263865541</v>
      </c>
      <c r="F497" s="66">
        <f t="shared" si="372"/>
        <v>3.2219494023529411</v>
      </c>
      <c r="G497" s="66">
        <f t="shared" si="372"/>
        <v>2.9150970783193282</v>
      </c>
      <c r="H497" s="66">
        <f t="shared" si="372"/>
        <v>2.6082447542857148</v>
      </c>
      <c r="I497" s="66">
        <f t="shared" si="372"/>
        <v>2.3013924302521009</v>
      </c>
      <c r="J497" s="66">
        <f t="shared" si="372"/>
        <v>2.2548166310684272</v>
      </c>
      <c r="K497" s="66">
        <f t="shared" si="372"/>
        <v>2.208240831884754</v>
      </c>
      <c r="L497" s="66">
        <f t="shared" si="372"/>
        <v>2.1616650327010802</v>
      </c>
      <c r="M497" s="66">
        <f t="shared" si="372"/>
        <v>2.1150892335174065</v>
      </c>
      <c r="N497" s="66">
        <f t="shared" si="372"/>
        <v>2.0685134343337337</v>
      </c>
      <c r="O497" s="66">
        <f t="shared" si="372"/>
        <v>2.02193763515006</v>
      </c>
      <c r="P497" s="66">
        <f t="shared" si="372"/>
        <v>1.9753618359663867</v>
      </c>
      <c r="Q497" s="66">
        <f t="shared" si="372"/>
        <v>1.9287860367827132</v>
      </c>
      <c r="R497" s="66">
        <f t="shared" si="372"/>
        <v>1.8822102375990393</v>
      </c>
      <c r="S497" s="66">
        <f t="shared" si="372"/>
        <v>1.8356344384153662</v>
      </c>
      <c r="T497" s="66">
        <f t="shared" si="372"/>
        <v>1.7890586392316927</v>
      </c>
      <c r="U497" s="66">
        <f t="shared" si="372"/>
        <v>1.742482840048019</v>
      </c>
      <c r="V497" s="66">
        <f t="shared" si="372"/>
        <v>1.6959070408643455</v>
      </c>
      <c r="W497" s="66">
        <f t="shared" si="372"/>
        <v>1.649331241680672</v>
      </c>
      <c r="X497" s="66">
        <f t="shared" si="372"/>
        <v>1.602755442496999</v>
      </c>
      <c r="Y497" s="66">
        <f t="shared" si="372"/>
        <v>1.556179643313325</v>
      </c>
      <c r="Z497" s="66">
        <f t="shared" si="372"/>
        <v>1.5096038441296515</v>
      </c>
      <c r="AA497" s="66">
        <f t="shared" si="372"/>
        <v>1.4630280449459783</v>
      </c>
      <c r="AB497" s="66">
        <f t="shared" si="372"/>
        <v>1.4164522457623046</v>
      </c>
      <c r="AC497" s="66">
        <f t="shared" si="372"/>
        <v>1.3698764465786315</v>
      </c>
    </row>
    <row r="498" spans="1:29" ht="15.75" thickBot="1" x14ac:dyDescent="0.3">
      <c r="A498" s="59" t="str">
        <f>A449</f>
        <v>Emission Cost</v>
      </c>
      <c r="B498" s="66">
        <f>B469</f>
        <v>0</v>
      </c>
      <c r="C498" s="66">
        <f t="shared" ref="C498:AC498" si="373">C469</f>
        <v>0</v>
      </c>
      <c r="D498" s="66">
        <f t="shared" si="373"/>
        <v>0</v>
      </c>
      <c r="E498" s="66">
        <f t="shared" si="373"/>
        <v>0</v>
      </c>
      <c r="F498" s="66">
        <f t="shared" si="373"/>
        <v>0</v>
      </c>
      <c r="G498" s="66">
        <f t="shared" si="373"/>
        <v>0</v>
      </c>
      <c r="H498" s="66">
        <f t="shared" si="373"/>
        <v>0</v>
      </c>
      <c r="I498" s="66">
        <f t="shared" si="373"/>
        <v>0</v>
      </c>
      <c r="J498" s="66">
        <f t="shared" si="373"/>
        <v>0</v>
      </c>
      <c r="K498" s="66">
        <f t="shared" si="373"/>
        <v>0</v>
      </c>
      <c r="L498" s="66">
        <f t="shared" si="373"/>
        <v>0</v>
      </c>
      <c r="M498" s="66">
        <f t="shared" si="373"/>
        <v>0</v>
      </c>
      <c r="N498" s="66">
        <f t="shared" si="373"/>
        <v>0</v>
      </c>
      <c r="O498" s="66">
        <f t="shared" si="373"/>
        <v>0</v>
      </c>
      <c r="P498" s="66">
        <f t="shared" si="373"/>
        <v>0</v>
      </c>
      <c r="Q498" s="66">
        <f t="shared" si="373"/>
        <v>0</v>
      </c>
      <c r="R498" s="66">
        <f t="shared" si="373"/>
        <v>0</v>
      </c>
      <c r="S498" s="66">
        <f t="shared" si="373"/>
        <v>0</v>
      </c>
      <c r="T498" s="66">
        <f t="shared" si="373"/>
        <v>0</v>
      </c>
      <c r="U498" s="66">
        <f t="shared" si="373"/>
        <v>0</v>
      </c>
      <c r="V498" s="66">
        <f t="shared" si="373"/>
        <v>0</v>
      </c>
      <c r="W498" s="66">
        <f t="shared" si="373"/>
        <v>0</v>
      </c>
      <c r="X498" s="66">
        <f t="shared" si="373"/>
        <v>0</v>
      </c>
      <c r="Y498" s="66">
        <f t="shared" si="373"/>
        <v>0</v>
      </c>
      <c r="Z498" s="66">
        <f t="shared" si="373"/>
        <v>0</v>
      </c>
      <c r="AA498" s="66">
        <f t="shared" si="373"/>
        <v>0</v>
      </c>
      <c r="AB498" s="66">
        <f t="shared" si="373"/>
        <v>0</v>
      </c>
      <c r="AC498" s="66">
        <f t="shared" si="373"/>
        <v>0</v>
      </c>
    </row>
    <row r="499" spans="1:29" ht="15.75" thickBot="1" x14ac:dyDescent="0.3">
      <c r="A499" s="31" t="s">
        <v>63</v>
      </c>
      <c r="B499" s="76">
        <f>B490+B491+B492-B493+B494+B495+B496+B497+B498</f>
        <v>20.845782590019422</v>
      </c>
      <c r="C499" s="76">
        <f t="shared" ref="C499:AC499" si="374">C490+C491+C492-C493+C494+C495+C496+C497+C498</f>
        <v>20.539896606613944</v>
      </c>
      <c r="D499" s="76">
        <f t="shared" si="374"/>
        <v>20.234416347745626</v>
      </c>
      <c r="E499" s="76">
        <f t="shared" si="374"/>
        <v>19.929503305976112</v>
      </c>
      <c r="F499" s="76">
        <f t="shared" si="374"/>
        <v>19.625373699253746</v>
      </c>
      <c r="G499" s="76">
        <f t="shared" si="374"/>
        <v>19.322306940659754</v>
      </c>
      <c r="H499" s="76">
        <f t="shared" si="374"/>
        <v>19.020644485225578</v>
      </c>
      <c r="I499" s="76">
        <f t="shared" si="374"/>
        <v>18.720766788465774</v>
      </c>
      <c r="J499" s="76">
        <f t="shared" si="374"/>
        <v>18.683308174527863</v>
      </c>
      <c r="K499" s="76">
        <f t="shared" si="374"/>
        <v>18.648213929156913</v>
      </c>
      <c r="L499" s="76">
        <f t="shared" si="374"/>
        <v>18.615415664970453</v>
      </c>
      <c r="M499" s="76">
        <f t="shared" si="374"/>
        <v>18.584419139378877</v>
      </c>
      <c r="N499" s="76">
        <f t="shared" si="374"/>
        <v>18.554290315406238</v>
      </c>
      <c r="O499" s="76">
        <f t="shared" si="374"/>
        <v>18.523837845724643</v>
      </c>
      <c r="P499" s="76">
        <f t="shared" si="374"/>
        <v>18.491939445262144</v>
      </c>
      <c r="Q499" s="76">
        <f t="shared" si="374"/>
        <v>18.4578373448897</v>
      </c>
      <c r="R499" s="76">
        <f t="shared" si="374"/>
        <v>18.421250744540927</v>
      </c>
      <c r="S499" s="76">
        <f t="shared" si="374"/>
        <v>18.382297147420569</v>
      </c>
      <c r="T499" s="76">
        <f t="shared" si="374"/>
        <v>18.341324278054923</v>
      </c>
      <c r="U499" s="76">
        <f t="shared" si="374"/>
        <v>18.298754492635432</v>
      </c>
      <c r="V499" s="76">
        <f t="shared" si="374"/>
        <v>18.254986317493735</v>
      </c>
      <c r="W499" s="76">
        <f t="shared" si="374"/>
        <v>18.210350759093132</v>
      </c>
      <c r="X499" s="76">
        <f t="shared" si="374"/>
        <v>18.165102763363219</v>
      </c>
      <c r="Y499" s="76">
        <f t="shared" si="374"/>
        <v>18.119429581281295</v>
      </c>
      <c r="Z499" s="76">
        <f t="shared" si="374"/>
        <v>18.073464573046589</v>
      </c>
      <c r="AA499" s="76">
        <f t="shared" si="374"/>
        <v>18.027300814074771</v>
      </c>
      <c r="AB499" s="76">
        <f t="shared" si="374"/>
        <v>17.981002398314875</v>
      </c>
      <c r="AC499" s="76">
        <f t="shared" si="374"/>
        <v>17.934613070031716</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5">A478</f>
        <v>Capex vehicle</v>
      </c>
      <c r="B502" s="65">
        <f>((1+B463)^B470)*B463/(((1+B463)^B470)-1)*(B459)/B475/(B472)</f>
        <v>6.1053611328327313E-4</v>
      </c>
      <c r="C502" s="65">
        <f t="shared" ref="C502:AC502" si="376">((1+C463)^C470)*C463/(((1+C463)^C470)-1)*(C459)/C475/(C472)</f>
        <v>6.1053611328327313E-4</v>
      </c>
      <c r="D502" s="65">
        <f t="shared" si="376"/>
        <v>6.1053611328327313E-4</v>
      </c>
      <c r="E502" s="65">
        <f t="shared" si="376"/>
        <v>6.1053611328327313E-4</v>
      </c>
      <c r="F502" s="65">
        <f t="shared" si="376"/>
        <v>6.1053611328327313E-4</v>
      </c>
      <c r="G502" s="65">
        <f t="shared" si="376"/>
        <v>6.1053611328327313E-4</v>
      </c>
      <c r="H502" s="65">
        <f t="shared" si="376"/>
        <v>6.1053611328327313E-4</v>
      </c>
      <c r="I502" s="65">
        <f t="shared" si="376"/>
        <v>6.1053611328327313E-4</v>
      </c>
      <c r="J502" s="65">
        <f t="shared" si="376"/>
        <v>6.1053611328327313E-4</v>
      </c>
      <c r="K502" s="65">
        <f t="shared" si="376"/>
        <v>6.1053611328327313E-4</v>
      </c>
      <c r="L502" s="65">
        <f t="shared" si="376"/>
        <v>6.1053611328327313E-4</v>
      </c>
      <c r="M502" s="65">
        <f t="shared" si="376"/>
        <v>6.1053611328327313E-4</v>
      </c>
      <c r="N502" s="65">
        <f t="shared" si="376"/>
        <v>6.1053611328327313E-4</v>
      </c>
      <c r="O502" s="65">
        <f t="shared" si="376"/>
        <v>6.1053611328327313E-4</v>
      </c>
      <c r="P502" s="65">
        <f t="shared" si="376"/>
        <v>6.1053611328327313E-4</v>
      </c>
      <c r="Q502" s="65">
        <f t="shared" si="376"/>
        <v>6.1053611328327313E-4</v>
      </c>
      <c r="R502" s="65">
        <f t="shared" si="376"/>
        <v>6.1053611328327313E-4</v>
      </c>
      <c r="S502" s="65">
        <f t="shared" si="376"/>
        <v>6.1053611328327313E-4</v>
      </c>
      <c r="T502" s="65">
        <f t="shared" si="376"/>
        <v>6.1053611328327313E-4</v>
      </c>
      <c r="U502" s="65">
        <f t="shared" si="376"/>
        <v>6.1053611328327313E-4</v>
      </c>
      <c r="V502" s="65">
        <f t="shared" si="376"/>
        <v>6.1053611328327313E-4</v>
      </c>
      <c r="W502" s="65">
        <f t="shared" si="376"/>
        <v>6.1053611328327313E-4</v>
      </c>
      <c r="X502" s="65">
        <f t="shared" si="376"/>
        <v>6.1053611328327313E-4</v>
      </c>
      <c r="Y502" s="65">
        <f t="shared" si="376"/>
        <v>6.1053611328327313E-4</v>
      </c>
      <c r="Z502" s="65">
        <f t="shared" si="376"/>
        <v>6.1053611328327313E-4</v>
      </c>
      <c r="AA502" s="65">
        <f t="shared" si="376"/>
        <v>6.1053611328327313E-4</v>
      </c>
      <c r="AB502" s="65">
        <f t="shared" si="376"/>
        <v>6.1053611328327313E-4</v>
      </c>
      <c r="AC502" s="65">
        <f t="shared" si="376"/>
        <v>6.1053611328327313E-4</v>
      </c>
    </row>
    <row r="503" spans="1:29" x14ac:dyDescent="0.25">
      <c r="A503" s="30" t="str">
        <f t="shared" si="375"/>
        <v>Residual value (vehicle)</v>
      </c>
      <c r="B503" s="68">
        <f>((1+B463)^B470)*B463/(((1+B463)^B470)-1)*(B460)/B475/(B472)</f>
        <v>-9.0774378764378309E-5</v>
      </c>
      <c r="C503" s="68">
        <f t="shared" ref="C503:AC503" si="377">((1+C463)^C470)*C463/(((1+C463)^C470)-1)*(C460)/C475/(C472)</f>
        <v>-9.0429257111472898E-5</v>
      </c>
      <c r="D503" s="68">
        <f t="shared" si="377"/>
        <v>-8.9939233838153262E-5</v>
      </c>
      <c r="E503" s="68">
        <f t="shared" si="377"/>
        <v>-8.9246633029546065E-5</v>
      </c>
      <c r="F503" s="68">
        <f t="shared" si="377"/>
        <v>-8.8274233989815224E-5</v>
      </c>
      <c r="G503" s="68">
        <f t="shared" si="377"/>
        <v>-8.6922246332807185E-5</v>
      </c>
      <c r="H503" s="68">
        <f t="shared" si="377"/>
        <v>-8.5068721833008004E-5</v>
      </c>
      <c r="I503" s="68">
        <f t="shared" si="377"/>
        <v>-8.2577783520933551E-5</v>
      </c>
      <c r="J503" s="68">
        <f t="shared" si="377"/>
        <v>-7.9321645933160551E-5</v>
      </c>
      <c r="K503" s="68">
        <f t="shared" si="377"/>
        <v>-7.522109100004561E-5</v>
      </c>
      <c r="L503" s="68">
        <f t="shared" si="377"/>
        <v>-7.0300542786755457E-5</v>
      </c>
      <c r="M503" s="68">
        <f t="shared" si="377"/>
        <v>-6.4736516503862478E-5</v>
      </c>
      <c r="N503" s="68">
        <f t="shared" si="377"/>
        <v>-5.8862596785637767E-5</v>
      </c>
      <c r="O503" s="68">
        <f t="shared" si="377"/>
        <v>-5.3104264820609044E-5</v>
      </c>
      <c r="P503" s="68">
        <f t="shared" si="377"/>
        <v>-4.7862336705903688E-5</v>
      </c>
      <c r="Q503" s="68">
        <f t="shared" si="377"/>
        <v>-4.3407444273322408E-5</v>
      </c>
      <c r="R503" s="68">
        <f t="shared" si="377"/>
        <v>-3.9839873260856709E-5</v>
      </c>
      <c r="S503" s="68">
        <f t="shared" si="377"/>
        <v>-3.711765823824448E-5</v>
      </c>
      <c r="T503" s="68">
        <f t="shared" si="377"/>
        <v>-3.5116611874664075E-5</v>
      </c>
      <c r="U503" s="68">
        <f t="shared" si="377"/>
        <v>-3.3685892673170192E-5</v>
      </c>
      <c r="V503" s="68">
        <f t="shared" si="377"/>
        <v>-3.2683169801034627E-5</v>
      </c>
      <c r="W503" s="68">
        <f t="shared" si="377"/>
        <v>-3.1990226664224584E-5</v>
      </c>
      <c r="X503" s="68">
        <f t="shared" si="377"/>
        <v>-3.151601114502448E-5</v>
      </c>
      <c r="Y503" s="68">
        <f t="shared" si="377"/>
        <v>-3.119364789439922E-5</v>
      </c>
      <c r="Z503" s="68">
        <f t="shared" si="377"/>
        <v>-3.0975508269767502E-5</v>
      </c>
      <c r="AA503" s="68">
        <f t="shared" si="377"/>
        <v>-3.0828351051248723E-5</v>
      </c>
      <c r="AB503" s="68">
        <f t="shared" si="377"/>
        <v>-3.0729285542756903E-5</v>
      </c>
      <c r="AC503" s="68">
        <f t="shared" si="377"/>
        <v>-3.0662688792572247E-5</v>
      </c>
    </row>
    <row r="504" spans="1:29" x14ac:dyDescent="0.25">
      <c r="A504" s="30" t="str">
        <f t="shared" si="375"/>
        <v>Capex costumization</v>
      </c>
      <c r="B504" s="66">
        <f>((1+B463)^B471)*B463/(((1+B463)^B471)-1)*(B461)/B475/(B472)</f>
        <v>5.0874587878184309E-4</v>
      </c>
      <c r="C504" s="66">
        <f t="shared" ref="C504:AC504" si="378">((1+C463)^C471)*C463/(((1+C463)^C471)-1)*(C461)/C475/(C472)</f>
        <v>5.0874587878184309E-4</v>
      </c>
      <c r="D504" s="66">
        <f t="shared" si="378"/>
        <v>5.0874587878184309E-4</v>
      </c>
      <c r="E504" s="66">
        <f t="shared" si="378"/>
        <v>5.0874587878184309E-4</v>
      </c>
      <c r="F504" s="66">
        <f t="shared" si="378"/>
        <v>5.0874587878184309E-4</v>
      </c>
      <c r="G504" s="66">
        <f t="shared" si="378"/>
        <v>5.0874587878184309E-4</v>
      </c>
      <c r="H504" s="66">
        <f t="shared" si="378"/>
        <v>5.0874587878184309E-4</v>
      </c>
      <c r="I504" s="66">
        <f t="shared" si="378"/>
        <v>5.0874587878184309E-4</v>
      </c>
      <c r="J504" s="66">
        <f t="shared" si="378"/>
        <v>5.0874587878184309E-4</v>
      </c>
      <c r="K504" s="66">
        <f t="shared" si="378"/>
        <v>5.0874587878184309E-4</v>
      </c>
      <c r="L504" s="66">
        <f t="shared" si="378"/>
        <v>5.0874587878184309E-4</v>
      </c>
      <c r="M504" s="66">
        <f t="shared" si="378"/>
        <v>5.0874587878184309E-4</v>
      </c>
      <c r="N504" s="66">
        <f t="shared" si="378"/>
        <v>5.0874587878184309E-4</v>
      </c>
      <c r="O504" s="66">
        <f t="shared" si="378"/>
        <v>5.0874587878184309E-4</v>
      </c>
      <c r="P504" s="66">
        <f t="shared" si="378"/>
        <v>5.0874587878184309E-4</v>
      </c>
      <c r="Q504" s="66">
        <f t="shared" si="378"/>
        <v>5.0874587878184309E-4</v>
      </c>
      <c r="R504" s="66">
        <f t="shared" si="378"/>
        <v>5.0874587878184309E-4</v>
      </c>
      <c r="S504" s="66">
        <f t="shared" si="378"/>
        <v>5.0874587878184309E-4</v>
      </c>
      <c r="T504" s="66">
        <f t="shared" si="378"/>
        <v>5.0874587878184309E-4</v>
      </c>
      <c r="U504" s="66">
        <f t="shared" si="378"/>
        <v>5.0874587878184309E-4</v>
      </c>
      <c r="V504" s="66">
        <f t="shared" si="378"/>
        <v>5.0874587878184309E-4</v>
      </c>
      <c r="W504" s="66">
        <f t="shared" si="378"/>
        <v>5.0874587878184309E-4</v>
      </c>
      <c r="X504" s="66">
        <f t="shared" si="378"/>
        <v>5.0874587878184309E-4</v>
      </c>
      <c r="Y504" s="66">
        <f t="shared" si="378"/>
        <v>5.0874587878184309E-4</v>
      </c>
      <c r="Z504" s="66">
        <f t="shared" si="378"/>
        <v>5.0874587878184309E-4</v>
      </c>
      <c r="AA504" s="66">
        <f t="shared" si="378"/>
        <v>5.0874587878184309E-4</v>
      </c>
      <c r="AB504" s="66">
        <f t="shared" si="378"/>
        <v>5.0874587878184309E-4</v>
      </c>
      <c r="AC504" s="66">
        <f t="shared" si="378"/>
        <v>5.0874587878184309E-4</v>
      </c>
    </row>
    <row r="505" spans="1:29" x14ac:dyDescent="0.25">
      <c r="A505" s="30" t="str">
        <f t="shared" si="375"/>
        <v>Residual value (costumization)</v>
      </c>
      <c r="B505" s="69">
        <f>((1+B463)^B471)*B463/(((1+B463)^B471)-1)*(B462)/B475/(B472)</f>
        <v>-2.5437293939092159E-5</v>
      </c>
      <c r="C505" s="69">
        <f t="shared" ref="C505:AC505" si="379">((1+C463)^C471)*C463/(((1+C463)^C471)-1)*(C462)/C475/(C472)</f>
        <v>-2.5437293939092159E-5</v>
      </c>
      <c r="D505" s="69">
        <f t="shared" si="379"/>
        <v>-2.5437293939092159E-5</v>
      </c>
      <c r="E505" s="69">
        <f t="shared" si="379"/>
        <v>-2.5437293939092159E-5</v>
      </c>
      <c r="F505" s="69">
        <f t="shared" si="379"/>
        <v>-2.5437293939092159E-5</v>
      </c>
      <c r="G505" s="69">
        <f t="shared" si="379"/>
        <v>-2.5437293939092159E-5</v>
      </c>
      <c r="H505" s="69">
        <f t="shared" si="379"/>
        <v>-2.5437293939092159E-5</v>
      </c>
      <c r="I505" s="69">
        <f t="shared" si="379"/>
        <v>-2.5437293939092159E-5</v>
      </c>
      <c r="J505" s="69">
        <f t="shared" si="379"/>
        <v>-2.5437293939092159E-5</v>
      </c>
      <c r="K505" s="69">
        <f t="shared" si="379"/>
        <v>-2.5437293939092159E-5</v>
      </c>
      <c r="L505" s="69">
        <f t="shared" si="379"/>
        <v>-2.5437293939092159E-5</v>
      </c>
      <c r="M505" s="69">
        <f t="shared" si="379"/>
        <v>-2.5437293939092159E-5</v>
      </c>
      <c r="N505" s="69">
        <f t="shared" si="379"/>
        <v>-2.5437293939092159E-5</v>
      </c>
      <c r="O505" s="69">
        <f t="shared" si="379"/>
        <v>-2.5437293939092159E-5</v>
      </c>
      <c r="P505" s="69">
        <f t="shared" si="379"/>
        <v>-2.5437293939092159E-5</v>
      </c>
      <c r="Q505" s="69">
        <f t="shared" si="379"/>
        <v>-2.5437293939092159E-5</v>
      </c>
      <c r="R505" s="69">
        <f t="shared" si="379"/>
        <v>-2.5437293939092159E-5</v>
      </c>
      <c r="S505" s="69">
        <f t="shared" si="379"/>
        <v>-2.5437293939092159E-5</v>
      </c>
      <c r="T505" s="69">
        <f t="shared" si="379"/>
        <v>-2.5437293939092159E-5</v>
      </c>
      <c r="U505" s="69">
        <f t="shared" si="379"/>
        <v>-2.5437293939092159E-5</v>
      </c>
      <c r="V505" s="69">
        <f t="shared" si="379"/>
        <v>-2.5437293939092159E-5</v>
      </c>
      <c r="W505" s="69">
        <f t="shared" si="379"/>
        <v>-2.5437293939092159E-5</v>
      </c>
      <c r="X505" s="69">
        <f t="shared" si="379"/>
        <v>-2.5437293939092159E-5</v>
      </c>
      <c r="Y505" s="69">
        <f t="shared" si="379"/>
        <v>-2.5437293939092159E-5</v>
      </c>
      <c r="Z505" s="69">
        <f t="shared" si="379"/>
        <v>-2.5437293939092159E-5</v>
      </c>
      <c r="AA505" s="69">
        <f t="shared" si="379"/>
        <v>-2.5437293939092159E-5</v>
      </c>
      <c r="AB505" s="69">
        <f t="shared" si="379"/>
        <v>-2.5437293939092159E-5</v>
      </c>
      <c r="AC505" s="69">
        <f t="shared" si="379"/>
        <v>-2.5437293939092159E-5</v>
      </c>
    </row>
    <row r="506" spans="1:29" x14ac:dyDescent="0.25">
      <c r="A506" s="30" t="str">
        <f t="shared" si="375"/>
        <v>Opex fix (admin, crew, insurance)</v>
      </c>
      <c r="B506" s="66">
        <f>B464/B475/(B472)</f>
        <v>1.3005202080832333E-3</v>
      </c>
      <c r="C506" s="66">
        <f t="shared" ref="C506:AC506" si="380">C464/C475/(C472)</f>
        <v>1.3005202080832333E-3</v>
      </c>
      <c r="D506" s="66">
        <f t="shared" si="380"/>
        <v>1.3005202080832333E-3</v>
      </c>
      <c r="E506" s="66">
        <f t="shared" si="380"/>
        <v>1.3005202080832333E-3</v>
      </c>
      <c r="F506" s="66">
        <f t="shared" si="380"/>
        <v>1.3005202080832333E-3</v>
      </c>
      <c r="G506" s="66">
        <f t="shared" si="380"/>
        <v>1.3005202080832333E-3</v>
      </c>
      <c r="H506" s="66">
        <f t="shared" si="380"/>
        <v>1.3005202080832333E-3</v>
      </c>
      <c r="I506" s="66">
        <f t="shared" si="380"/>
        <v>1.3005202080832333E-3</v>
      </c>
      <c r="J506" s="66">
        <f t="shared" si="380"/>
        <v>1.3005202080832333E-3</v>
      </c>
      <c r="K506" s="66">
        <f t="shared" si="380"/>
        <v>1.3005202080832333E-3</v>
      </c>
      <c r="L506" s="66">
        <f t="shared" si="380"/>
        <v>1.3005202080832333E-3</v>
      </c>
      <c r="M506" s="66">
        <f t="shared" si="380"/>
        <v>1.3005202080832333E-3</v>
      </c>
      <c r="N506" s="66">
        <f t="shared" si="380"/>
        <v>1.3005202080832333E-3</v>
      </c>
      <c r="O506" s="66">
        <f t="shared" si="380"/>
        <v>1.3005202080832333E-3</v>
      </c>
      <c r="P506" s="66">
        <f t="shared" si="380"/>
        <v>1.3005202080832333E-3</v>
      </c>
      <c r="Q506" s="66">
        <f t="shared" si="380"/>
        <v>1.3005202080832333E-3</v>
      </c>
      <c r="R506" s="66">
        <f t="shared" si="380"/>
        <v>1.3005202080832333E-3</v>
      </c>
      <c r="S506" s="66">
        <f t="shared" si="380"/>
        <v>1.3005202080832333E-3</v>
      </c>
      <c r="T506" s="66">
        <f t="shared" si="380"/>
        <v>1.3005202080832333E-3</v>
      </c>
      <c r="U506" s="66">
        <f t="shared" si="380"/>
        <v>1.3005202080832333E-3</v>
      </c>
      <c r="V506" s="66">
        <f t="shared" si="380"/>
        <v>1.3005202080832333E-3</v>
      </c>
      <c r="W506" s="66">
        <f t="shared" si="380"/>
        <v>1.3005202080832333E-3</v>
      </c>
      <c r="X506" s="66">
        <f t="shared" si="380"/>
        <v>1.3005202080832333E-3</v>
      </c>
      <c r="Y506" s="66">
        <f t="shared" si="380"/>
        <v>1.3005202080832333E-3</v>
      </c>
      <c r="Z506" s="66">
        <f t="shared" si="380"/>
        <v>1.3005202080832333E-3</v>
      </c>
      <c r="AA506" s="66">
        <f t="shared" si="380"/>
        <v>1.3005202080832333E-3</v>
      </c>
      <c r="AB506" s="66">
        <f t="shared" si="380"/>
        <v>1.3005202080832333E-3</v>
      </c>
      <c r="AC506" s="66">
        <f t="shared" si="380"/>
        <v>1.3005202080832333E-3</v>
      </c>
    </row>
    <row r="507" spans="1:29" x14ac:dyDescent="0.25">
      <c r="A507" s="30" t="str">
        <f t="shared" si="375"/>
        <v>Opex maintenance &amp; repair</v>
      </c>
      <c r="B507" s="66">
        <f>B465/B475/(B472)</f>
        <v>2.1008403361344541E-3</v>
      </c>
      <c r="C507" s="66">
        <f t="shared" ref="C507:AC507" si="381">C465/C475/(C472)</f>
        <v>2.1008403361344541E-3</v>
      </c>
      <c r="D507" s="66">
        <f t="shared" si="381"/>
        <v>2.1008403361344541E-3</v>
      </c>
      <c r="E507" s="66">
        <f t="shared" si="381"/>
        <v>2.1008403361344541E-3</v>
      </c>
      <c r="F507" s="66">
        <f t="shared" si="381"/>
        <v>2.1008403361344541E-3</v>
      </c>
      <c r="G507" s="66">
        <f t="shared" si="381"/>
        <v>2.1008403361344541E-3</v>
      </c>
      <c r="H507" s="66">
        <f t="shared" si="381"/>
        <v>2.1008403361344541E-3</v>
      </c>
      <c r="I507" s="66">
        <f t="shared" si="381"/>
        <v>2.1008403361344541E-3</v>
      </c>
      <c r="J507" s="66">
        <f t="shared" si="381"/>
        <v>2.1008403361344541E-3</v>
      </c>
      <c r="K507" s="66">
        <f t="shared" si="381"/>
        <v>2.1008403361344541E-3</v>
      </c>
      <c r="L507" s="66">
        <f t="shared" si="381"/>
        <v>2.1008403361344541E-3</v>
      </c>
      <c r="M507" s="66">
        <f t="shared" si="381"/>
        <v>2.1008403361344541E-3</v>
      </c>
      <c r="N507" s="66">
        <f t="shared" si="381"/>
        <v>2.1008403361344541E-3</v>
      </c>
      <c r="O507" s="66">
        <f t="shared" si="381"/>
        <v>2.1008403361344541E-3</v>
      </c>
      <c r="P507" s="66">
        <f t="shared" si="381"/>
        <v>2.1008403361344541E-3</v>
      </c>
      <c r="Q507" s="66">
        <f t="shared" si="381"/>
        <v>2.1008403361344541E-3</v>
      </c>
      <c r="R507" s="66">
        <f t="shared" si="381"/>
        <v>2.1008403361344541E-3</v>
      </c>
      <c r="S507" s="66">
        <f t="shared" si="381"/>
        <v>2.1008403361344541E-3</v>
      </c>
      <c r="T507" s="66">
        <f t="shared" si="381"/>
        <v>2.1008403361344541E-3</v>
      </c>
      <c r="U507" s="66">
        <f t="shared" si="381"/>
        <v>2.1008403361344541E-3</v>
      </c>
      <c r="V507" s="66">
        <f t="shared" si="381"/>
        <v>2.1008403361344541E-3</v>
      </c>
      <c r="W507" s="66">
        <f t="shared" si="381"/>
        <v>2.1008403361344541E-3</v>
      </c>
      <c r="X507" s="66">
        <f t="shared" si="381"/>
        <v>2.1008403361344541E-3</v>
      </c>
      <c r="Y507" s="66">
        <f t="shared" si="381"/>
        <v>2.1008403361344541E-3</v>
      </c>
      <c r="Z507" s="66">
        <f t="shared" si="381"/>
        <v>2.1008403361344541E-3</v>
      </c>
      <c r="AA507" s="66">
        <f t="shared" si="381"/>
        <v>2.1008403361344541E-3</v>
      </c>
      <c r="AB507" s="66">
        <f t="shared" si="381"/>
        <v>2.1008403361344541E-3</v>
      </c>
      <c r="AC507" s="66">
        <f t="shared" si="381"/>
        <v>2.1008403361344541E-3</v>
      </c>
    </row>
    <row r="508" spans="1:29" x14ac:dyDescent="0.25">
      <c r="A508" s="30" t="str">
        <f t="shared" si="375"/>
        <v>Opex var (mode-fees, shunting)</v>
      </c>
      <c r="B508" s="66">
        <f>B466*B475/B475/(B472)</f>
        <v>1.4005602240896359E-3</v>
      </c>
      <c r="C508" s="66">
        <f t="shared" ref="C508:AC508" si="382">C466*C475/C475/(C472)</f>
        <v>1.4005602240896359E-3</v>
      </c>
      <c r="D508" s="66">
        <f t="shared" si="382"/>
        <v>1.4005602240896359E-3</v>
      </c>
      <c r="E508" s="66">
        <f t="shared" si="382"/>
        <v>1.4005602240896359E-3</v>
      </c>
      <c r="F508" s="66">
        <f t="shared" si="382"/>
        <v>1.4005602240896359E-3</v>
      </c>
      <c r="G508" s="66">
        <f t="shared" si="382"/>
        <v>1.4005602240896359E-3</v>
      </c>
      <c r="H508" s="66">
        <f t="shared" si="382"/>
        <v>1.4005602240896359E-3</v>
      </c>
      <c r="I508" s="66">
        <f t="shared" si="382"/>
        <v>1.4005602240896359E-3</v>
      </c>
      <c r="J508" s="66">
        <f t="shared" si="382"/>
        <v>1.4005602240896359E-3</v>
      </c>
      <c r="K508" s="66">
        <f t="shared" si="382"/>
        <v>1.4005602240896359E-3</v>
      </c>
      <c r="L508" s="66">
        <f t="shared" si="382"/>
        <v>1.4005602240896359E-3</v>
      </c>
      <c r="M508" s="66">
        <f t="shared" si="382"/>
        <v>1.4005602240896359E-3</v>
      </c>
      <c r="N508" s="66">
        <f t="shared" si="382"/>
        <v>1.4005602240896359E-3</v>
      </c>
      <c r="O508" s="66">
        <f t="shared" si="382"/>
        <v>1.4005602240896359E-3</v>
      </c>
      <c r="P508" s="66">
        <f t="shared" si="382"/>
        <v>1.4005602240896359E-3</v>
      </c>
      <c r="Q508" s="66">
        <f t="shared" si="382"/>
        <v>1.4005602240896359E-3</v>
      </c>
      <c r="R508" s="66">
        <f t="shared" si="382"/>
        <v>1.4005602240896359E-3</v>
      </c>
      <c r="S508" s="66">
        <f t="shared" si="382"/>
        <v>1.4005602240896359E-3</v>
      </c>
      <c r="T508" s="66">
        <f t="shared" si="382"/>
        <v>1.4005602240896359E-3</v>
      </c>
      <c r="U508" s="66">
        <f t="shared" si="382"/>
        <v>1.4005602240896359E-3</v>
      </c>
      <c r="V508" s="66">
        <f t="shared" si="382"/>
        <v>1.4005602240896359E-3</v>
      </c>
      <c r="W508" s="66">
        <f t="shared" si="382"/>
        <v>1.4005602240896359E-3</v>
      </c>
      <c r="X508" s="66">
        <f t="shared" si="382"/>
        <v>1.4005602240896359E-3</v>
      </c>
      <c r="Y508" s="66">
        <f t="shared" si="382"/>
        <v>1.4005602240896359E-3</v>
      </c>
      <c r="Z508" s="66">
        <f t="shared" si="382"/>
        <v>1.4005602240896359E-3</v>
      </c>
      <c r="AA508" s="66">
        <f t="shared" si="382"/>
        <v>1.4005602240896359E-3</v>
      </c>
      <c r="AB508" s="66">
        <f t="shared" si="382"/>
        <v>1.4005602240896359E-3</v>
      </c>
      <c r="AC508" s="66">
        <f t="shared" si="382"/>
        <v>1.4005602240896359E-3</v>
      </c>
    </row>
    <row r="509" spans="1:29" x14ac:dyDescent="0.25">
      <c r="A509" s="30" t="str">
        <f t="shared" si="375"/>
        <v>Fuel Cost</v>
      </c>
      <c r="B509" s="66">
        <f>B467*B468*B475/B475/(B472)</f>
        <v>1.5890566780312125E-3</v>
      </c>
      <c r="C509" s="66">
        <f t="shared" ref="C509:AC509" si="383">C467*C468*C475/C475/(C472)</f>
        <v>1.4794665623049218E-3</v>
      </c>
      <c r="D509" s="66">
        <f t="shared" si="383"/>
        <v>1.3698764465786316E-3</v>
      </c>
      <c r="E509" s="66">
        <f t="shared" si="383"/>
        <v>1.2602863308523408E-3</v>
      </c>
      <c r="F509" s="66">
        <f t="shared" si="383"/>
        <v>1.1506962151260503E-3</v>
      </c>
      <c r="G509" s="66">
        <f t="shared" si="383"/>
        <v>1.0411060993997601E-3</v>
      </c>
      <c r="H509" s="66">
        <f t="shared" si="383"/>
        <v>9.3151598367346956E-4</v>
      </c>
      <c r="I509" s="66">
        <f t="shared" si="383"/>
        <v>8.2192586794717891E-4</v>
      </c>
      <c r="J509" s="66">
        <f t="shared" si="383"/>
        <v>8.0529165395300977E-4</v>
      </c>
      <c r="K509" s="66">
        <f t="shared" si="383"/>
        <v>7.8865743995884074E-4</v>
      </c>
      <c r="L509" s="66">
        <f t="shared" si="383"/>
        <v>7.720232259646715E-4</v>
      </c>
      <c r="M509" s="66">
        <f t="shared" si="383"/>
        <v>7.5538901197050236E-4</v>
      </c>
      <c r="N509" s="66">
        <f t="shared" si="383"/>
        <v>7.3875479797633344E-4</v>
      </c>
      <c r="O509" s="66">
        <f t="shared" si="383"/>
        <v>7.2212058398216431E-4</v>
      </c>
      <c r="P509" s="66">
        <f t="shared" si="383"/>
        <v>7.0548636998799528E-4</v>
      </c>
      <c r="Q509" s="66">
        <f t="shared" si="383"/>
        <v>6.8885215599382614E-4</v>
      </c>
      <c r="R509" s="66">
        <f t="shared" si="383"/>
        <v>6.722179419996569E-4</v>
      </c>
      <c r="S509" s="66">
        <f t="shared" si="383"/>
        <v>6.5558372800548798E-4</v>
      </c>
      <c r="T509" s="66">
        <f t="shared" si="383"/>
        <v>6.3894951401131884E-4</v>
      </c>
      <c r="U509" s="66">
        <f t="shared" si="383"/>
        <v>6.223153000171496E-4</v>
      </c>
      <c r="V509" s="66">
        <f t="shared" si="383"/>
        <v>6.0568108602298057E-4</v>
      </c>
      <c r="W509" s="66">
        <f t="shared" si="383"/>
        <v>5.8904687202881144E-4</v>
      </c>
      <c r="X509" s="66">
        <f t="shared" si="383"/>
        <v>5.7241265803464252E-4</v>
      </c>
      <c r="Y509" s="66">
        <f t="shared" si="383"/>
        <v>5.5577844404047327E-4</v>
      </c>
      <c r="Z509" s="66">
        <f t="shared" si="383"/>
        <v>5.3914423004630414E-4</v>
      </c>
      <c r="AA509" s="66">
        <f t="shared" si="383"/>
        <v>5.2251001605213511E-4</v>
      </c>
      <c r="AB509" s="66">
        <f t="shared" si="383"/>
        <v>5.0587580205796586E-4</v>
      </c>
      <c r="AC509" s="66">
        <f t="shared" si="383"/>
        <v>4.8924158806379694E-4</v>
      </c>
    </row>
    <row r="510" spans="1:29" x14ac:dyDescent="0.25">
      <c r="A510" s="59" t="str">
        <f>A473</f>
        <v>Market failure (av. utilization)</v>
      </c>
      <c r="B510" s="66">
        <f t="shared" ref="B510:AC510" si="384">B499/B473-B499/B472</f>
        <v>1.436637360417075E-2</v>
      </c>
      <c r="C510" s="66">
        <f t="shared" si="384"/>
        <v>1.4155564904669765E-2</v>
      </c>
      <c r="D510" s="66">
        <f t="shared" si="384"/>
        <v>1.3945035820014422E-2</v>
      </c>
      <c r="E510" s="66">
        <f t="shared" si="384"/>
        <v>1.3734897646696706E-2</v>
      </c>
      <c r="F510" s="66">
        <f t="shared" si="384"/>
        <v>1.3525299396528113E-2</v>
      </c>
      <c r="G510" s="66">
        <f t="shared" si="384"/>
        <v>1.3316433633769416E-2</v>
      </c>
      <c r="H510" s="66">
        <f t="shared" si="384"/>
        <v>1.3108535680387046E-2</v>
      </c>
      <c r="I510" s="66">
        <f t="shared" si="384"/>
        <v>1.2901867736470552E-2</v>
      </c>
      <c r="J510" s="66">
        <f t="shared" si="384"/>
        <v>1.2876052229655086E-2</v>
      </c>
      <c r="K510" s="66">
        <f t="shared" si="384"/>
        <v>1.2851866184435708E-2</v>
      </c>
      <c r="L510" s="66">
        <f t="shared" si="384"/>
        <v>1.2829262469999167E-2</v>
      </c>
      <c r="M510" s="66">
        <f t="shared" si="384"/>
        <v>1.2807900467150062E-2</v>
      </c>
      <c r="N510" s="66">
        <f t="shared" si="384"/>
        <v>1.2787136461789455E-2</v>
      </c>
      <c r="O510" s="66">
        <f t="shared" si="384"/>
        <v>1.2766149408186347E-2</v>
      </c>
      <c r="P510" s="66">
        <f t="shared" si="384"/>
        <v>1.2744165856528319E-2</v>
      </c>
      <c r="Q510" s="66">
        <f t="shared" si="384"/>
        <v>1.2720663571952442E-2</v>
      </c>
      <c r="R510" s="66">
        <f t="shared" si="384"/>
        <v>1.2695449034323686E-2</v>
      </c>
      <c r="S510" s="66">
        <f t="shared" si="384"/>
        <v>1.2668603223808262E-2</v>
      </c>
      <c r="T510" s="66">
        <f t="shared" si="384"/>
        <v>1.2640365783146111E-2</v>
      </c>
      <c r="U510" s="66">
        <f t="shared" si="384"/>
        <v>1.2611027789288368E-2</v>
      </c>
      <c r="V510" s="66">
        <f t="shared" si="384"/>
        <v>1.258086389626382E-2</v>
      </c>
      <c r="W510" s="66">
        <f t="shared" si="384"/>
        <v>1.2550102225156259E-2</v>
      </c>
      <c r="X510" s="66">
        <f t="shared" si="384"/>
        <v>1.2518918478099094E-2</v>
      </c>
      <c r="Y510" s="66">
        <f t="shared" si="384"/>
        <v>1.2487441703617409E-2</v>
      </c>
      <c r="Z510" s="66">
        <f t="shared" si="384"/>
        <v>1.2455763810107441E-2</v>
      </c>
      <c r="AA510" s="66">
        <f t="shared" si="384"/>
        <v>1.2423948942735682E-2</v>
      </c>
      <c r="AB510" s="66">
        <f t="shared" si="384"/>
        <v>1.2392041273392227E-2</v>
      </c>
      <c r="AC510" s="66">
        <f t="shared" si="384"/>
        <v>1.2360070949491726E-2</v>
      </c>
    </row>
    <row r="511" spans="1:29" x14ac:dyDescent="0.25">
      <c r="A511" s="59" t="str">
        <f>A474</f>
        <v>Payload loss (fuel)</v>
      </c>
      <c r="B511" s="66">
        <f>B499/(B472-B474)-B499/B472</f>
        <v>0</v>
      </c>
      <c r="C511" s="66">
        <f t="shared" ref="C511:AC511" si="385">C499/(C472-C474)-C499/C472</f>
        <v>0</v>
      </c>
      <c r="D511" s="66">
        <f t="shared" si="385"/>
        <v>0</v>
      </c>
      <c r="E511" s="66">
        <f t="shared" si="385"/>
        <v>0</v>
      </c>
      <c r="F511" s="66">
        <f t="shared" si="385"/>
        <v>0</v>
      </c>
      <c r="G511" s="66">
        <f t="shared" si="385"/>
        <v>0</v>
      </c>
      <c r="H511" s="66">
        <f t="shared" si="385"/>
        <v>0</v>
      </c>
      <c r="I511" s="66">
        <f t="shared" si="385"/>
        <v>0</v>
      </c>
      <c r="J511" s="66">
        <f t="shared" si="385"/>
        <v>0</v>
      </c>
      <c r="K511" s="66">
        <f t="shared" si="385"/>
        <v>0</v>
      </c>
      <c r="L511" s="66">
        <f t="shared" si="385"/>
        <v>0</v>
      </c>
      <c r="M511" s="66">
        <f t="shared" si="385"/>
        <v>0</v>
      </c>
      <c r="N511" s="66">
        <f t="shared" si="385"/>
        <v>0</v>
      </c>
      <c r="O511" s="66">
        <f t="shared" si="385"/>
        <v>0</v>
      </c>
      <c r="P511" s="66">
        <f t="shared" si="385"/>
        <v>0</v>
      </c>
      <c r="Q511" s="66">
        <f t="shared" si="385"/>
        <v>0</v>
      </c>
      <c r="R511" s="66">
        <f t="shared" si="385"/>
        <v>0</v>
      </c>
      <c r="S511" s="66">
        <f t="shared" si="385"/>
        <v>0</v>
      </c>
      <c r="T511" s="66">
        <f t="shared" si="385"/>
        <v>0</v>
      </c>
      <c r="U511" s="66">
        <f t="shared" si="385"/>
        <v>0</v>
      </c>
      <c r="V511" s="66">
        <f t="shared" si="385"/>
        <v>0</v>
      </c>
      <c r="W511" s="66">
        <f t="shared" si="385"/>
        <v>0</v>
      </c>
      <c r="X511" s="66">
        <f t="shared" si="385"/>
        <v>0</v>
      </c>
      <c r="Y511" s="66">
        <f t="shared" si="385"/>
        <v>0</v>
      </c>
      <c r="Z511" s="66">
        <f t="shared" si="385"/>
        <v>0</v>
      </c>
      <c r="AA511" s="66">
        <f t="shared" si="385"/>
        <v>0</v>
      </c>
      <c r="AB511" s="66">
        <f t="shared" si="385"/>
        <v>0</v>
      </c>
      <c r="AC511" s="66">
        <f t="shared" si="385"/>
        <v>0</v>
      </c>
    </row>
    <row r="512" spans="1:29" ht="15.75" thickBot="1" x14ac:dyDescent="0.3">
      <c r="A512" s="59" t="str">
        <f>A449</f>
        <v>Emission Cost</v>
      </c>
      <c r="B512" s="69">
        <f>B469*B475/B475/(B472)</f>
        <v>0</v>
      </c>
      <c r="C512" s="69">
        <f t="shared" ref="C512:AC512" si="386">C469*C475/C475/(C472)</f>
        <v>0</v>
      </c>
      <c r="D512" s="69">
        <f t="shared" si="386"/>
        <v>0</v>
      </c>
      <c r="E512" s="69">
        <f t="shared" si="386"/>
        <v>0</v>
      </c>
      <c r="F512" s="69">
        <f t="shared" si="386"/>
        <v>0</v>
      </c>
      <c r="G512" s="69">
        <f t="shared" si="386"/>
        <v>0</v>
      </c>
      <c r="H512" s="69">
        <f t="shared" si="386"/>
        <v>0</v>
      </c>
      <c r="I512" s="69">
        <f t="shared" si="386"/>
        <v>0</v>
      </c>
      <c r="J512" s="69">
        <f t="shared" si="386"/>
        <v>0</v>
      </c>
      <c r="K512" s="69">
        <f t="shared" si="386"/>
        <v>0</v>
      </c>
      <c r="L512" s="69">
        <f t="shared" si="386"/>
        <v>0</v>
      </c>
      <c r="M512" s="69">
        <f t="shared" si="386"/>
        <v>0</v>
      </c>
      <c r="N512" s="69">
        <f t="shared" si="386"/>
        <v>0</v>
      </c>
      <c r="O512" s="69">
        <f t="shared" si="386"/>
        <v>0</v>
      </c>
      <c r="P512" s="69">
        <f t="shared" si="386"/>
        <v>0</v>
      </c>
      <c r="Q512" s="69">
        <f t="shared" si="386"/>
        <v>0</v>
      </c>
      <c r="R512" s="69">
        <f t="shared" si="386"/>
        <v>0</v>
      </c>
      <c r="S512" s="69">
        <f t="shared" si="386"/>
        <v>0</v>
      </c>
      <c r="T512" s="69">
        <f t="shared" si="386"/>
        <v>0</v>
      </c>
      <c r="U512" s="69">
        <f t="shared" si="386"/>
        <v>0</v>
      </c>
      <c r="V512" s="69">
        <f t="shared" si="386"/>
        <v>0</v>
      </c>
      <c r="W512" s="69">
        <f t="shared" si="386"/>
        <v>0</v>
      </c>
      <c r="X512" s="69">
        <f t="shared" si="386"/>
        <v>0</v>
      </c>
      <c r="Y512" s="69">
        <f t="shared" si="386"/>
        <v>0</v>
      </c>
      <c r="Z512" s="69">
        <f t="shared" si="386"/>
        <v>0</v>
      </c>
      <c r="AA512" s="69">
        <f t="shared" si="386"/>
        <v>0</v>
      </c>
      <c r="AB512" s="69">
        <f t="shared" si="386"/>
        <v>0</v>
      </c>
      <c r="AC512" s="69">
        <f t="shared" si="386"/>
        <v>0</v>
      </c>
    </row>
    <row r="513" spans="1:29" ht="15.75" thickBot="1" x14ac:dyDescent="0.3">
      <c r="A513" s="31" t="s">
        <v>210</v>
      </c>
      <c r="B513" s="67">
        <f>B502+B503+B504+B505+B506+B507+B508+B509+B510+B511+B512</f>
        <v>2.1760421369870931E-2</v>
      </c>
      <c r="C513" s="67">
        <f t="shared" ref="C513:AC513" si="387">C502+C503+C504+C505+C506+C507+C508+C509+C510+C511+C512</f>
        <v>2.1440367676296562E-2</v>
      </c>
      <c r="D513" s="67">
        <f t="shared" si="387"/>
        <v>2.1120738499188246E-2</v>
      </c>
      <c r="E513" s="67">
        <f t="shared" si="387"/>
        <v>2.0801702810952848E-2</v>
      </c>
      <c r="F513" s="67">
        <f t="shared" si="387"/>
        <v>2.0483486844097697E-2</v>
      </c>
      <c r="G513" s="67">
        <f t="shared" si="387"/>
        <v>2.0166382953269717E-2</v>
      </c>
      <c r="H513" s="67">
        <f t="shared" si="387"/>
        <v>1.9850748408660857E-2</v>
      </c>
      <c r="I513" s="67">
        <f t="shared" si="387"/>
        <v>1.9536981287330144E-2</v>
      </c>
      <c r="J513" s="67">
        <f t="shared" si="387"/>
        <v>1.9497787704108281E-2</v>
      </c>
      <c r="K513" s="67">
        <f t="shared" si="387"/>
        <v>1.9461067999827851E-2</v>
      </c>
      <c r="L513" s="67">
        <f t="shared" si="387"/>
        <v>1.9426750619610432E-2</v>
      </c>
      <c r="M513" s="67">
        <f t="shared" si="387"/>
        <v>1.939431842905005E-2</v>
      </c>
      <c r="N513" s="67">
        <f t="shared" si="387"/>
        <v>1.9362794129413496E-2</v>
      </c>
      <c r="O513" s="67">
        <f t="shared" si="387"/>
        <v>1.9330931193781251E-2</v>
      </c>
      <c r="P513" s="67">
        <f t="shared" si="387"/>
        <v>1.9297555356243758E-2</v>
      </c>
      <c r="Q513" s="67">
        <f t="shared" si="387"/>
        <v>1.9261873750106295E-2</v>
      </c>
      <c r="R513" s="67">
        <f t="shared" si="387"/>
        <v>1.9223592569495834E-2</v>
      </c>
      <c r="S513" s="67">
        <f t="shared" si="387"/>
        <v>1.9182834760008854E-2</v>
      </c>
      <c r="T513" s="67">
        <f t="shared" si="387"/>
        <v>1.9139964151716114E-2</v>
      </c>
      <c r="U513" s="67">
        <f t="shared" si="387"/>
        <v>1.9095422663065693E-2</v>
      </c>
      <c r="V513" s="67">
        <f t="shared" si="387"/>
        <v>1.9049627278919113E-2</v>
      </c>
      <c r="W513" s="67">
        <f t="shared" si="387"/>
        <v>1.9002924336954191E-2</v>
      </c>
      <c r="X513" s="67">
        <f t="shared" si="387"/>
        <v>1.895558059142206E-2</v>
      </c>
      <c r="Y513" s="67">
        <f t="shared" si="387"/>
        <v>1.8907791966196831E-2</v>
      </c>
      <c r="Z513" s="67">
        <f t="shared" si="387"/>
        <v>1.8859697998317326E-2</v>
      </c>
      <c r="AA513" s="67">
        <f t="shared" si="387"/>
        <v>1.8811396074169914E-2</v>
      </c>
      <c r="AB513" s="67">
        <f t="shared" si="387"/>
        <v>1.8762953256340781E-2</v>
      </c>
      <c r="AC513" s="67">
        <f t="shared" si="387"/>
        <v>1.8714415315196298E-2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87" zoomScale="70" zoomScaleNormal="7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Input'!$L$159</f>
        <v>5000000</v>
      </c>
      <c r="C11" s="42">
        <f>'Parameter Input'!$M$159</f>
        <v>5000000</v>
      </c>
      <c r="D11" s="1" t="s">
        <v>15</v>
      </c>
      <c r="L11" s="51">
        <f>'Parameter Input'!$O$159</f>
        <v>12</v>
      </c>
      <c r="M11" s="52">
        <v>0</v>
      </c>
      <c r="N11" s="52">
        <v>1</v>
      </c>
      <c r="O11" s="52">
        <f>'Parameter Input'!$P$159</f>
        <v>0.9</v>
      </c>
      <c r="P11" s="53">
        <f>'Parameter Input'!$Q$159</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Input'!$L$160</f>
        <v>-750000</v>
      </c>
      <c r="C12" s="61">
        <f>'Parameter Input'!$M$160</f>
        <v>-750000</v>
      </c>
      <c r="D12" s="1" t="s">
        <v>15</v>
      </c>
      <c r="L12" s="54">
        <f>'Parameter Input'!$O$160</f>
        <v>12</v>
      </c>
      <c r="M12" s="37">
        <v>0</v>
      </c>
      <c r="N12" s="37">
        <v>1</v>
      </c>
      <c r="O12" s="37">
        <f>'Parameter Input'!$P$160</f>
        <v>0.9</v>
      </c>
      <c r="P12" s="55">
        <f>'Parameter Input'!$Q$160</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Input'!$L$166</f>
        <v>0.06</v>
      </c>
      <c r="C15" s="46">
        <f>'Parameter Input'!$M$166</f>
        <v>0.06</v>
      </c>
      <c r="D15" s="1" t="s">
        <v>57</v>
      </c>
      <c r="L15" s="54">
        <f>'Parameter Input'!$O$166</f>
        <v>12</v>
      </c>
      <c r="M15" s="37">
        <v>0</v>
      </c>
      <c r="N15" s="37">
        <v>1</v>
      </c>
      <c r="O15" s="37">
        <f>'Parameter Input'!$P$166</f>
        <v>0.9</v>
      </c>
      <c r="P15" s="55">
        <f>'Parameter Input'!$Q$166</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Input'!$L$162</f>
        <v>650000</v>
      </c>
      <c r="C17" s="44">
        <f>'Parameter Input'!$M$162</f>
        <v>650000</v>
      </c>
      <c r="D17" s="1" t="s">
        <v>38</v>
      </c>
      <c r="L17" s="54">
        <f>'Parameter Input'!$O$162</f>
        <v>12</v>
      </c>
      <c r="M17" s="37">
        <v>0</v>
      </c>
      <c r="N17" s="37">
        <v>1</v>
      </c>
      <c r="O17" s="37">
        <f>'Parameter Input'!$P$162</f>
        <v>0.9</v>
      </c>
      <c r="P17" s="55">
        <f>'Parameter Input'!$Q$162</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Input'!$L$163</f>
        <v>31.614305882352937</v>
      </c>
      <c r="C19" s="48">
        <f>'Parameter Input'!$M$163</f>
        <v>31.614305882352937</v>
      </c>
      <c r="D19" s="1" t="s">
        <v>60</v>
      </c>
      <c r="L19" s="54">
        <f>'Parameter Input'!$O$163</f>
        <v>12</v>
      </c>
      <c r="M19" s="37">
        <v>0</v>
      </c>
      <c r="N19" s="37">
        <v>1</v>
      </c>
      <c r="O19" s="37">
        <f>'Parameter Input'!$P$163</f>
        <v>0.9</v>
      </c>
      <c r="P19" s="55">
        <f>'Parameter Input'!$Q$163</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Input'!$L$164</f>
        <v>0.13371034051801745</v>
      </c>
      <c r="C20" s="46">
        <f>'Parameter Input'!$M$164</f>
        <v>8.7585019329602734E-2</v>
      </c>
      <c r="D20" s="1" t="s">
        <v>68</v>
      </c>
      <c r="L20" s="54">
        <f>'Parameter Input'!$O$164</f>
        <v>12</v>
      </c>
      <c r="M20" s="37">
        <v>0</v>
      </c>
      <c r="N20" s="37">
        <v>1</v>
      </c>
      <c r="O20" s="37">
        <f>'Parameter Input'!$P$164</f>
        <v>0.9</v>
      </c>
      <c r="P20" s="55">
        <f>'Parameter Input'!$Q$164</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Input'!$L$167</f>
        <v>0</v>
      </c>
      <c r="C21" s="116">
        <f>'Parameter Input'!$M$167</f>
        <v>0</v>
      </c>
      <c r="D21" s="1" t="s">
        <v>76</v>
      </c>
      <c r="L21" s="54">
        <f>'Parameter Input'!$O$167</f>
        <v>17</v>
      </c>
      <c r="M21" s="37">
        <v>0</v>
      </c>
      <c r="N21" s="37">
        <v>1</v>
      </c>
      <c r="O21" s="37">
        <f>'Parameter Input'!$P$167</f>
        <v>0.9</v>
      </c>
      <c r="P21" s="55">
        <f>'Parameter Input'!$Q$167</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Input'!$L$161</f>
        <v>20</v>
      </c>
      <c r="C22" s="44">
        <f>'Parameter Input'!$M$161</f>
        <v>20</v>
      </c>
      <c r="D22" s="1" t="s">
        <v>42</v>
      </c>
      <c r="L22" s="54">
        <f>'Parameter Input'!$O$161</f>
        <v>12</v>
      </c>
      <c r="M22" s="37">
        <v>0</v>
      </c>
      <c r="N22" s="37">
        <v>1</v>
      </c>
      <c r="O22" s="37">
        <f>'Parameter Input'!$P$161</f>
        <v>0.9</v>
      </c>
      <c r="P22" s="55">
        <f>'Parameter Input'!$Q$161</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Input'!$L$165</f>
        <v>0</v>
      </c>
      <c r="C26" s="73">
        <f>'Parameter Input'!$M$165</f>
        <v>0</v>
      </c>
      <c r="D26" s="1" t="s">
        <v>57</v>
      </c>
      <c r="L26" s="54">
        <f>'Parameter Input'!$O$165</f>
        <v>12</v>
      </c>
      <c r="M26" s="37">
        <v>0</v>
      </c>
      <c r="N26" s="37">
        <v>1</v>
      </c>
      <c r="O26" s="37">
        <f>'Parameter Input'!$P$165</f>
        <v>0.9</v>
      </c>
      <c r="P26" s="55">
        <f>'Parameter Input'!$Q$165</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6">
        <f>'Parameter Input'!J4</f>
        <v>9.4166661249999992E-2</v>
      </c>
      <c r="C40" s="66">
        <f>'Parameter Input'!K4</f>
        <v>9.4166661249999992E-2</v>
      </c>
      <c r="D40" s="66">
        <f>'Parameter Input'!L4</f>
        <v>9.4166661249999992E-2</v>
      </c>
      <c r="E40" s="66">
        <f>'Parameter Input'!M4</f>
        <v>9.4166661249999992E-2</v>
      </c>
      <c r="F40" s="66">
        <f>'Parameter Input'!N4</f>
        <v>9.4166661249999992E-2</v>
      </c>
      <c r="G40" s="66">
        <f>'Parameter Input'!O4</f>
        <v>9.4166661249999992E-2</v>
      </c>
      <c r="H40" s="66">
        <f>'Parameter Input'!P4</f>
        <v>9.4166661249999992E-2</v>
      </c>
      <c r="I40" s="66">
        <f>'Parameter Input'!Q4</f>
        <v>9.4166661249999992E-2</v>
      </c>
      <c r="J40" s="66">
        <f>'Parameter Input'!R4</f>
        <v>9.5999994399999997E-2</v>
      </c>
      <c r="K40" s="66">
        <f>'Parameter Input'!S4</f>
        <v>9.7833327550000002E-2</v>
      </c>
      <c r="L40" s="66">
        <f>'Parameter Input'!T4</f>
        <v>9.9666660700000007E-2</v>
      </c>
      <c r="M40" s="66">
        <f>'Parameter Input'!U4</f>
        <v>0.10149999385000001</v>
      </c>
      <c r="N40" s="66">
        <f>'Parameter Input'!V4</f>
        <v>0.103333327</v>
      </c>
      <c r="O40" s="66">
        <f>'Parameter Input'!W4</f>
        <v>0.1023333271</v>
      </c>
      <c r="P40" s="66">
        <f>'Parameter Input'!X4</f>
        <v>0.10133332719999999</v>
      </c>
      <c r="Q40" s="66">
        <f>'Parameter Input'!Y4</f>
        <v>0.10033332729999998</v>
      </c>
      <c r="R40" s="66">
        <f>'Parameter Input'!Z4</f>
        <v>9.9333327399999977E-2</v>
      </c>
      <c r="S40" s="66">
        <f>'Parameter Input'!AA4</f>
        <v>9.8333327499999998E-2</v>
      </c>
      <c r="T40" s="66">
        <f>'Parameter Input'!AB4</f>
        <v>9.7333327599999991E-2</v>
      </c>
      <c r="U40" s="66">
        <f>'Parameter Input'!AC4</f>
        <v>9.6333327699999985E-2</v>
      </c>
      <c r="V40" s="66">
        <f>'Parameter Input'!AD4</f>
        <v>9.5333327799999978E-2</v>
      </c>
      <c r="W40" s="66">
        <f>'Parameter Input'!AE4</f>
        <v>9.4333327899999986E-2</v>
      </c>
      <c r="X40" s="66">
        <f>'Parameter Input'!AF4</f>
        <v>9.3333328000000007E-2</v>
      </c>
      <c r="Y40" s="66">
        <f>'Parameter Input'!AG4</f>
        <v>9.2333328100000001E-2</v>
      </c>
      <c r="Z40" s="66">
        <f>'Parameter Input'!AH4</f>
        <v>9.1333328199999994E-2</v>
      </c>
      <c r="AA40" s="66">
        <f>'Parameter Input'!AI4</f>
        <v>9.0333328299999988E-2</v>
      </c>
      <c r="AB40" s="66">
        <f>'Parameter Input'!AJ4</f>
        <v>8.9333328399999981E-2</v>
      </c>
      <c r="AC40" s="66">
        <f>'Parameter Input'!AK4</f>
        <v>8.8333328500000016E-2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0">((1+C35)^C42)*C35/(((1+C35)^C42)-1)*(C31)</f>
        <v>435922.78488425701</v>
      </c>
      <c r="D50" s="63">
        <f t="shared" si="50"/>
        <v>435922.78488425701</v>
      </c>
      <c r="E50" s="63">
        <f t="shared" si="50"/>
        <v>435922.78488425701</v>
      </c>
      <c r="F50" s="63">
        <f t="shared" si="50"/>
        <v>435922.78488425701</v>
      </c>
      <c r="G50" s="63">
        <f t="shared" si="50"/>
        <v>435922.78488425701</v>
      </c>
      <c r="H50" s="63">
        <f t="shared" si="50"/>
        <v>435922.78488425701</v>
      </c>
      <c r="I50" s="63">
        <f t="shared" si="50"/>
        <v>435922.78488425701</v>
      </c>
      <c r="J50" s="63">
        <f t="shared" si="50"/>
        <v>435922.78488425701</v>
      </c>
      <c r="K50" s="63">
        <f t="shared" si="50"/>
        <v>435922.78488425701</v>
      </c>
      <c r="L50" s="63">
        <f t="shared" si="50"/>
        <v>435922.78488425701</v>
      </c>
      <c r="M50" s="63">
        <f t="shared" si="50"/>
        <v>435922.78488425701</v>
      </c>
      <c r="N50" s="63">
        <f t="shared" si="50"/>
        <v>435922.78488425701</v>
      </c>
      <c r="O50" s="63">
        <f t="shared" si="50"/>
        <v>435922.78488425701</v>
      </c>
      <c r="P50" s="63">
        <f t="shared" si="50"/>
        <v>435922.78488425701</v>
      </c>
      <c r="Q50" s="63">
        <f t="shared" si="50"/>
        <v>435922.78488425701</v>
      </c>
      <c r="R50" s="63">
        <f t="shared" si="50"/>
        <v>435922.78488425701</v>
      </c>
      <c r="S50" s="63">
        <f t="shared" si="50"/>
        <v>435922.78488425701</v>
      </c>
      <c r="T50" s="63">
        <f t="shared" si="50"/>
        <v>435922.78488425701</v>
      </c>
      <c r="U50" s="63">
        <f t="shared" si="50"/>
        <v>435922.78488425701</v>
      </c>
      <c r="V50" s="63">
        <f t="shared" si="50"/>
        <v>435922.78488425701</v>
      </c>
      <c r="W50" s="63">
        <f t="shared" si="50"/>
        <v>435922.78488425701</v>
      </c>
      <c r="X50" s="63">
        <f t="shared" si="50"/>
        <v>435922.78488425701</v>
      </c>
      <c r="Y50" s="63">
        <f t="shared" si="50"/>
        <v>435922.78488425701</v>
      </c>
      <c r="Z50" s="63">
        <f t="shared" si="50"/>
        <v>435922.78488425701</v>
      </c>
      <c r="AA50" s="63">
        <f t="shared" si="50"/>
        <v>435922.78488425701</v>
      </c>
      <c r="AB50" s="63">
        <f t="shared" si="50"/>
        <v>435922.78488425701</v>
      </c>
      <c r="AC50" s="63">
        <f t="shared" si="50"/>
        <v>435922.78488425701</v>
      </c>
    </row>
    <row r="51" spans="1:29" x14ac:dyDescent="0.25">
      <c r="A51" s="30" t="str">
        <f>A32</f>
        <v>Residual value (vehicle)</v>
      </c>
      <c r="B51" s="62">
        <f>((1+B35)^B42)*B35/(((1+B35)^B42)-1)*(B32)</f>
        <v>-65388.417732638554</v>
      </c>
      <c r="C51" s="62">
        <f t="shared" ref="C51:AC51" si="51">((1+C35)^C42)*C35/(((1+C35)^C42)-1)*(C32)</f>
        <v>-65388.417732638554</v>
      </c>
      <c r="D51" s="62">
        <f t="shared" si="51"/>
        <v>-65388.417732638554</v>
      </c>
      <c r="E51" s="62">
        <f t="shared" si="51"/>
        <v>-65388.417732638554</v>
      </c>
      <c r="F51" s="62">
        <f t="shared" si="51"/>
        <v>-65388.417732638554</v>
      </c>
      <c r="G51" s="62">
        <f t="shared" si="51"/>
        <v>-65388.417732638554</v>
      </c>
      <c r="H51" s="62">
        <f t="shared" si="51"/>
        <v>-65388.417732638554</v>
      </c>
      <c r="I51" s="62">
        <f t="shared" si="51"/>
        <v>-65388.417732638554</v>
      </c>
      <c r="J51" s="62">
        <f t="shared" si="51"/>
        <v>-65388.417732638554</v>
      </c>
      <c r="K51" s="62">
        <f t="shared" si="51"/>
        <v>-65388.417732638554</v>
      </c>
      <c r="L51" s="62">
        <f t="shared" si="51"/>
        <v>-65388.417732638554</v>
      </c>
      <c r="M51" s="62">
        <f t="shared" si="51"/>
        <v>-65388.417732638554</v>
      </c>
      <c r="N51" s="62">
        <f t="shared" si="51"/>
        <v>-65388.417732638554</v>
      </c>
      <c r="O51" s="62">
        <f t="shared" si="51"/>
        <v>-65388.417732638554</v>
      </c>
      <c r="P51" s="62">
        <f t="shared" si="51"/>
        <v>-65388.417732638554</v>
      </c>
      <c r="Q51" s="62">
        <f t="shared" si="51"/>
        <v>-65388.417732638554</v>
      </c>
      <c r="R51" s="62">
        <f t="shared" si="51"/>
        <v>-65388.417732638554</v>
      </c>
      <c r="S51" s="62">
        <f t="shared" si="51"/>
        <v>-65388.417732638554</v>
      </c>
      <c r="T51" s="62">
        <f t="shared" si="51"/>
        <v>-65388.417732638554</v>
      </c>
      <c r="U51" s="62">
        <f t="shared" si="51"/>
        <v>-65388.417732638554</v>
      </c>
      <c r="V51" s="62">
        <f t="shared" si="51"/>
        <v>-65388.417732638554</v>
      </c>
      <c r="W51" s="62">
        <f t="shared" si="51"/>
        <v>-65388.417732638554</v>
      </c>
      <c r="X51" s="62">
        <f t="shared" si="51"/>
        <v>-65388.417732638554</v>
      </c>
      <c r="Y51" s="62">
        <f t="shared" si="51"/>
        <v>-65388.417732638554</v>
      </c>
      <c r="Z51" s="62">
        <f t="shared" si="51"/>
        <v>-65388.417732638554</v>
      </c>
      <c r="AA51" s="62">
        <f t="shared" si="51"/>
        <v>-65388.417732638554</v>
      </c>
      <c r="AB51" s="62">
        <f t="shared" si="51"/>
        <v>-65388.417732638554</v>
      </c>
      <c r="AC51" s="62">
        <f t="shared" si="51"/>
        <v>-65388.417732638554</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650000</v>
      </c>
      <c r="C55" s="62">
        <f t="shared" si="55"/>
        <v>650000</v>
      </c>
      <c r="D55" s="62">
        <f t="shared" si="55"/>
        <v>650000</v>
      </c>
      <c r="E55" s="62">
        <f t="shared" si="55"/>
        <v>650000</v>
      </c>
      <c r="F55" s="62">
        <f t="shared" si="55"/>
        <v>650000</v>
      </c>
      <c r="G55" s="62">
        <f t="shared" si="55"/>
        <v>650000</v>
      </c>
      <c r="H55" s="62">
        <f t="shared" si="55"/>
        <v>650000</v>
      </c>
      <c r="I55" s="62">
        <f t="shared" si="55"/>
        <v>650000</v>
      </c>
      <c r="J55" s="62">
        <f t="shared" si="55"/>
        <v>650000</v>
      </c>
      <c r="K55" s="62">
        <f t="shared" si="55"/>
        <v>650000</v>
      </c>
      <c r="L55" s="62">
        <f t="shared" si="55"/>
        <v>650000</v>
      </c>
      <c r="M55" s="62">
        <f t="shared" si="55"/>
        <v>650000</v>
      </c>
      <c r="N55" s="62">
        <f t="shared" si="55"/>
        <v>650000</v>
      </c>
      <c r="O55" s="62">
        <f t="shared" si="55"/>
        <v>650000</v>
      </c>
      <c r="P55" s="62">
        <f t="shared" si="55"/>
        <v>650000</v>
      </c>
      <c r="Q55" s="62">
        <f t="shared" si="55"/>
        <v>650000</v>
      </c>
      <c r="R55" s="62">
        <f t="shared" si="55"/>
        <v>650000</v>
      </c>
      <c r="S55" s="62">
        <f t="shared" si="55"/>
        <v>650000</v>
      </c>
      <c r="T55" s="62">
        <f t="shared" si="55"/>
        <v>650000</v>
      </c>
      <c r="U55" s="62">
        <f t="shared" si="55"/>
        <v>650000</v>
      </c>
      <c r="V55" s="62">
        <f t="shared" si="55"/>
        <v>650000</v>
      </c>
      <c r="W55" s="62">
        <f t="shared" si="55"/>
        <v>650000</v>
      </c>
      <c r="X55" s="62">
        <f t="shared" si="55"/>
        <v>650000</v>
      </c>
      <c r="Y55" s="62">
        <f t="shared" si="55"/>
        <v>650000</v>
      </c>
      <c r="Z55" s="62">
        <f t="shared" si="55"/>
        <v>650000</v>
      </c>
      <c r="AA55" s="62">
        <f t="shared" si="55"/>
        <v>650000</v>
      </c>
      <c r="AB55" s="62">
        <f t="shared" si="55"/>
        <v>650000</v>
      </c>
      <c r="AC55" s="62">
        <f t="shared" si="55"/>
        <v>650000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531396.93343291793</v>
      </c>
      <c r="C57" s="62">
        <f t="shared" ref="C57:AC57" si="57">C39*C40*C47</f>
        <v>531396.93343291793</v>
      </c>
      <c r="D57" s="62">
        <f t="shared" si="57"/>
        <v>531396.93343291793</v>
      </c>
      <c r="E57" s="62">
        <f t="shared" si="57"/>
        <v>531396.93343291793</v>
      </c>
      <c r="F57" s="62">
        <f t="shared" si="57"/>
        <v>531396.93343291793</v>
      </c>
      <c r="G57" s="62">
        <f t="shared" si="57"/>
        <v>531396.93343291793</v>
      </c>
      <c r="H57" s="62">
        <f t="shared" si="57"/>
        <v>531396.93343291793</v>
      </c>
      <c r="I57" s="62">
        <f t="shared" si="57"/>
        <v>531396.93343291793</v>
      </c>
      <c r="J57" s="62">
        <f t="shared" si="57"/>
        <v>541742.71399833972</v>
      </c>
      <c r="K57" s="62">
        <f t="shared" si="57"/>
        <v>552088.49456376163</v>
      </c>
      <c r="L57" s="62">
        <f t="shared" si="57"/>
        <v>562434.27512918354</v>
      </c>
      <c r="M57" s="62">
        <f t="shared" si="57"/>
        <v>572780.05569460534</v>
      </c>
      <c r="N57" s="62">
        <f t="shared" si="57"/>
        <v>583125.83626002714</v>
      </c>
      <c r="O57" s="62">
        <f t="shared" si="57"/>
        <v>577482.68322434241</v>
      </c>
      <c r="P57" s="62">
        <f t="shared" si="57"/>
        <v>571839.53018865781</v>
      </c>
      <c r="Q57" s="62">
        <f t="shared" si="57"/>
        <v>566196.37715297309</v>
      </c>
      <c r="R57" s="62">
        <f t="shared" si="57"/>
        <v>560553.22411728848</v>
      </c>
      <c r="S57" s="62">
        <f t="shared" si="57"/>
        <v>554910.07108160388</v>
      </c>
      <c r="T57" s="62">
        <f t="shared" si="57"/>
        <v>549266.91804591927</v>
      </c>
      <c r="U57" s="62">
        <f t="shared" si="57"/>
        <v>543623.76501023455</v>
      </c>
      <c r="V57" s="62">
        <f t="shared" si="57"/>
        <v>537980.61197454983</v>
      </c>
      <c r="W57" s="62">
        <f t="shared" si="57"/>
        <v>532337.45893886534</v>
      </c>
      <c r="X57" s="62">
        <f t="shared" si="57"/>
        <v>526694.30590318074</v>
      </c>
      <c r="Y57" s="62">
        <f t="shared" si="57"/>
        <v>521051.15286749613</v>
      </c>
      <c r="Z57" s="62">
        <f t="shared" si="57"/>
        <v>515407.99983181141</v>
      </c>
      <c r="AA57" s="62">
        <f t="shared" si="57"/>
        <v>509764.84679612675</v>
      </c>
      <c r="AB57" s="62">
        <f t="shared" si="57"/>
        <v>504121.69376044202</v>
      </c>
      <c r="AC57" s="62">
        <f t="shared" si="57"/>
        <v>498478.54072475765</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209</v>
      </c>
      <c r="B59" s="64">
        <f>B50+B51+B52+B53+B54+B55+B56+B57+B58</f>
        <v>3191800.4574298249</v>
      </c>
      <c r="C59" s="64">
        <f t="shared" ref="C59:AC59" si="59">C50+C51+C52+C53+C54+C55+C56+C57+C58</f>
        <v>3191800.4574298249</v>
      </c>
      <c r="D59" s="64">
        <f t="shared" si="59"/>
        <v>3191800.4574298249</v>
      </c>
      <c r="E59" s="64">
        <f t="shared" si="59"/>
        <v>3191800.4574298249</v>
      </c>
      <c r="F59" s="64">
        <f t="shared" si="59"/>
        <v>3191800.4574298249</v>
      </c>
      <c r="G59" s="64">
        <f t="shared" si="59"/>
        <v>3191800.4574298249</v>
      </c>
      <c r="H59" s="64">
        <f t="shared" si="59"/>
        <v>3191800.4574298249</v>
      </c>
      <c r="I59" s="64">
        <f t="shared" si="59"/>
        <v>3191800.4574298249</v>
      </c>
      <c r="J59" s="64">
        <f t="shared" si="59"/>
        <v>3202146.2379952464</v>
      </c>
      <c r="K59" s="64">
        <f t="shared" si="59"/>
        <v>3212492.0185606685</v>
      </c>
      <c r="L59" s="64">
        <f t="shared" si="59"/>
        <v>3222837.7991260905</v>
      </c>
      <c r="M59" s="64">
        <f t="shared" si="59"/>
        <v>3233183.579691512</v>
      </c>
      <c r="N59" s="64">
        <f t="shared" si="59"/>
        <v>3243529.3602569341</v>
      </c>
      <c r="O59" s="64">
        <f t="shared" si="59"/>
        <v>3237886.2072212491</v>
      </c>
      <c r="P59" s="64">
        <f t="shared" si="59"/>
        <v>3232243.0541855646</v>
      </c>
      <c r="Q59" s="64">
        <f t="shared" si="59"/>
        <v>3226599.9011498801</v>
      </c>
      <c r="R59" s="64">
        <f t="shared" si="59"/>
        <v>3220956.7481141952</v>
      </c>
      <c r="S59" s="64">
        <f t="shared" si="59"/>
        <v>3215313.5950785107</v>
      </c>
      <c r="T59" s="64">
        <f t="shared" si="59"/>
        <v>3209670.4420428262</v>
      </c>
      <c r="U59" s="64">
        <f t="shared" si="59"/>
        <v>3204027.2890071413</v>
      </c>
      <c r="V59" s="64">
        <f t="shared" si="59"/>
        <v>3198384.1359714568</v>
      </c>
      <c r="W59" s="64">
        <f t="shared" si="59"/>
        <v>3192740.9829357723</v>
      </c>
      <c r="X59" s="64">
        <f t="shared" si="59"/>
        <v>3187097.8299000878</v>
      </c>
      <c r="Y59" s="64">
        <f t="shared" si="59"/>
        <v>3181454.6768644028</v>
      </c>
      <c r="Z59" s="64">
        <f t="shared" si="59"/>
        <v>3175811.5238287183</v>
      </c>
      <c r="AA59" s="64">
        <f t="shared" si="59"/>
        <v>3170168.3707930334</v>
      </c>
      <c r="AB59" s="64">
        <f t="shared" si="59"/>
        <v>3164525.2177573489</v>
      </c>
      <c r="AC59" s="64">
        <f t="shared" si="59"/>
        <v>3158882.0647216644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2.4421444531330927</v>
      </c>
      <c r="C62" s="65">
        <f t="shared" ref="C62:AC62" si="61">((1+C35)^C42)*C35/(((1+C35)^C42)-1)*(C31)/C47</f>
        <v>2.4421444531330927</v>
      </c>
      <c r="D62" s="65">
        <f t="shared" si="61"/>
        <v>2.4421444531330927</v>
      </c>
      <c r="E62" s="65">
        <f t="shared" si="61"/>
        <v>2.4421444531330927</v>
      </c>
      <c r="F62" s="65">
        <f t="shared" si="61"/>
        <v>2.4421444531330927</v>
      </c>
      <c r="G62" s="65">
        <f t="shared" si="61"/>
        <v>2.4421444531330927</v>
      </c>
      <c r="H62" s="65">
        <f t="shared" si="61"/>
        <v>2.4421444531330927</v>
      </c>
      <c r="I62" s="65">
        <f t="shared" si="61"/>
        <v>2.4421444531330927</v>
      </c>
      <c r="J62" s="65">
        <f t="shared" si="61"/>
        <v>2.4421444531330927</v>
      </c>
      <c r="K62" s="65">
        <f t="shared" si="61"/>
        <v>2.4421444531330927</v>
      </c>
      <c r="L62" s="65">
        <f t="shared" si="61"/>
        <v>2.4421444531330927</v>
      </c>
      <c r="M62" s="65">
        <f t="shared" si="61"/>
        <v>2.4421444531330927</v>
      </c>
      <c r="N62" s="65">
        <f t="shared" si="61"/>
        <v>2.4421444531330927</v>
      </c>
      <c r="O62" s="65">
        <f t="shared" si="61"/>
        <v>2.4421444531330927</v>
      </c>
      <c r="P62" s="65">
        <f t="shared" si="61"/>
        <v>2.4421444531330927</v>
      </c>
      <c r="Q62" s="65">
        <f t="shared" si="61"/>
        <v>2.4421444531330927</v>
      </c>
      <c r="R62" s="65">
        <f t="shared" si="61"/>
        <v>2.4421444531330927</v>
      </c>
      <c r="S62" s="65">
        <f t="shared" si="61"/>
        <v>2.4421444531330927</v>
      </c>
      <c r="T62" s="65">
        <f t="shared" si="61"/>
        <v>2.4421444531330927</v>
      </c>
      <c r="U62" s="65">
        <f t="shared" si="61"/>
        <v>2.4421444531330927</v>
      </c>
      <c r="V62" s="65">
        <f t="shared" si="61"/>
        <v>2.4421444531330927</v>
      </c>
      <c r="W62" s="65">
        <f t="shared" si="61"/>
        <v>2.4421444531330927</v>
      </c>
      <c r="X62" s="65">
        <f t="shared" si="61"/>
        <v>2.4421444531330927</v>
      </c>
      <c r="Y62" s="65">
        <f t="shared" si="61"/>
        <v>2.4421444531330927</v>
      </c>
      <c r="Z62" s="65">
        <f t="shared" si="61"/>
        <v>2.4421444531330927</v>
      </c>
      <c r="AA62" s="65">
        <f t="shared" si="61"/>
        <v>2.4421444531330927</v>
      </c>
      <c r="AB62" s="65">
        <f t="shared" si="61"/>
        <v>2.4421444531330927</v>
      </c>
      <c r="AC62" s="65">
        <f t="shared" si="61"/>
        <v>2.4421444531330927</v>
      </c>
    </row>
    <row r="63" spans="1:29" x14ac:dyDescent="0.25">
      <c r="A63" s="30" t="str">
        <f t="shared" si="60"/>
        <v>Residual value (vehicle)</v>
      </c>
      <c r="B63" s="66">
        <f>((1+B35)^B42)*B35/(((1+B35)^B42)-1)*(B32)/B47</f>
        <v>-0.3663216679699639</v>
      </c>
      <c r="C63" s="66">
        <f t="shared" ref="C63:AC63" si="62">((1+C35)^C42)*C35/(((1+C35)^C42)-1)*(C32)/C47</f>
        <v>-0.3663216679699639</v>
      </c>
      <c r="D63" s="66">
        <f t="shared" si="62"/>
        <v>-0.3663216679699639</v>
      </c>
      <c r="E63" s="66">
        <f t="shared" si="62"/>
        <v>-0.3663216679699639</v>
      </c>
      <c r="F63" s="66">
        <f t="shared" si="62"/>
        <v>-0.3663216679699639</v>
      </c>
      <c r="G63" s="66">
        <f t="shared" si="62"/>
        <v>-0.3663216679699639</v>
      </c>
      <c r="H63" s="66">
        <f t="shared" si="62"/>
        <v>-0.3663216679699639</v>
      </c>
      <c r="I63" s="66">
        <f t="shared" si="62"/>
        <v>-0.3663216679699639</v>
      </c>
      <c r="J63" s="66">
        <f t="shared" si="62"/>
        <v>-0.3663216679699639</v>
      </c>
      <c r="K63" s="66">
        <f t="shared" si="62"/>
        <v>-0.3663216679699639</v>
      </c>
      <c r="L63" s="66">
        <f t="shared" si="62"/>
        <v>-0.3663216679699639</v>
      </c>
      <c r="M63" s="66">
        <f t="shared" si="62"/>
        <v>-0.3663216679699639</v>
      </c>
      <c r="N63" s="66">
        <f t="shared" si="62"/>
        <v>-0.3663216679699639</v>
      </c>
      <c r="O63" s="66">
        <f t="shared" si="62"/>
        <v>-0.3663216679699639</v>
      </c>
      <c r="P63" s="66">
        <f t="shared" si="62"/>
        <v>-0.3663216679699639</v>
      </c>
      <c r="Q63" s="66">
        <f t="shared" si="62"/>
        <v>-0.3663216679699639</v>
      </c>
      <c r="R63" s="66">
        <f t="shared" si="62"/>
        <v>-0.3663216679699639</v>
      </c>
      <c r="S63" s="66">
        <f t="shared" si="62"/>
        <v>-0.3663216679699639</v>
      </c>
      <c r="T63" s="66">
        <f t="shared" si="62"/>
        <v>-0.3663216679699639</v>
      </c>
      <c r="U63" s="66">
        <f t="shared" si="62"/>
        <v>-0.3663216679699639</v>
      </c>
      <c r="V63" s="66">
        <f t="shared" si="62"/>
        <v>-0.3663216679699639</v>
      </c>
      <c r="W63" s="66">
        <f t="shared" si="62"/>
        <v>-0.3663216679699639</v>
      </c>
      <c r="X63" s="66">
        <f t="shared" si="62"/>
        <v>-0.3663216679699639</v>
      </c>
      <c r="Y63" s="66">
        <f t="shared" si="62"/>
        <v>-0.3663216679699639</v>
      </c>
      <c r="Z63" s="66">
        <f t="shared" si="62"/>
        <v>-0.3663216679699639</v>
      </c>
      <c r="AA63" s="66">
        <f t="shared" si="62"/>
        <v>-0.3663216679699639</v>
      </c>
      <c r="AB63" s="66">
        <f t="shared" si="62"/>
        <v>-0.3663216679699639</v>
      </c>
      <c r="AC63" s="66">
        <f t="shared" si="62"/>
        <v>-0.3663216679699639</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3.6414565826330532</v>
      </c>
      <c r="C67" s="66">
        <f t="shared" ref="C67:AC67" si="66">C37/C47</f>
        <v>3.6414565826330532</v>
      </c>
      <c r="D67" s="66">
        <f t="shared" si="66"/>
        <v>3.6414565826330532</v>
      </c>
      <c r="E67" s="66">
        <f t="shared" si="66"/>
        <v>3.6414565826330532</v>
      </c>
      <c r="F67" s="66">
        <f t="shared" si="66"/>
        <v>3.6414565826330532</v>
      </c>
      <c r="G67" s="66">
        <f t="shared" si="66"/>
        <v>3.6414565826330532</v>
      </c>
      <c r="H67" s="66">
        <f t="shared" si="66"/>
        <v>3.6414565826330532</v>
      </c>
      <c r="I67" s="66">
        <f t="shared" si="66"/>
        <v>3.6414565826330532</v>
      </c>
      <c r="J67" s="66">
        <f t="shared" si="66"/>
        <v>3.6414565826330532</v>
      </c>
      <c r="K67" s="66">
        <f t="shared" si="66"/>
        <v>3.6414565826330532</v>
      </c>
      <c r="L67" s="66">
        <f t="shared" si="66"/>
        <v>3.6414565826330532</v>
      </c>
      <c r="M67" s="66">
        <f t="shared" si="66"/>
        <v>3.6414565826330532</v>
      </c>
      <c r="N67" s="66">
        <f t="shared" si="66"/>
        <v>3.6414565826330532</v>
      </c>
      <c r="O67" s="66">
        <f t="shared" si="66"/>
        <v>3.6414565826330532</v>
      </c>
      <c r="P67" s="66">
        <f t="shared" si="66"/>
        <v>3.6414565826330532</v>
      </c>
      <c r="Q67" s="66">
        <f t="shared" si="66"/>
        <v>3.6414565826330532</v>
      </c>
      <c r="R67" s="66">
        <f t="shared" si="66"/>
        <v>3.6414565826330532</v>
      </c>
      <c r="S67" s="66">
        <f t="shared" si="66"/>
        <v>3.6414565826330532</v>
      </c>
      <c r="T67" s="66">
        <f t="shared" si="66"/>
        <v>3.6414565826330532</v>
      </c>
      <c r="U67" s="66">
        <f t="shared" si="66"/>
        <v>3.6414565826330532</v>
      </c>
      <c r="V67" s="66">
        <f t="shared" si="66"/>
        <v>3.6414565826330532</v>
      </c>
      <c r="W67" s="66">
        <f t="shared" si="66"/>
        <v>3.6414565826330532</v>
      </c>
      <c r="X67" s="66">
        <f t="shared" si="66"/>
        <v>3.6414565826330532</v>
      </c>
      <c r="Y67" s="66">
        <f t="shared" si="66"/>
        <v>3.6414565826330532</v>
      </c>
      <c r="Z67" s="66">
        <f t="shared" si="66"/>
        <v>3.6414565826330532</v>
      </c>
      <c r="AA67" s="66">
        <f t="shared" si="66"/>
        <v>3.6414565826330532</v>
      </c>
      <c r="AB67" s="66">
        <f t="shared" si="66"/>
        <v>3.6414565826330532</v>
      </c>
      <c r="AC67" s="66">
        <f t="shared" si="66"/>
        <v>3.6414565826330532</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2.9770136326774113</v>
      </c>
      <c r="C69" s="66">
        <f t="shared" ref="C69:AC69" si="68">C39*C40*C47/C47</f>
        <v>2.9770136326774113</v>
      </c>
      <c r="D69" s="66">
        <f t="shared" si="68"/>
        <v>2.9770136326774113</v>
      </c>
      <c r="E69" s="66">
        <f t="shared" si="68"/>
        <v>2.9770136326774113</v>
      </c>
      <c r="F69" s="66">
        <f t="shared" si="68"/>
        <v>2.9770136326774113</v>
      </c>
      <c r="G69" s="66">
        <f t="shared" si="68"/>
        <v>2.9770136326774113</v>
      </c>
      <c r="H69" s="66">
        <f t="shared" si="68"/>
        <v>2.9770136326774113</v>
      </c>
      <c r="I69" s="66">
        <f t="shared" si="68"/>
        <v>2.9770136326774113</v>
      </c>
      <c r="J69" s="66">
        <f t="shared" si="68"/>
        <v>3.0349731876657686</v>
      </c>
      <c r="K69" s="66">
        <f t="shared" si="68"/>
        <v>3.0929327426541269</v>
      </c>
      <c r="L69" s="66">
        <f t="shared" si="68"/>
        <v>3.1508922976424847</v>
      </c>
      <c r="M69" s="66">
        <f t="shared" si="68"/>
        <v>3.208851852630842</v>
      </c>
      <c r="N69" s="66">
        <f t="shared" si="68"/>
        <v>3.2668114076191999</v>
      </c>
      <c r="O69" s="66">
        <f t="shared" si="68"/>
        <v>3.2351971048982766</v>
      </c>
      <c r="P69" s="66">
        <f t="shared" si="68"/>
        <v>3.2035828021773547</v>
      </c>
      <c r="Q69" s="66">
        <f t="shared" si="68"/>
        <v>3.1719684994564319</v>
      </c>
      <c r="R69" s="66">
        <f t="shared" si="68"/>
        <v>3.1403541967355095</v>
      </c>
      <c r="S69" s="66">
        <f t="shared" si="68"/>
        <v>3.1087398940145876</v>
      </c>
      <c r="T69" s="66">
        <f t="shared" si="68"/>
        <v>3.0771255912936653</v>
      </c>
      <c r="U69" s="66">
        <f t="shared" si="68"/>
        <v>3.0455112885727424</v>
      </c>
      <c r="V69" s="66">
        <f t="shared" si="68"/>
        <v>3.0138969858518196</v>
      </c>
      <c r="W69" s="66">
        <f t="shared" si="68"/>
        <v>2.9822826831308982</v>
      </c>
      <c r="X69" s="66">
        <f t="shared" si="68"/>
        <v>2.9506683804099763</v>
      </c>
      <c r="Y69" s="66">
        <f t="shared" si="68"/>
        <v>2.9190540776890539</v>
      </c>
      <c r="Z69" s="66">
        <f t="shared" si="68"/>
        <v>2.8874397749681311</v>
      </c>
      <c r="AA69" s="66">
        <f t="shared" si="68"/>
        <v>2.8558254722472087</v>
      </c>
      <c r="AB69" s="66">
        <f t="shared" si="68"/>
        <v>2.8242111695262859</v>
      </c>
      <c r="AC69" s="66">
        <f t="shared" si="68"/>
        <v>2.7925968668053649</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63</v>
      </c>
      <c r="B71" s="76">
        <f>B62+B63+B64-B65+B66+B67+B68+B69+B70</f>
        <v>18.052173670899968</v>
      </c>
      <c r="C71" s="76">
        <f t="shared" ref="C71:AC71" si="71">C62+C63+C64-C65+C66+C67+C68+C69+C70</f>
        <v>18.052173670899968</v>
      </c>
      <c r="D71" s="76">
        <f t="shared" si="71"/>
        <v>18.052173670899968</v>
      </c>
      <c r="E71" s="76">
        <f t="shared" si="71"/>
        <v>18.052173670899968</v>
      </c>
      <c r="F71" s="76">
        <f t="shared" si="71"/>
        <v>18.052173670899968</v>
      </c>
      <c r="G71" s="76">
        <f t="shared" si="71"/>
        <v>18.052173670899968</v>
      </c>
      <c r="H71" s="76">
        <f t="shared" si="71"/>
        <v>18.052173670899968</v>
      </c>
      <c r="I71" s="76">
        <f t="shared" si="71"/>
        <v>18.052173670899968</v>
      </c>
      <c r="J71" s="76">
        <f t="shared" si="71"/>
        <v>18.110133225888326</v>
      </c>
      <c r="K71" s="76">
        <f t="shared" si="71"/>
        <v>18.168092780876684</v>
      </c>
      <c r="L71" s="76">
        <f t="shared" si="71"/>
        <v>18.226052335865042</v>
      </c>
      <c r="M71" s="76">
        <f t="shared" si="71"/>
        <v>18.2840118908534</v>
      </c>
      <c r="N71" s="76">
        <f t="shared" si="71"/>
        <v>18.341971445841757</v>
      </c>
      <c r="O71" s="76">
        <f t="shared" si="71"/>
        <v>18.310357143120836</v>
      </c>
      <c r="P71" s="76">
        <f t="shared" si="71"/>
        <v>18.278742840399914</v>
      </c>
      <c r="Q71" s="76">
        <f t="shared" si="71"/>
        <v>18.247128537678989</v>
      </c>
      <c r="R71" s="76">
        <f t="shared" si="71"/>
        <v>18.215514234958068</v>
      </c>
      <c r="S71" s="76">
        <f t="shared" si="71"/>
        <v>18.183899932237146</v>
      </c>
      <c r="T71" s="76">
        <f t="shared" si="71"/>
        <v>18.152285629516221</v>
      </c>
      <c r="U71" s="76">
        <f t="shared" si="71"/>
        <v>18.1206713267953</v>
      </c>
      <c r="V71" s="76">
        <f t="shared" si="71"/>
        <v>18.089057024074378</v>
      </c>
      <c r="W71" s="76">
        <f t="shared" si="71"/>
        <v>18.057442721353457</v>
      </c>
      <c r="X71" s="76">
        <f t="shared" si="71"/>
        <v>18.025828418632535</v>
      </c>
      <c r="Y71" s="76">
        <f t="shared" si="71"/>
        <v>17.99421411591161</v>
      </c>
      <c r="Z71" s="76">
        <f t="shared" si="71"/>
        <v>17.962599813190689</v>
      </c>
      <c r="AA71" s="76">
        <f t="shared" si="71"/>
        <v>17.930985510469768</v>
      </c>
      <c r="AB71" s="76">
        <f t="shared" si="71"/>
        <v>17.899371207748842</v>
      </c>
      <c r="AC71" s="76">
        <f t="shared" si="71"/>
        <v>17.867756905027925</v>
      </c>
    </row>
    <row r="72" spans="1:29" ht="15.75" thickBot="1" x14ac:dyDescent="0.3"/>
    <row r="73" spans="1:29" ht="15.75" thickBot="1" x14ac:dyDescent="0.3">
      <c r="A73" s="26" t="s">
        <v>208</v>
      </c>
      <c r="B73" s="145">
        <v>2023</v>
      </c>
      <c r="C73" s="145">
        <v>2024</v>
      </c>
      <c r="D73" s="145">
        <v>2025</v>
      </c>
      <c r="E73" s="145">
        <v>2026</v>
      </c>
      <c r="F73" s="145">
        <v>2027</v>
      </c>
      <c r="G73" s="145">
        <v>2028</v>
      </c>
      <c r="H73" s="145">
        <v>2029</v>
      </c>
      <c r="I73" s="145">
        <v>2030</v>
      </c>
      <c r="J73" s="145">
        <v>2031</v>
      </c>
      <c r="K73" s="145">
        <v>2032</v>
      </c>
      <c r="L73" s="145">
        <v>2033</v>
      </c>
      <c r="M73" s="145">
        <v>2034</v>
      </c>
      <c r="N73" s="145">
        <v>2035</v>
      </c>
      <c r="O73" s="145">
        <v>2036</v>
      </c>
      <c r="P73" s="145">
        <v>2037</v>
      </c>
      <c r="Q73" s="145">
        <v>2038</v>
      </c>
      <c r="R73" s="145">
        <v>2039</v>
      </c>
      <c r="S73" s="145">
        <v>2040</v>
      </c>
      <c r="T73" s="145">
        <v>2041</v>
      </c>
      <c r="U73" s="145">
        <v>2042</v>
      </c>
      <c r="V73" s="145">
        <v>2043</v>
      </c>
      <c r="W73" s="145">
        <v>2044</v>
      </c>
      <c r="X73" s="145">
        <v>2045</v>
      </c>
      <c r="Y73" s="145">
        <v>2046</v>
      </c>
      <c r="Z73" s="145">
        <v>2047</v>
      </c>
      <c r="AA73" s="145">
        <v>2048</v>
      </c>
      <c r="AB73" s="145">
        <v>2049</v>
      </c>
      <c r="AC73" s="146">
        <v>2050</v>
      </c>
    </row>
    <row r="74" spans="1:29" x14ac:dyDescent="0.25">
      <c r="A74" s="29" t="str">
        <f t="shared" ref="A74:A81" si="72">A50</f>
        <v>Capex vehicle</v>
      </c>
      <c r="B74" s="65">
        <f>((1+B35)^B42)*B35/(((1+B35)^B42)-1)*(B31)/B47/(B44)</f>
        <v>1.0902430594344164E-3</v>
      </c>
      <c r="C74" s="65">
        <f t="shared" ref="C74:AC74" si="73">((1+C35)^C42)*C35/(((1+C35)^C42)-1)*(C31)/C47/(C44)</f>
        <v>1.0902430594344164E-3</v>
      </c>
      <c r="D74" s="65">
        <f t="shared" si="73"/>
        <v>1.0902430594344164E-3</v>
      </c>
      <c r="E74" s="65">
        <f t="shared" si="73"/>
        <v>1.0902430594344164E-3</v>
      </c>
      <c r="F74" s="65">
        <f t="shared" si="73"/>
        <v>1.0902430594344164E-3</v>
      </c>
      <c r="G74" s="65">
        <f t="shared" si="73"/>
        <v>1.0902430594344164E-3</v>
      </c>
      <c r="H74" s="65">
        <f t="shared" si="73"/>
        <v>1.0902430594344164E-3</v>
      </c>
      <c r="I74" s="65">
        <f t="shared" si="73"/>
        <v>1.0902430594344164E-3</v>
      </c>
      <c r="J74" s="65">
        <f t="shared" si="73"/>
        <v>1.0902430594344164E-3</v>
      </c>
      <c r="K74" s="65">
        <f t="shared" si="73"/>
        <v>1.0902430594344164E-3</v>
      </c>
      <c r="L74" s="65">
        <f t="shared" si="73"/>
        <v>1.0902430594344164E-3</v>
      </c>
      <c r="M74" s="65">
        <f t="shared" si="73"/>
        <v>1.0902430594344164E-3</v>
      </c>
      <c r="N74" s="65">
        <f t="shared" si="73"/>
        <v>1.0902430594344164E-3</v>
      </c>
      <c r="O74" s="65">
        <f t="shared" si="73"/>
        <v>1.0902430594344164E-3</v>
      </c>
      <c r="P74" s="65">
        <f t="shared" si="73"/>
        <v>1.0902430594344164E-3</v>
      </c>
      <c r="Q74" s="65">
        <f t="shared" si="73"/>
        <v>1.0902430594344164E-3</v>
      </c>
      <c r="R74" s="65">
        <f t="shared" si="73"/>
        <v>1.0902430594344164E-3</v>
      </c>
      <c r="S74" s="65">
        <f t="shared" si="73"/>
        <v>1.0902430594344164E-3</v>
      </c>
      <c r="T74" s="65">
        <f t="shared" si="73"/>
        <v>1.0902430594344164E-3</v>
      </c>
      <c r="U74" s="65">
        <f t="shared" si="73"/>
        <v>1.0902430594344164E-3</v>
      </c>
      <c r="V74" s="65">
        <f t="shared" si="73"/>
        <v>1.0902430594344164E-3</v>
      </c>
      <c r="W74" s="65">
        <f t="shared" si="73"/>
        <v>1.0902430594344164E-3</v>
      </c>
      <c r="X74" s="65">
        <f t="shared" si="73"/>
        <v>1.0902430594344164E-3</v>
      </c>
      <c r="Y74" s="65">
        <f t="shared" si="73"/>
        <v>1.0902430594344164E-3</v>
      </c>
      <c r="Z74" s="65">
        <f t="shared" si="73"/>
        <v>1.0902430594344164E-3</v>
      </c>
      <c r="AA74" s="65">
        <f t="shared" si="73"/>
        <v>1.0902430594344164E-3</v>
      </c>
      <c r="AB74" s="65">
        <f t="shared" si="73"/>
        <v>1.0902430594344164E-3</v>
      </c>
      <c r="AC74" s="65">
        <f t="shared" si="73"/>
        <v>1.0902430594344164E-3</v>
      </c>
    </row>
    <row r="75" spans="1:29" x14ac:dyDescent="0.25">
      <c r="A75" s="30" t="str">
        <f t="shared" si="72"/>
        <v>Residual value (vehicle)</v>
      </c>
      <c r="B75" s="68">
        <f>((1+B35)^B42)*B35/(((1+B35)^B42)-1)*(B32)/B47/(B44)</f>
        <v>-1.6353645891516245E-4</v>
      </c>
      <c r="C75" s="68">
        <f t="shared" ref="C75:AC75" si="74">((1+C35)^C42)*C35/(((1+C35)^C42)-1)*(C32)/C47/(C44)</f>
        <v>-1.6353645891516245E-4</v>
      </c>
      <c r="D75" s="68">
        <f t="shared" si="74"/>
        <v>-1.6353645891516245E-4</v>
      </c>
      <c r="E75" s="68">
        <f t="shared" si="74"/>
        <v>-1.6353645891516245E-4</v>
      </c>
      <c r="F75" s="68">
        <f t="shared" si="74"/>
        <v>-1.6353645891516245E-4</v>
      </c>
      <c r="G75" s="68">
        <f t="shared" si="74"/>
        <v>-1.6353645891516245E-4</v>
      </c>
      <c r="H75" s="68">
        <f t="shared" si="74"/>
        <v>-1.6353645891516245E-4</v>
      </c>
      <c r="I75" s="68">
        <f t="shared" si="74"/>
        <v>-1.6353645891516245E-4</v>
      </c>
      <c r="J75" s="68">
        <f t="shared" si="74"/>
        <v>-1.6353645891516245E-4</v>
      </c>
      <c r="K75" s="68">
        <f t="shared" si="74"/>
        <v>-1.6353645891516245E-4</v>
      </c>
      <c r="L75" s="68">
        <f t="shared" si="74"/>
        <v>-1.6353645891516245E-4</v>
      </c>
      <c r="M75" s="68">
        <f t="shared" si="74"/>
        <v>-1.6353645891516245E-4</v>
      </c>
      <c r="N75" s="68">
        <f t="shared" si="74"/>
        <v>-1.6353645891516245E-4</v>
      </c>
      <c r="O75" s="68">
        <f t="shared" si="74"/>
        <v>-1.6353645891516245E-4</v>
      </c>
      <c r="P75" s="68">
        <f t="shared" si="74"/>
        <v>-1.6353645891516245E-4</v>
      </c>
      <c r="Q75" s="68">
        <f t="shared" si="74"/>
        <v>-1.6353645891516245E-4</v>
      </c>
      <c r="R75" s="68">
        <f t="shared" si="74"/>
        <v>-1.6353645891516245E-4</v>
      </c>
      <c r="S75" s="68">
        <f t="shared" si="74"/>
        <v>-1.6353645891516245E-4</v>
      </c>
      <c r="T75" s="68">
        <f t="shared" si="74"/>
        <v>-1.6353645891516245E-4</v>
      </c>
      <c r="U75" s="68">
        <f t="shared" si="74"/>
        <v>-1.6353645891516245E-4</v>
      </c>
      <c r="V75" s="68">
        <f t="shared" si="74"/>
        <v>-1.6353645891516245E-4</v>
      </c>
      <c r="W75" s="68">
        <f t="shared" si="74"/>
        <v>-1.6353645891516245E-4</v>
      </c>
      <c r="X75" s="68">
        <f t="shared" si="74"/>
        <v>-1.6353645891516245E-4</v>
      </c>
      <c r="Y75" s="68">
        <f t="shared" si="74"/>
        <v>-1.6353645891516245E-4</v>
      </c>
      <c r="Z75" s="68">
        <f t="shared" si="74"/>
        <v>-1.6353645891516245E-4</v>
      </c>
      <c r="AA75" s="68">
        <f t="shared" si="74"/>
        <v>-1.6353645891516245E-4</v>
      </c>
      <c r="AB75" s="68">
        <f t="shared" si="74"/>
        <v>-1.6353645891516245E-4</v>
      </c>
      <c r="AC75" s="68">
        <f t="shared" si="74"/>
        <v>-1.6353645891516245E-4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1.6256502601040416E-3</v>
      </c>
      <c r="C79" s="66">
        <f t="shared" ref="C79:AC79" si="78">C37/C47/(C44)</f>
        <v>1.6256502601040416E-3</v>
      </c>
      <c r="D79" s="66">
        <f t="shared" si="78"/>
        <v>1.6256502601040416E-3</v>
      </c>
      <c r="E79" s="66">
        <f t="shared" si="78"/>
        <v>1.6256502601040416E-3</v>
      </c>
      <c r="F79" s="66">
        <f t="shared" si="78"/>
        <v>1.6256502601040416E-3</v>
      </c>
      <c r="G79" s="66">
        <f t="shared" si="78"/>
        <v>1.6256502601040416E-3</v>
      </c>
      <c r="H79" s="66">
        <f t="shared" si="78"/>
        <v>1.6256502601040416E-3</v>
      </c>
      <c r="I79" s="66">
        <f t="shared" si="78"/>
        <v>1.6256502601040416E-3</v>
      </c>
      <c r="J79" s="66">
        <f t="shared" si="78"/>
        <v>1.6256502601040416E-3</v>
      </c>
      <c r="K79" s="66">
        <f t="shared" si="78"/>
        <v>1.6256502601040416E-3</v>
      </c>
      <c r="L79" s="66">
        <f t="shared" si="78"/>
        <v>1.6256502601040416E-3</v>
      </c>
      <c r="M79" s="66">
        <f t="shared" si="78"/>
        <v>1.6256502601040416E-3</v>
      </c>
      <c r="N79" s="66">
        <f t="shared" si="78"/>
        <v>1.6256502601040416E-3</v>
      </c>
      <c r="O79" s="66">
        <f t="shared" si="78"/>
        <v>1.6256502601040416E-3</v>
      </c>
      <c r="P79" s="66">
        <f t="shared" si="78"/>
        <v>1.6256502601040416E-3</v>
      </c>
      <c r="Q79" s="66">
        <f t="shared" si="78"/>
        <v>1.6256502601040416E-3</v>
      </c>
      <c r="R79" s="66">
        <f t="shared" si="78"/>
        <v>1.6256502601040416E-3</v>
      </c>
      <c r="S79" s="66">
        <f t="shared" si="78"/>
        <v>1.6256502601040416E-3</v>
      </c>
      <c r="T79" s="66">
        <f t="shared" si="78"/>
        <v>1.6256502601040416E-3</v>
      </c>
      <c r="U79" s="66">
        <f t="shared" si="78"/>
        <v>1.6256502601040416E-3</v>
      </c>
      <c r="V79" s="66">
        <f t="shared" si="78"/>
        <v>1.6256502601040416E-3</v>
      </c>
      <c r="W79" s="66">
        <f t="shared" si="78"/>
        <v>1.6256502601040416E-3</v>
      </c>
      <c r="X79" s="66">
        <f t="shared" si="78"/>
        <v>1.6256502601040416E-3</v>
      </c>
      <c r="Y79" s="66">
        <f t="shared" si="78"/>
        <v>1.6256502601040416E-3</v>
      </c>
      <c r="Z79" s="66">
        <f t="shared" si="78"/>
        <v>1.6256502601040416E-3</v>
      </c>
      <c r="AA79" s="66">
        <f t="shared" si="78"/>
        <v>1.6256502601040416E-3</v>
      </c>
      <c r="AB79" s="66">
        <f t="shared" si="78"/>
        <v>1.6256502601040416E-3</v>
      </c>
      <c r="AC79" s="66">
        <f t="shared" si="78"/>
        <v>1.6256502601040416E-3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1.3290239431595586E-3</v>
      </c>
      <c r="C81" s="66">
        <f t="shared" ref="C81:AC81" si="80">C39*C40*C47/C47/(C44)</f>
        <v>1.3290239431595586E-3</v>
      </c>
      <c r="D81" s="66">
        <f t="shared" si="80"/>
        <v>1.3290239431595586E-3</v>
      </c>
      <c r="E81" s="66">
        <f t="shared" si="80"/>
        <v>1.3290239431595586E-3</v>
      </c>
      <c r="F81" s="66">
        <f t="shared" si="80"/>
        <v>1.3290239431595586E-3</v>
      </c>
      <c r="G81" s="66">
        <f t="shared" si="80"/>
        <v>1.3290239431595586E-3</v>
      </c>
      <c r="H81" s="66">
        <f t="shared" si="80"/>
        <v>1.3290239431595586E-3</v>
      </c>
      <c r="I81" s="66">
        <f t="shared" si="80"/>
        <v>1.3290239431595586E-3</v>
      </c>
      <c r="J81" s="66">
        <f t="shared" si="80"/>
        <v>1.3548987444936466E-3</v>
      </c>
      <c r="K81" s="66">
        <f t="shared" si="80"/>
        <v>1.3807735458277353E-3</v>
      </c>
      <c r="L81" s="66">
        <f t="shared" si="80"/>
        <v>1.4066483471618235E-3</v>
      </c>
      <c r="M81" s="66">
        <f t="shared" si="80"/>
        <v>1.4325231484959115E-3</v>
      </c>
      <c r="N81" s="66">
        <f t="shared" si="80"/>
        <v>1.45839794983E-3</v>
      </c>
      <c r="O81" s="66">
        <f t="shared" si="80"/>
        <v>1.4442844218295879E-3</v>
      </c>
      <c r="P81" s="66">
        <f t="shared" si="80"/>
        <v>1.4301708938291762E-3</v>
      </c>
      <c r="Q81" s="66">
        <f t="shared" si="80"/>
        <v>1.4160573658287643E-3</v>
      </c>
      <c r="R81" s="66">
        <f t="shared" si="80"/>
        <v>1.4019438378283524E-3</v>
      </c>
      <c r="S81" s="66">
        <f t="shared" si="80"/>
        <v>1.3878303098279409E-3</v>
      </c>
      <c r="T81" s="66">
        <f t="shared" si="80"/>
        <v>1.3737167818275292E-3</v>
      </c>
      <c r="U81" s="66">
        <f t="shared" si="80"/>
        <v>1.3596032538271171E-3</v>
      </c>
      <c r="V81" s="66">
        <f t="shared" si="80"/>
        <v>1.3454897258267052E-3</v>
      </c>
      <c r="W81" s="66">
        <f t="shared" si="80"/>
        <v>1.3313761978262938E-3</v>
      </c>
      <c r="X81" s="66">
        <f t="shared" si="80"/>
        <v>1.3172626698258823E-3</v>
      </c>
      <c r="Y81" s="66">
        <f t="shared" si="80"/>
        <v>1.3031491418254704E-3</v>
      </c>
      <c r="Z81" s="66">
        <f t="shared" si="80"/>
        <v>1.2890356138250585E-3</v>
      </c>
      <c r="AA81" s="66">
        <f t="shared" si="80"/>
        <v>1.2749220858246468E-3</v>
      </c>
      <c r="AB81" s="66">
        <f t="shared" si="80"/>
        <v>1.2608085578242347E-3</v>
      </c>
      <c r="AC81" s="66">
        <f t="shared" si="80"/>
        <v>1.2466950298238237E-3</v>
      </c>
    </row>
    <row r="82" spans="1:29" x14ac:dyDescent="0.25">
      <c r="A82" s="59" t="str">
        <f>A45</f>
        <v>Market failure (av. utilization)</v>
      </c>
      <c r="B82" s="66">
        <f t="shared" ref="B82:AC82" si="81">B71/B45-B71/B44</f>
        <v>4.5331909329826905E-3</v>
      </c>
      <c r="C82" s="66">
        <f t="shared" si="81"/>
        <v>4.5331909329826905E-3</v>
      </c>
      <c r="D82" s="66">
        <f t="shared" si="81"/>
        <v>4.5331909329826905E-3</v>
      </c>
      <c r="E82" s="66">
        <f t="shared" si="81"/>
        <v>4.5331909329826905E-3</v>
      </c>
      <c r="F82" s="66">
        <f t="shared" si="81"/>
        <v>4.5331909329826905E-3</v>
      </c>
      <c r="G82" s="66">
        <f t="shared" si="81"/>
        <v>4.5331909329826905E-3</v>
      </c>
      <c r="H82" s="66">
        <f t="shared" si="81"/>
        <v>4.5331909329826905E-3</v>
      </c>
      <c r="I82" s="66">
        <f t="shared" si="81"/>
        <v>4.5331909329826905E-3</v>
      </c>
      <c r="J82" s="66">
        <f t="shared" si="81"/>
        <v>4.547745508733117E-3</v>
      </c>
      <c r="K82" s="66">
        <f t="shared" si="81"/>
        <v>4.5623000844835417E-3</v>
      </c>
      <c r="L82" s="66">
        <f t="shared" si="81"/>
        <v>4.5768546602339664E-3</v>
      </c>
      <c r="M82" s="66">
        <f t="shared" si="81"/>
        <v>4.5914092359843912E-3</v>
      </c>
      <c r="N82" s="66">
        <f t="shared" si="81"/>
        <v>4.6059638117348142E-3</v>
      </c>
      <c r="O82" s="66">
        <f t="shared" si="81"/>
        <v>4.5980249522345838E-3</v>
      </c>
      <c r="P82" s="66">
        <f t="shared" si="81"/>
        <v>4.5900860927343533E-3</v>
      </c>
      <c r="Q82" s="66">
        <f t="shared" si="81"/>
        <v>4.5821472332341195E-3</v>
      </c>
      <c r="R82" s="66">
        <f t="shared" si="81"/>
        <v>4.5742083737338891E-3</v>
      </c>
      <c r="S82" s="66">
        <f t="shared" si="81"/>
        <v>4.5662695142336569E-3</v>
      </c>
      <c r="T82" s="66">
        <f t="shared" si="81"/>
        <v>4.5583306547334248E-3</v>
      </c>
      <c r="U82" s="66">
        <f t="shared" si="81"/>
        <v>4.5503917952331926E-3</v>
      </c>
      <c r="V82" s="66">
        <f t="shared" si="81"/>
        <v>4.5424529357329622E-3</v>
      </c>
      <c r="W82" s="66">
        <f t="shared" si="81"/>
        <v>4.5345140762327301E-3</v>
      </c>
      <c r="X82" s="66">
        <f t="shared" si="81"/>
        <v>4.5265752167324997E-3</v>
      </c>
      <c r="Y82" s="66">
        <f t="shared" si="81"/>
        <v>4.5186363572322658E-3</v>
      </c>
      <c r="Z82" s="66">
        <f t="shared" si="81"/>
        <v>4.5106974977320354E-3</v>
      </c>
      <c r="AA82" s="66">
        <f t="shared" si="81"/>
        <v>4.502758638231805E-3</v>
      </c>
      <c r="AB82" s="66">
        <f t="shared" si="81"/>
        <v>4.4948197787315711E-3</v>
      </c>
      <c r="AC82" s="66">
        <f t="shared" si="81"/>
        <v>4.4868809192313425E-3</v>
      </c>
    </row>
    <row r="83" spans="1:29" x14ac:dyDescent="0.25">
      <c r="A83" s="59" t="str">
        <f>A46</f>
        <v>Payload loss (fuel)</v>
      </c>
      <c r="B83" s="66">
        <f>B71/(B44-B46)-B71/B44</f>
        <v>0</v>
      </c>
      <c r="C83" s="66">
        <f t="shared" ref="C83:AC83" si="82">C71/(C44-C46)-C71/C44</f>
        <v>0</v>
      </c>
      <c r="D83" s="66">
        <f t="shared" si="82"/>
        <v>0</v>
      </c>
      <c r="E83" s="66">
        <f t="shared" si="82"/>
        <v>0</v>
      </c>
      <c r="F83" s="66">
        <f t="shared" si="82"/>
        <v>0</v>
      </c>
      <c r="G83" s="66">
        <f t="shared" si="82"/>
        <v>0</v>
      </c>
      <c r="H83" s="66">
        <f t="shared" si="82"/>
        <v>0</v>
      </c>
      <c r="I83" s="66">
        <f t="shared" si="82"/>
        <v>0</v>
      </c>
      <c r="J83" s="66">
        <f t="shared" si="82"/>
        <v>0</v>
      </c>
      <c r="K83" s="66">
        <f t="shared" si="82"/>
        <v>0</v>
      </c>
      <c r="L83" s="66">
        <f t="shared" si="82"/>
        <v>0</v>
      </c>
      <c r="M83" s="66">
        <f t="shared" si="82"/>
        <v>0</v>
      </c>
      <c r="N83" s="66">
        <f t="shared" si="82"/>
        <v>0</v>
      </c>
      <c r="O83" s="66">
        <f t="shared" si="82"/>
        <v>0</v>
      </c>
      <c r="P83" s="66">
        <f t="shared" si="82"/>
        <v>0</v>
      </c>
      <c r="Q83" s="66">
        <f t="shared" si="82"/>
        <v>0</v>
      </c>
      <c r="R83" s="66">
        <f t="shared" si="82"/>
        <v>0</v>
      </c>
      <c r="S83" s="66">
        <f t="shared" si="82"/>
        <v>0</v>
      </c>
      <c r="T83" s="66">
        <f t="shared" si="82"/>
        <v>0</v>
      </c>
      <c r="U83" s="66">
        <f t="shared" si="82"/>
        <v>0</v>
      </c>
      <c r="V83" s="66">
        <f t="shared" si="82"/>
        <v>0</v>
      </c>
      <c r="W83" s="66">
        <f t="shared" si="82"/>
        <v>0</v>
      </c>
      <c r="X83" s="66">
        <f t="shared" si="82"/>
        <v>0</v>
      </c>
      <c r="Y83" s="66">
        <f t="shared" si="82"/>
        <v>0</v>
      </c>
      <c r="Z83" s="66">
        <f t="shared" si="82"/>
        <v>0</v>
      </c>
      <c r="AA83" s="66">
        <f t="shared" si="82"/>
        <v>0</v>
      </c>
      <c r="AB83" s="66">
        <f t="shared" si="82"/>
        <v>0</v>
      </c>
      <c r="AC83" s="66">
        <f t="shared" si="82"/>
        <v>0</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210</v>
      </c>
      <c r="B85" s="76">
        <f>B74+B75+B76+B77+B78+B79+B80+B81+B82+B83+B84</f>
        <v>1.2515885154245758E-2</v>
      </c>
      <c r="C85" s="76">
        <f t="shared" ref="C85:AC85" si="84">C74+C75+C76+C77+C78+C79+C80+C81+C82+C83+C84</f>
        <v>1.2515885154245758E-2</v>
      </c>
      <c r="D85" s="76">
        <f t="shared" si="84"/>
        <v>1.2515885154245758E-2</v>
      </c>
      <c r="E85" s="76">
        <f t="shared" si="84"/>
        <v>1.2515885154245758E-2</v>
      </c>
      <c r="F85" s="76">
        <f t="shared" si="84"/>
        <v>1.2515885154245758E-2</v>
      </c>
      <c r="G85" s="76">
        <f t="shared" si="84"/>
        <v>1.2515885154245758E-2</v>
      </c>
      <c r="H85" s="76">
        <f t="shared" si="84"/>
        <v>1.2515885154245758E-2</v>
      </c>
      <c r="I85" s="76">
        <f t="shared" si="84"/>
        <v>1.2515885154245758E-2</v>
      </c>
      <c r="J85" s="76">
        <f t="shared" si="84"/>
        <v>1.2556314531330272E-2</v>
      </c>
      <c r="K85" s="76">
        <f t="shared" si="84"/>
        <v>1.2596743908414785E-2</v>
      </c>
      <c r="L85" s="76">
        <f t="shared" si="84"/>
        <v>1.2637173285499299E-2</v>
      </c>
      <c r="M85" s="76">
        <f t="shared" si="84"/>
        <v>1.2677602662583812E-2</v>
      </c>
      <c r="N85" s="76">
        <f t="shared" si="84"/>
        <v>1.2718032039668323E-2</v>
      </c>
      <c r="O85" s="76">
        <f t="shared" si="84"/>
        <v>1.2695979652167681E-2</v>
      </c>
      <c r="P85" s="76">
        <f t="shared" si="84"/>
        <v>1.2673927264667038E-2</v>
      </c>
      <c r="Q85" s="76">
        <f t="shared" si="84"/>
        <v>1.2651874877166392E-2</v>
      </c>
      <c r="R85" s="76">
        <f t="shared" si="84"/>
        <v>1.262982248966575E-2</v>
      </c>
      <c r="S85" s="76">
        <f t="shared" si="84"/>
        <v>1.2607770102165107E-2</v>
      </c>
      <c r="T85" s="76">
        <f t="shared" si="84"/>
        <v>1.2585717714664463E-2</v>
      </c>
      <c r="U85" s="76">
        <f t="shared" si="84"/>
        <v>1.2563665327163819E-2</v>
      </c>
      <c r="V85" s="76">
        <f t="shared" si="84"/>
        <v>1.2541612939663176E-2</v>
      </c>
      <c r="W85" s="76">
        <f t="shared" si="84"/>
        <v>1.2519560552162532E-2</v>
      </c>
      <c r="X85" s="76">
        <f t="shared" si="84"/>
        <v>1.2497508164661891E-2</v>
      </c>
      <c r="Y85" s="76">
        <f t="shared" si="84"/>
        <v>1.2475455777161245E-2</v>
      </c>
      <c r="Z85" s="76">
        <f t="shared" si="84"/>
        <v>1.2453403389660602E-2</v>
      </c>
      <c r="AA85" s="76">
        <f t="shared" si="84"/>
        <v>1.243135100215996E-2</v>
      </c>
      <c r="AB85" s="76">
        <f t="shared" si="84"/>
        <v>1.2409298614659314E-2</v>
      </c>
      <c r="AC85" s="76">
        <f t="shared" si="84"/>
        <v>1.2387246227158675E-2</v>
      </c>
    </row>
    <row r="87" spans="1:29" x14ac:dyDescent="0.25">
      <c r="B87" s="40"/>
    </row>
    <row r="107" spans="1:2" s="3" customFormat="1" ht="21" x14ac:dyDescent="0.35">
      <c r="A107" s="2" t="str">
        <f>'Parameter Input'!A158</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Input'!$L$159</f>
        <v>5000000</v>
      </c>
      <c r="C117" s="42">
        <f>'Parameter Input'!$M$159</f>
        <v>5000000</v>
      </c>
      <c r="D117" s="1" t="s">
        <v>15</v>
      </c>
      <c r="L117" s="51">
        <f>'Parameter Input'!$O$159</f>
        <v>12</v>
      </c>
      <c r="M117" s="52">
        <v>0</v>
      </c>
      <c r="N117" s="52">
        <v>1</v>
      </c>
      <c r="O117" s="52">
        <f>'Parameter Input'!$P$159</f>
        <v>0.9</v>
      </c>
      <c r="P117" s="53">
        <f>'Parameter Input'!$Q$159</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28</v>
      </c>
      <c r="B118" s="60">
        <f>'Parameter Input'!$L$160</f>
        <v>-750000</v>
      </c>
      <c r="C118" s="61">
        <f>'Parameter Input'!$M$160</f>
        <v>-750000</v>
      </c>
      <c r="D118" s="1" t="s">
        <v>15</v>
      </c>
      <c r="L118" s="54">
        <f>'Parameter Input'!$O$160</f>
        <v>12</v>
      </c>
      <c r="M118" s="37">
        <v>0</v>
      </c>
      <c r="N118" s="37">
        <v>1</v>
      </c>
      <c r="O118" s="37">
        <f>'Parameter Input'!$P$160</f>
        <v>0.9</v>
      </c>
      <c r="P118" s="55">
        <f>'Parameter Input'!$Q$160</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79</v>
      </c>
      <c r="B121" s="45">
        <f>'Parameter Input'!$L$166</f>
        <v>0.06</v>
      </c>
      <c r="C121" s="46">
        <f>'Parameter Input'!$M$166</f>
        <v>0.06</v>
      </c>
      <c r="D121" s="1" t="s">
        <v>57</v>
      </c>
      <c r="L121" s="54">
        <f>'Parameter Input'!$O$166</f>
        <v>12</v>
      </c>
      <c r="M121" s="37">
        <v>0</v>
      </c>
      <c r="N121" s="37">
        <v>1</v>
      </c>
      <c r="O121" s="37">
        <f>'Parameter Input'!$P$166</f>
        <v>0.9</v>
      </c>
      <c r="P121" s="55">
        <f>'Parameter Input'!$Q$166</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52</v>
      </c>
      <c r="B123" s="43">
        <f>'Parameter Input'!$L$162</f>
        <v>650000</v>
      </c>
      <c r="C123" s="44">
        <f>'Parameter Input'!$M$162</f>
        <v>650000</v>
      </c>
      <c r="D123" s="1" t="s">
        <v>38</v>
      </c>
      <c r="L123" s="54">
        <f>'Parameter Input'!$O$162</f>
        <v>12</v>
      </c>
      <c r="M123" s="37">
        <v>0</v>
      </c>
      <c r="N123" s="37">
        <v>1</v>
      </c>
      <c r="O123" s="37">
        <f>'Parameter Input'!$P$162</f>
        <v>0.9</v>
      </c>
      <c r="P123" s="55">
        <f>'Parameter Input'!$Q$162</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59</v>
      </c>
      <c r="B125" s="47">
        <f>'Parameter Input'!$L$163</f>
        <v>31.614305882352937</v>
      </c>
      <c r="C125" s="48">
        <f>'Parameter Input'!$M$163</f>
        <v>31.614305882352937</v>
      </c>
      <c r="D125" s="1" t="s">
        <v>60</v>
      </c>
      <c r="L125" s="54">
        <f>'Parameter Input'!$O$163</f>
        <v>12</v>
      </c>
      <c r="M125" s="37">
        <v>0</v>
      </c>
      <c r="N125" s="37">
        <v>1</v>
      </c>
      <c r="O125" s="37">
        <f>'Parameter Input'!$P$163</f>
        <v>0.9</v>
      </c>
      <c r="P125" s="55">
        <f>'Parameter Input'!$Q$163</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67</v>
      </c>
      <c r="B126" s="45">
        <f>'Parameter Input'!$L$164</f>
        <v>0.13371034051801745</v>
      </c>
      <c r="C126" s="46">
        <f>'Parameter Input'!$M$164</f>
        <v>8.7585019329602734E-2</v>
      </c>
      <c r="D126" s="1" t="s">
        <v>68</v>
      </c>
      <c r="L126" s="54">
        <f>'Parameter Input'!$O$164</f>
        <v>12</v>
      </c>
      <c r="M126" s="37">
        <v>0</v>
      </c>
      <c r="N126" s="37">
        <v>1</v>
      </c>
      <c r="O126" s="37">
        <f>'Parameter Input'!$P$164</f>
        <v>0.9</v>
      </c>
      <c r="P126" s="55">
        <f>'Parameter Input'!$Q$164</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206</v>
      </c>
      <c r="B127" s="115">
        <f>'Parameter Input'!$L$167</f>
        <v>0</v>
      </c>
      <c r="C127" s="116">
        <f>'Parameter Input'!$M$167</f>
        <v>0</v>
      </c>
      <c r="D127" s="1" t="s">
        <v>76</v>
      </c>
      <c r="L127" s="54">
        <f>'Parameter Input'!$O$167</f>
        <v>17</v>
      </c>
      <c r="M127" s="37">
        <v>0</v>
      </c>
      <c r="N127" s="37">
        <v>1</v>
      </c>
      <c r="O127" s="37">
        <f>'Parameter Input'!$P$167</f>
        <v>0.9</v>
      </c>
      <c r="P127" s="55">
        <f>'Parameter Input'!$Q$167</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41</v>
      </c>
      <c r="B128" s="43">
        <f>'Parameter Input'!$L$161</f>
        <v>20</v>
      </c>
      <c r="C128" s="44">
        <f>'Parameter Input'!$M$161</f>
        <v>20</v>
      </c>
      <c r="D128" s="1" t="s">
        <v>42</v>
      </c>
      <c r="L128" s="54">
        <f>'Parameter Input'!$O$161</f>
        <v>12</v>
      </c>
      <c r="M128" s="37">
        <v>0</v>
      </c>
      <c r="N128" s="37">
        <v>1</v>
      </c>
      <c r="O128" s="37">
        <f>'Parameter Input'!$P$161</f>
        <v>0.9</v>
      </c>
      <c r="P128" s="55">
        <f>'Parameter Input'!$Q$161</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73</v>
      </c>
      <c r="B132" s="72">
        <f>'Parameter Input'!$L$165</f>
        <v>0</v>
      </c>
      <c r="C132" s="73">
        <f>'Parameter Input'!$M$165</f>
        <v>0</v>
      </c>
      <c r="D132" s="1" t="s">
        <v>57</v>
      </c>
      <c r="L132" s="54">
        <f>'Parameter Input'!$O$165</f>
        <v>12</v>
      </c>
      <c r="M132" s="37">
        <v>0</v>
      </c>
      <c r="N132" s="37">
        <v>1</v>
      </c>
      <c r="O132" s="37">
        <f>'Parameter Input'!$P$165</f>
        <v>0.9</v>
      </c>
      <c r="P132" s="55">
        <f>'Parameter Input'!$Q$165</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5000000</v>
      </c>
      <c r="C137" s="62">
        <f t="shared" ref="C137:C145" si="92">$B117+($C117-$B117)*(1-R117)</f>
        <v>5000000</v>
      </c>
      <c r="D137" s="62">
        <f t="shared" ref="D137:D145" si="93">$B117+($C117-$B117)*(1-S117)</f>
        <v>5000000</v>
      </c>
      <c r="E137" s="62">
        <f t="shared" ref="E137:E145" si="94">$B117+($C117-$B117)*(1-T117)</f>
        <v>5000000</v>
      </c>
      <c r="F137" s="62">
        <f t="shared" ref="F137:F145" si="95">$B117+($C117-$B117)*(1-U117)</f>
        <v>5000000</v>
      </c>
      <c r="G137" s="62">
        <f t="shared" ref="G137:G145" si="96">$B117+($C117-$B117)*(1-V117)</f>
        <v>5000000</v>
      </c>
      <c r="H137" s="62">
        <f t="shared" ref="H137:H145" si="97">$B117+($C117-$B117)*(1-W117)</f>
        <v>5000000</v>
      </c>
      <c r="I137" s="62">
        <f t="shared" ref="I137:I145" si="98">$B117+($C117-$B117)*(1-X117)</f>
        <v>5000000</v>
      </c>
      <c r="J137" s="62">
        <f t="shared" ref="J137:J145" si="99">$B117+($C117-$B117)*(1-Y117)</f>
        <v>5000000</v>
      </c>
      <c r="K137" s="62">
        <f t="shared" ref="K137:K145" si="100">$B117+($C117-$B117)*(1-Z117)</f>
        <v>5000000</v>
      </c>
      <c r="L137" s="62">
        <f t="shared" ref="L137:L145" si="101">$B117+($C117-$B117)*(1-AA117)</f>
        <v>5000000</v>
      </c>
      <c r="M137" s="62">
        <f t="shared" ref="M137:M145" si="102">$B117+($C117-$B117)*(1-AB117)</f>
        <v>5000000</v>
      </c>
      <c r="N137" s="62">
        <f t="shared" ref="N137:N145" si="103">$B117+($C117-$B117)*(1-AC117)</f>
        <v>5000000</v>
      </c>
      <c r="O137" s="62">
        <f t="shared" ref="O137:O145" si="104">$B117+($C117-$B117)*(1-AD117)</f>
        <v>5000000</v>
      </c>
      <c r="P137" s="62">
        <f t="shared" ref="P137:P145" si="105">$B117+($C117-$B117)*(1-AE117)</f>
        <v>5000000</v>
      </c>
      <c r="Q137" s="62">
        <f t="shared" ref="Q137:Q145" si="106">$B117+($C117-$B117)*(1-AF117)</f>
        <v>5000000</v>
      </c>
      <c r="R137" s="62">
        <f t="shared" ref="R137:R145" si="107">$B117+($C117-$B117)*(1-AG117)</f>
        <v>5000000</v>
      </c>
      <c r="S137" s="62">
        <f t="shared" ref="S137:S145" si="108">$B117+($C117-$B117)*(1-AH117)</f>
        <v>5000000</v>
      </c>
      <c r="T137" s="62">
        <f t="shared" ref="T137:T145" si="109">$B117+($C117-$B117)*(1-AI117)</f>
        <v>5000000</v>
      </c>
      <c r="U137" s="62">
        <f t="shared" ref="U137:U145" si="110">$B117+($C117-$B117)*(1-AJ117)</f>
        <v>5000000</v>
      </c>
      <c r="V137" s="62">
        <f t="shared" ref="V137:V145" si="111">$B117+($C117-$B117)*(1-AK117)</f>
        <v>5000000</v>
      </c>
      <c r="W137" s="62">
        <f t="shared" ref="W137:W145" si="112">$B117+($C117-$B117)*(1-AL117)</f>
        <v>5000000</v>
      </c>
      <c r="X137" s="62">
        <f t="shared" ref="X137:X145" si="113">$B117+($C117-$B117)*(1-AM117)</f>
        <v>5000000</v>
      </c>
      <c r="Y137" s="62">
        <f t="shared" ref="Y137:Y145" si="114">$B117+($C117-$B117)*(1-AN117)</f>
        <v>5000000</v>
      </c>
      <c r="Z137" s="62">
        <f t="shared" ref="Z137:Z145" si="115">$B117+($C117-$B117)*(1-AO117)</f>
        <v>5000000</v>
      </c>
      <c r="AA137" s="62">
        <f t="shared" ref="AA137:AA145" si="116">$B117+($C117-$B117)*(1-AP117)</f>
        <v>5000000</v>
      </c>
      <c r="AB137" s="62">
        <f t="shared" ref="AB137:AB145" si="117">$B117+($C117-$B117)*(1-AQ117)</f>
        <v>5000000</v>
      </c>
      <c r="AC137" s="62">
        <f t="shared" ref="AC137:AC145" si="118">$B117+($C117-$B117)*(1-AR117)</f>
        <v>5000000</v>
      </c>
    </row>
    <row r="138" spans="1:44" x14ac:dyDescent="0.25">
      <c r="A138" s="30" t="str">
        <f t="shared" si="90"/>
        <v>Residual value (vehicle)</v>
      </c>
      <c r="B138" s="62">
        <f t="shared" si="91"/>
        <v>-750000</v>
      </c>
      <c r="C138" s="62">
        <f t="shared" si="92"/>
        <v>-750000</v>
      </c>
      <c r="D138" s="62">
        <f t="shared" si="93"/>
        <v>-750000</v>
      </c>
      <c r="E138" s="62">
        <f t="shared" si="94"/>
        <v>-750000</v>
      </c>
      <c r="F138" s="62">
        <f t="shared" si="95"/>
        <v>-750000</v>
      </c>
      <c r="G138" s="62">
        <f t="shared" si="96"/>
        <v>-750000</v>
      </c>
      <c r="H138" s="62">
        <f t="shared" si="97"/>
        <v>-750000</v>
      </c>
      <c r="I138" s="62">
        <f t="shared" si="98"/>
        <v>-750000</v>
      </c>
      <c r="J138" s="62">
        <f t="shared" si="99"/>
        <v>-750000</v>
      </c>
      <c r="K138" s="62">
        <f t="shared" si="100"/>
        <v>-750000</v>
      </c>
      <c r="L138" s="62">
        <f t="shared" si="101"/>
        <v>-750000</v>
      </c>
      <c r="M138" s="62">
        <f t="shared" si="102"/>
        <v>-750000</v>
      </c>
      <c r="N138" s="62">
        <f t="shared" si="103"/>
        <v>-750000</v>
      </c>
      <c r="O138" s="62">
        <f t="shared" si="104"/>
        <v>-750000</v>
      </c>
      <c r="P138" s="62">
        <f t="shared" si="105"/>
        <v>-750000</v>
      </c>
      <c r="Q138" s="62">
        <f t="shared" si="106"/>
        <v>-750000</v>
      </c>
      <c r="R138" s="62">
        <f t="shared" si="107"/>
        <v>-750000</v>
      </c>
      <c r="S138" s="62">
        <f t="shared" si="108"/>
        <v>-750000</v>
      </c>
      <c r="T138" s="62">
        <f t="shared" si="109"/>
        <v>-750000</v>
      </c>
      <c r="U138" s="62">
        <f t="shared" si="110"/>
        <v>-750000</v>
      </c>
      <c r="V138" s="62">
        <f t="shared" si="111"/>
        <v>-750000</v>
      </c>
      <c r="W138" s="62">
        <f t="shared" si="112"/>
        <v>-750000</v>
      </c>
      <c r="X138" s="62">
        <f t="shared" si="113"/>
        <v>-750000</v>
      </c>
      <c r="Y138" s="62">
        <f t="shared" si="114"/>
        <v>-750000</v>
      </c>
      <c r="Z138" s="62">
        <f t="shared" si="115"/>
        <v>-750000</v>
      </c>
      <c r="AA138" s="62">
        <f t="shared" si="116"/>
        <v>-750000</v>
      </c>
      <c r="AB138" s="62">
        <f t="shared" si="117"/>
        <v>-750000</v>
      </c>
      <c r="AC138" s="62">
        <f t="shared" si="118"/>
        <v>-750000</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650000</v>
      </c>
      <c r="C143" s="62">
        <f t="shared" si="92"/>
        <v>650000</v>
      </c>
      <c r="D143" s="62">
        <f t="shared" si="93"/>
        <v>650000</v>
      </c>
      <c r="E143" s="62">
        <f t="shared" si="94"/>
        <v>650000</v>
      </c>
      <c r="F143" s="62">
        <f t="shared" si="95"/>
        <v>650000</v>
      </c>
      <c r="G143" s="62">
        <f t="shared" si="96"/>
        <v>650000</v>
      </c>
      <c r="H143" s="62">
        <f t="shared" si="97"/>
        <v>650000</v>
      </c>
      <c r="I143" s="62">
        <f t="shared" si="98"/>
        <v>650000</v>
      </c>
      <c r="J143" s="62">
        <f t="shared" si="99"/>
        <v>650000</v>
      </c>
      <c r="K143" s="62">
        <f t="shared" si="100"/>
        <v>650000</v>
      </c>
      <c r="L143" s="62">
        <f t="shared" si="101"/>
        <v>650000</v>
      </c>
      <c r="M143" s="62">
        <f t="shared" si="102"/>
        <v>650000</v>
      </c>
      <c r="N143" s="62">
        <f t="shared" si="103"/>
        <v>650000</v>
      </c>
      <c r="O143" s="62">
        <f t="shared" si="104"/>
        <v>650000</v>
      </c>
      <c r="P143" s="62">
        <f t="shared" si="105"/>
        <v>650000</v>
      </c>
      <c r="Q143" s="62">
        <f t="shared" si="106"/>
        <v>650000</v>
      </c>
      <c r="R143" s="62">
        <f t="shared" si="107"/>
        <v>650000</v>
      </c>
      <c r="S143" s="62">
        <f t="shared" si="108"/>
        <v>650000</v>
      </c>
      <c r="T143" s="62">
        <f t="shared" si="109"/>
        <v>650000</v>
      </c>
      <c r="U143" s="62">
        <f t="shared" si="110"/>
        <v>650000</v>
      </c>
      <c r="V143" s="62">
        <f t="shared" si="111"/>
        <v>650000</v>
      </c>
      <c r="W143" s="62">
        <f t="shared" si="112"/>
        <v>650000</v>
      </c>
      <c r="X143" s="62">
        <f t="shared" si="113"/>
        <v>650000</v>
      </c>
      <c r="Y143" s="62">
        <f t="shared" si="114"/>
        <v>650000</v>
      </c>
      <c r="Z143" s="62">
        <f t="shared" si="115"/>
        <v>650000</v>
      </c>
      <c r="AA143" s="62">
        <f t="shared" si="116"/>
        <v>650000</v>
      </c>
      <c r="AB143" s="62">
        <f t="shared" si="117"/>
        <v>650000</v>
      </c>
      <c r="AC143" s="62">
        <f t="shared" si="118"/>
        <v>650000</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31.614305882352937</v>
      </c>
      <c r="C145" s="62">
        <f t="shared" si="92"/>
        <v>31.614305882352937</v>
      </c>
      <c r="D145" s="62">
        <f t="shared" si="93"/>
        <v>31.614305882352937</v>
      </c>
      <c r="E145" s="62">
        <f t="shared" si="94"/>
        <v>31.614305882352937</v>
      </c>
      <c r="F145" s="62">
        <f t="shared" si="95"/>
        <v>31.614305882352937</v>
      </c>
      <c r="G145" s="62">
        <f t="shared" si="96"/>
        <v>31.614305882352937</v>
      </c>
      <c r="H145" s="62">
        <f t="shared" si="97"/>
        <v>31.614305882352937</v>
      </c>
      <c r="I145" s="62">
        <f t="shared" si="98"/>
        <v>31.614305882352937</v>
      </c>
      <c r="J145" s="62">
        <f t="shared" si="99"/>
        <v>31.614305882352937</v>
      </c>
      <c r="K145" s="62">
        <f t="shared" si="100"/>
        <v>31.614305882352937</v>
      </c>
      <c r="L145" s="62">
        <f t="shared" si="101"/>
        <v>31.614305882352937</v>
      </c>
      <c r="M145" s="62">
        <f t="shared" si="102"/>
        <v>31.614305882352937</v>
      </c>
      <c r="N145" s="62">
        <f t="shared" si="103"/>
        <v>31.614305882352937</v>
      </c>
      <c r="O145" s="62">
        <f t="shared" si="104"/>
        <v>31.614305882352937</v>
      </c>
      <c r="P145" s="62">
        <f t="shared" si="105"/>
        <v>31.614305882352937</v>
      </c>
      <c r="Q145" s="62">
        <f t="shared" si="106"/>
        <v>31.614305882352937</v>
      </c>
      <c r="R145" s="62">
        <f t="shared" si="107"/>
        <v>31.614305882352937</v>
      </c>
      <c r="S145" s="62">
        <f t="shared" si="108"/>
        <v>31.614305882352937</v>
      </c>
      <c r="T145" s="62">
        <f t="shared" si="109"/>
        <v>31.614305882352937</v>
      </c>
      <c r="U145" s="62">
        <f t="shared" si="110"/>
        <v>31.614305882352937</v>
      </c>
      <c r="V145" s="62">
        <f t="shared" si="111"/>
        <v>31.614305882352937</v>
      </c>
      <c r="W145" s="62">
        <f t="shared" si="112"/>
        <v>31.614305882352937</v>
      </c>
      <c r="X145" s="62">
        <f t="shared" si="113"/>
        <v>31.614305882352937</v>
      </c>
      <c r="Y145" s="62">
        <f t="shared" si="114"/>
        <v>31.614305882352937</v>
      </c>
      <c r="Z145" s="62">
        <f t="shared" si="115"/>
        <v>31.614305882352937</v>
      </c>
      <c r="AA145" s="62">
        <f t="shared" si="116"/>
        <v>31.614305882352937</v>
      </c>
      <c r="AB145" s="62">
        <f t="shared" si="117"/>
        <v>31.614305882352937</v>
      </c>
      <c r="AC145" s="62">
        <f t="shared" si="118"/>
        <v>31.614305882352937</v>
      </c>
    </row>
    <row r="146" spans="1:29" x14ac:dyDescent="0.25">
      <c r="A146" s="30" t="str">
        <f t="shared" si="90"/>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9">A127</f>
        <v>Emission Cost</v>
      </c>
      <c r="B147" s="66">
        <f>$B127+($C127-$B127)*(1-Q127)</f>
        <v>0</v>
      </c>
      <c r="C147" s="66">
        <f t="shared" ref="C147" si="120">$B127+($C127-$B127)*(1-R127)</f>
        <v>0</v>
      </c>
      <c r="D147" s="66">
        <f t="shared" ref="D147" si="121">$B127+($C127-$B127)*(1-S127)</f>
        <v>0</v>
      </c>
      <c r="E147" s="66">
        <f t="shared" ref="E147" si="122">$B127+($C127-$B127)*(1-T127)</f>
        <v>0</v>
      </c>
      <c r="F147" s="66">
        <f t="shared" ref="F147" si="123">$B127+($C127-$B127)*(1-U127)</f>
        <v>0</v>
      </c>
      <c r="G147" s="66">
        <f t="shared" ref="G147" si="124">$B127+($C127-$B127)*(1-V127)</f>
        <v>0</v>
      </c>
      <c r="H147" s="66">
        <f t="shared" ref="H147" si="125">$B127+($C127-$B127)*(1-W127)</f>
        <v>0</v>
      </c>
      <c r="I147" s="66">
        <f t="shared" ref="I147" si="126">$B127+($C127-$B127)*(1-X127)</f>
        <v>0</v>
      </c>
      <c r="J147" s="66">
        <f t="shared" ref="J147" si="127">$B127+($C127-$B127)*(1-Y127)</f>
        <v>0</v>
      </c>
      <c r="K147" s="66">
        <f t="shared" ref="K147" si="128">$B127+($C127-$B127)*(1-Z127)</f>
        <v>0</v>
      </c>
      <c r="L147" s="66">
        <f t="shared" ref="L147" si="129">$B127+($C127-$B127)*(1-AA127)</f>
        <v>0</v>
      </c>
      <c r="M147" s="66">
        <f t="shared" ref="M147" si="130">$B127+($C127-$B127)*(1-AB127)</f>
        <v>0</v>
      </c>
      <c r="N147" s="66">
        <f t="shared" ref="N147" si="131">$B127+($C127-$B127)*(1-AC127)</f>
        <v>0</v>
      </c>
      <c r="O147" s="66">
        <f t="shared" ref="O147" si="132">$B127+($C127-$B127)*(1-AD127)</f>
        <v>0</v>
      </c>
      <c r="P147" s="66">
        <f t="shared" ref="P147" si="133">$B127+($C127-$B127)*(1-AE127)</f>
        <v>0</v>
      </c>
      <c r="Q147" s="66">
        <f t="shared" ref="Q147" si="134">$B127+($C127-$B127)*(1-AF127)</f>
        <v>0</v>
      </c>
      <c r="R147" s="66">
        <f t="shared" ref="R147" si="135">$B127+($C127-$B127)*(1-AG127)</f>
        <v>0</v>
      </c>
      <c r="S147" s="66">
        <f t="shared" ref="S147" si="136">$B127+($C127-$B127)*(1-AH127)</f>
        <v>0</v>
      </c>
      <c r="T147" s="66">
        <f t="shared" ref="T147" si="137">$B127+($C127-$B127)*(1-AI127)</f>
        <v>0</v>
      </c>
      <c r="U147" s="66">
        <f t="shared" ref="U147" si="138">$B127+($C127-$B127)*(1-AJ127)</f>
        <v>0</v>
      </c>
      <c r="V147" s="66">
        <f t="shared" ref="V147" si="139">$B127+($C127-$B127)*(1-AK127)</f>
        <v>0</v>
      </c>
      <c r="W147" s="66">
        <f t="shared" ref="W147" si="140">$B127+($C127-$B127)*(1-AL127)</f>
        <v>0</v>
      </c>
      <c r="X147" s="66">
        <f t="shared" ref="X147" si="141">$B127+($C127-$B127)*(1-AM127)</f>
        <v>0</v>
      </c>
      <c r="Y147" s="66">
        <f t="shared" ref="Y147" si="142">$B127+($C127-$B127)*(1-AN127)</f>
        <v>0</v>
      </c>
      <c r="Z147" s="66">
        <f t="shared" ref="Z147" si="143">$B127+($C127-$B127)*(1-AO127)</f>
        <v>0</v>
      </c>
      <c r="AA147" s="66">
        <f t="shared" ref="AA147" si="144">$B127+($C127-$B127)*(1-AP127)</f>
        <v>0</v>
      </c>
      <c r="AB147" s="66">
        <f t="shared" ref="AB147" si="145">$B127+($C127-$B127)*(1-AQ127)</f>
        <v>0</v>
      </c>
      <c r="AC147" s="66">
        <f t="shared" ref="AC147" si="146">$B127+($C127-$B127)*(1-AR127)</f>
        <v>0</v>
      </c>
    </row>
    <row r="148" spans="1:29" x14ac:dyDescent="0.25">
      <c r="A148" s="30" t="str">
        <f>A128</f>
        <v>Lifetime vehicle</v>
      </c>
      <c r="B148" s="62">
        <f>$B128+($C128-$B128)*(1-Q128)</f>
        <v>20</v>
      </c>
      <c r="C148" s="62">
        <f t="shared" ref="C148:L150" si="147">$B128+($C128-$B128)*(1-R128)</f>
        <v>20</v>
      </c>
      <c r="D148" s="62">
        <f t="shared" si="147"/>
        <v>20</v>
      </c>
      <c r="E148" s="62">
        <f t="shared" si="147"/>
        <v>20</v>
      </c>
      <c r="F148" s="62">
        <f t="shared" si="147"/>
        <v>20</v>
      </c>
      <c r="G148" s="62">
        <f t="shared" si="147"/>
        <v>20</v>
      </c>
      <c r="H148" s="62">
        <f t="shared" si="147"/>
        <v>20</v>
      </c>
      <c r="I148" s="62">
        <f t="shared" si="147"/>
        <v>20</v>
      </c>
      <c r="J148" s="62">
        <f t="shared" si="147"/>
        <v>20</v>
      </c>
      <c r="K148" s="62">
        <f t="shared" si="147"/>
        <v>20</v>
      </c>
      <c r="L148" s="62">
        <f t="shared" si="147"/>
        <v>20</v>
      </c>
      <c r="M148" s="62">
        <f t="shared" ref="M148:V150" si="148">$B128+($C128-$B128)*(1-AB128)</f>
        <v>20</v>
      </c>
      <c r="N148" s="62">
        <f t="shared" si="148"/>
        <v>20</v>
      </c>
      <c r="O148" s="62">
        <f t="shared" si="148"/>
        <v>20</v>
      </c>
      <c r="P148" s="62">
        <f t="shared" si="148"/>
        <v>20</v>
      </c>
      <c r="Q148" s="62">
        <f t="shared" si="148"/>
        <v>20</v>
      </c>
      <c r="R148" s="62">
        <f t="shared" si="148"/>
        <v>20</v>
      </c>
      <c r="S148" s="62">
        <f t="shared" si="148"/>
        <v>20</v>
      </c>
      <c r="T148" s="62">
        <f t="shared" si="148"/>
        <v>20</v>
      </c>
      <c r="U148" s="62">
        <f t="shared" si="148"/>
        <v>20</v>
      </c>
      <c r="V148" s="62">
        <f t="shared" si="148"/>
        <v>20</v>
      </c>
      <c r="W148" s="62">
        <f t="shared" ref="W148:AC150" si="149">$B128+($C128-$B128)*(1-AL128)</f>
        <v>20</v>
      </c>
      <c r="X148" s="62">
        <f t="shared" si="149"/>
        <v>20</v>
      </c>
      <c r="Y148" s="62">
        <f t="shared" si="149"/>
        <v>20</v>
      </c>
      <c r="Z148" s="62">
        <f t="shared" si="149"/>
        <v>20</v>
      </c>
      <c r="AA148" s="62">
        <f t="shared" si="149"/>
        <v>20</v>
      </c>
      <c r="AB148" s="62">
        <f t="shared" si="149"/>
        <v>20</v>
      </c>
      <c r="AC148" s="62">
        <f t="shared" si="149"/>
        <v>20</v>
      </c>
    </row>
    <row r="149" spans="1:29" x14ac:dyDescent="0.25">
      <c r="A149" s="30" t="str">
        <f>A129</f>
        <v>Lifetime costumization</v>
      </c>
      <c r="B149" s="62">
        <f>$B129+($C129-$B129)*(1-Q129)</f>
        <v>30</v>
      </c>
      <c r="C149" s="62">
        <f t="shared" si="147"/>
        <v>30</v>
      </c>
      <c r="D149" s="62">
        <f t="shared" si="147"/>
        <v>30</v>
      </c>
      <c r="E149" s="62">
        <f t="shared" si="147"/>
        <v>30</v>
      </c>
      <c r="F149" s="62">
        <f t="shared" si="147"/>
        <v>30</v>
      </c>
      <c r="G149" s="62">
        <f t="shared" si="147"/>
        <v>30</v>
      </c>
      <c r="H149" s="62">
        <f t="shared" si="147"/>
        <v>30</v>
      </c>
      <c r="I149" s="62">
        <f t="shared" si="147"/>
        <v>30</v>
      </c>
      <c r="J149" s="62">
        <f t="shared" si="147"/>
        <v>30</v>
      </c>
      <c r="K149" s="62">
        <f t="shared" si="147"/>
        <v>30</v>
      </c>
      <c r="L149" s="62">
        <f t="shared" si="147"/>
        <v>30</v>
      </c>
      <c r="M149" s="62">
        <f t="shared" si="148"/>
        <v>30</v>
      </c>
      <c r="N149" s="62">
        <f t="shared" si="148"/>
        <v>30</v>
      </c>
      <c r="O149" s="62">
        <f t="shared" si="148"/>
        <v>30</v>
      </c>
      <c r="P149" s="62">
        <f t="shared" si="148"/>
        <v>30</v>
      </c>
      <c r="Q149" s="62">
        <f t="shared" si="148"/>
        <v>30</v>
      </c>
      <c r="R149" s="62">
        <f t="shared" si="148"/>
        <v>30</v>
      </c>
      <c r="S149" s="62">
        <f t="shared" si="148"/>
        <v>30</v>
      </c>
      <c r="T149" s="62">
        <f t="shared" si="148"/>
        <v>30</v>
      </c>
      <c r="U149" s="62">
        <f t="shared" si="148"/>
        <v>30</v>
      </c>
      <c r="V149" s="62">
        <f t="shared" si="148"/>
        <v>30</v>
      </c>
      <c r="W149" s="62">
        <f t="shared" si="149"/>
        <v>30</v>
      </c>
      <c r="X149" s="62">
        <f t="shared" si="149"/>
        <v>30</v>
      </c>
      <c r="Y149" s="62">
        <f t="shared" si="149"/>
        <v>30</v>
      </c>
      <c r="Z149" s="62">
        <f t="shared" si="149"/>
        <v>30</v>
      </c>
      <c r="AA149" s="62">
        <f t="shared" si="149"/>
        <v>30</v>
      </c>
      <c r="AB149" s="62">
        <f t="shared" si="149"/>
        <v>30</v>
      </c>
      <c r="AC149" s="62">
        <f t="shared" si="149"/>
        <v>30</v>
      </c>
    </row>
    <row r="150" spans="1:29" x14ac:dyDescent="0.25">
      <c r="A150" s="30" t="str">
        <f>A130</f>
        <v>Tonnage .</v>
      </c>
      <c r="B150" s="62">
        <f>$B130+($C130-$B130)*(1-Q130)</f>
        <v>2240</v>
      </c>
      <c r="C150" s="62">
        <f t="shared" si="147"/>
        <v>2240</v>
      </c>
      <c r="D150" s="62">
        <f t="shared" si="147"/>
        <v>2240</v>
      </c>
      <c r="E150" s="62">
        <f t="shared" si="147"/>
        <v>2240</v>
      </c>
      <c r="F150" s="62">
        <f t="shared" si="147"/>
        <v>2240</v>
      </c>
      <c r="G150" s="62">
        <f t="shared" si="147"/>
        <v>2240</v>
      </c>
      <c r="H150" s="62">
        <f t="shared" si="147"/>
        <v>2240</v>
      </c>
      <c r="I150" s="62">
        <f t="shared" si="147"/>
        <v>2240</v>
      </c>
      <c r="J150" s="62">
        <f t="shared" si="147"/>
        <v>2240</v>
      </c>
      <c r="K150" s="62">
        <f t="shared" si="147"/>
        <v>2240</v>
      </c>
      <c r="L150" s="62">
        <f t="shared" si="147"/>
        <v>2240</v>
      </c>
      <c r="M150" s="62">
        <f t="shared" si="148"/>
        <v>2240</v>
      </c>
      <c r="N150" s="62">
        <f t="shared" si="148"/>
        <v>2240</v>
      </c>
      <c r="O150" s="62">
        <f t="shared" si="148"/>
        <v>2240</v>
      </c>
      <c r="P150" s="62">
        <f t="shared" si="148"/>
        <v>2240</v>
      </c>
      <c r="Q150" s="62">
        <f t="shared" si="148"/>
        <v>2240</v>
      </c>
      <c r="R150" s="62">
        <f t="shared" si="148"/>
        <v>2240</v>
      </c>
      <c r="S150" s="62">
        <f t="shared" si="148"/>
        <v>2240</v>
      </c>
      <c r="T150" s="62">
        <f t="shared" si="148"/>
        <v>2240</v>
      </c>
      <c r="U150" s="62">
        <f t="shared" si="148"/>
        <v>2240</v>
      </c>
      <c r="V150" s="62">
        <f t="shared" si="148"/>
        <v>2240</v>
      </c>
      <c r="W150" s="62">
        <f t="shared" si="149"/>
        <v>2240</v>
      </c>
      <c r="X150" s="62">
        <f t="shared" si="149"/>
        <v>2240</v>
      </c>
      <c r="Y150" s="62">
        <f t="shared" si="149"/>
        <v>2240</v>
      </c>
      <c r="Z150" s="62">
        <f t="shared" si="149"/>
        <v>2240</v>
      </c>
      <c r="AA150" s="62">
        <f t="shared" si="149"/>
        <v>2240</v>
      </c>
      <c r="AB150" s="62">
        <f t="shared" si="149"/>
        <v>2240</v>
      </c>
      <c r="AC150" s="62">
        <f t="shared" si="149"/>
        <v>2240</v>
      </c>
    </row>
    <row r="151" spans="1:29" x14ac:dyDescent="0.25">
      <c r="A151" s="30" t="str">
        <f>A131</f>
        <v>Market failure (av. utilization)</v>
      </c>
      <c r="B151" s="62">
        <f t="shared" ref="B151:K152" si="150">($B131+($C131-$B131)*(1-Q131))*B$44</f>
        <v>955.73333333333335</v>
      </c>
      <c r="C151" s="62">
        <f t="shared" si="150"/>
        <v>955.73333333333335</v>
      </c>
      <c r="D151" s="62">
        <f t="shared" si="150"/>
        <v>955.73333333333335</v>
      </c>
      <c r="E151" s="62">
        <f t="shared" si="150"/>
        <v>955.73333333333335</v>
      </c>
      <c r="F151" s="62">
        <f t="shared" si="150"/>
        <v>955.73333333333335</v>
      </c>
      <c r="G151" s="62">
        <f t="shared" si="150"/>
        <v>955.73333333333335</v>
      </c>
      <c r="H151" s="62">
        <f t="shared" si="150"/>
        <v>955.73333333333335</v>
      </c>
      <c r="I151" s="62">
        <f t="shared" si="150"/>
        <v>955.73333333333335</v>
      </c>
      <c r="J151" s="62">
        <f t="shared" si="150"/>
        <v>955.73333333333335</v>
      </c>
      <c r="K151" s="62">
        <f t="shared" si="150"/>
        <v>955.73333333333335</v>
      </c>
      <c r="L151" s="62">
        <f t="shared" ref="L151:U152" si="151">($B131+($C131-$B131)*(1-AA131))*L$44</f>
        <v>955.73333333333335</v>
      </c>
      <c r="M151" s="62">
        <f t="shared" si="151"/>
        <v>955.73333333333335</v>
      </c>
      <c r="N151" s="62">
        <f t="shared" si="151"/>
        <v>955.73333333333335</v>
      </c>
      <c r="O151" s="62">
        <f t="shared" si="151"/>
        <v>955.73333333333335</v>
      </c>
      <c r="P151" s="62">
        <f t="shared" si="151"/>
        <v>955.73333333333335</v>
      </c>
      <c r="Q151" s="62">
        <f t="shared" si="151"/>
        <v>955.73333333333335</v>
      </c>
      <c r="R151" s="62">
        <f t="shared" si="151"/>
        <v>955.73333333333335</v>
      </c>
      <c r="S151" s="62">
        <f t="shared" si="151"/>
        <v>955.73333333333335</v>
      </c>
      <c r="T151" s="62">
        <f t="shared" si="151"/>
        <v>955.73333333333335</v>
      </c>
      <c r="U151" s="62">
        <f t="shared" si="151"/>
        <v>955.73333333333335</v>
      </c>
      <c r="V151" s="62">
        <f t="shared" ref="V151:AC152" si="152">($B131+($C131-$B131)*(1-AK131))*V$44</f>
        <v>955.73333333333335</v>
      </c>
      <c r="W151" s="62">
        <f t="shared" si="152"/>
        <v>955.73333333333335</v>
      </c>
      <c r="X151" s="62">
        <f t="shared" si="152"/>
        <v>955.73333333333335</v>
      </c>
      <c r="Y151" s="62">
        <f t="shared" si="152"/>
        <v>955.73333333333335</v>
      </c>
      <c r="Z151" s="62">
        <f t="shared" si="152"/>
        <v>955.73333333333335</v>
      </c>
      <c r="AA151" s="62">
        <f t="shared" si="152"/>
        <v>955.73333333333335</v>
      </c>
      <c r="AB151" s="62">
        <f t="shared" si="152"/>
        <v>955.73333333333335</v>
      </c>
      <c r="AC151" s="62">
        <f t="shared" si="152"/>
        <v>955.73333333333335</v>
      </c>
    </row>
    <row r="152" spans="1:29" x14ac:dyDescent="0.25">
      <c r="A152" s="30" t="s">
        <v>73</v>
      </c>
      <c r="B152" s="62">
        <f t="shared" si="150"/>
        <v>0</v>
      </c>
      <c r="C152" s="62">
        <f t="shared" si="150"/>
        <v>0</v>
      </c>
      <c r="D152" s="62">
        <f t="shared" si="150"/>
        <v>0</v>
      </c>
      <c r="E152" s="62">
        <f t="shared" si="150"/>
        <v>0</v>
      </c>
      <c r="F152" s="62">
        <f t="shared" si="150"/>
        <v>0</v>
      </c>
      <c r="G152" s="62">
        <f t="shared" si="150"/>
        <v>0</v>
      </c>
      <c r="H152" s="62">
        <f t="shared" si="150"/>
        <v>0</v>
      </c>
      <c r="I152" s="62">
        <f t="shared" si="150"/>
        <v>0</v>
      </c>
      <c r="J152" s="62">
        <f t="shared" si="150"/>
        <v>0</v>
      </c>
      <c r="K152" s="62">
        <f t="shared" si="150"/>
        <v>0</v>
      </c>
      <c r="L152" s="62">
        <f t="shared" si="151"/>
        <v>0</v>
      </c>
      <c r="M152" s="62">
        <f t="shared" si="151"/>
        <v>0</v>
      </c>
      <c r="N152" s="62">
        <f t="shared" si="151"/>
        <v>0</v>
      </c>
      <c r="O152" s="62">
        <f t="shared" si="151"/>
        <v>0</v>
      </c>
      <c r="P152" s="62">
        <f t="shared" si="151"/>
        <v>0</v>
      </c>
      <c r="Q152" s="62">
        <f t="shared" si="151"/>
        <v>0</v>
      </c>
      <c r="R152" s="62">
        <f t="shared" si="151"/>
        <v>0</v>
      </c>
      <c r="S152" s="62">
        <f t="shared" si="151"/>
        <v>0</v>
      </c>
      <c r="T152" s="62">
        <f t="shared" si="151"/>
        <v>0</v>
      </c>
      <c r="U152" s="62">
        <f t="shared" si="151"/>
        <v>0</v>
      </c>
      <c r="V152" s="62">
        <f t="shared" si="152"/>
        <v>0</v>
      </c>
      <c r="W152" s="62">
        <f t="shared" si="152"/>
        <v>0</v>
      </c>
      <c r="X152" s="62">
        <f t="shared" si="152"/>
        <v>0</v>
      </c>
      <c r="Y152" s="62">
        <f t="shared" si="152"/>
        <v>0</v>
      </c>
      <c r="Z152" s="62">
        <f t="shared" si="152"/>
        <v>0</v>
      </c>
      <c r="AA152" s="62">
        <f t="shared" si="152"/>
        <v>0</v>
      </c>
      <c r="AB152" s="62">
        <f t="shared" si="152"/>
        <v>0</v>
      </c>
      <c r="AC152" s="62">
        <f t="shared" si="152"/>
        <v>0</v>
      </c>
    </row>
    <row r="153" spans="1:29" x14ac:dyDescent="0.25">
      <c r="A153" s="30" t="str">
        <f>A133</f>
        <v>Annual Mileage</v>
      </c>
      <c r="B153" s="62">
        <f t="shared" ref="B153:AC153" si="153">$B133+($C133-$B133)*(1-Q133)</f>
        <v>178500</v>
      </c>
      <c r="C153" s="62">
        <f t="shared" si="153"/>
        <v>178500</v>
      </c>
      <c r="D153" s="62">
        <f t="shared" si="153"/>
        <v>178500</v>
      </c>
      <c r="E153" s="62">
        <f t="shared" si="153"/>
        <v>178500</v>
      </c>
      <c r="F153" s="62">
        <f t="shared" si="153"/>
        <v>178500</v>
      </c>
      <c r="G153" s="62">
        <f t="shared" si="153"/>
        <v>178500</v>
      </c>
      <c r="H153" s="62">
        <f t="shared" si="153"/>
        <v>178500</v>
      </c>
      <c r="I153" s="62">
        <f t="shared" si="153"/>
        <v>178500</v>
      </c>
      <c r="J153" s="62">
        <f t="shared" si="153"/>
        <v>178500</v>
      </c>
      <c r="K153" s="62">
        <f t="shared" si="153"/>
        <v>178500</v>
      </c>
      <c r="L153" s="62">
        <f t="shared" si="153"/>
        <v>178500</v>
      </c>
      <c r="M153" s="62">
        <f t="shared" si="153"/>
        <v>178500</v>
      </c>
      <c r="N153" s="62">
        <f t="shared" si="153"/>
        <v>178500</v>
      </c>
      <c r="O153" s="62">
        <f t="shared" si="153"/>
        <v>178500</v>
      </c>
      <c r="P153" s="62">
        <f t="shared" si="153"/>
        <v>178500</v>
      </c>
      <c r="Q153" s="62">
        <f t="shared" si="153"/>
        <v>178500</v>
      </c>
      <c r="R153" s="62">
        <f t="shared" si="153"/>
        <v>178500</v>
      </c>
      <c r="S153" s="62">
        <f t="shared" si="153"/>
        <v>178500</v>
      </c>
      <c r="T153" s="62">
        <f t="shared" si="153"/>
        <v>178500</v>
      </c>
      <c r="U153" s="62">
        <f t="shared" si="153"/>
        <v>178500</v>
      </c>
      <c r="V153" s="62">
        <f t="shared" si="153"/>
        <v>178500</v>
      </c>
      <c r="W153" s="62">
        <f t="shared" si="153"/>
        <v>178500</v>
      </c>
      <c r="X153" s="62">
        <f t="shared" si="153"/>
        <v>178500</v>
      </c>
      <c r="Y153" s="62">
        <f t="shared" si="153"/>
        <v>178500</v>
      </c>
      <c r="Z153" s="62">
        <f t="shared" si="153"/>
        <v>178500</v>
      </c>
      <c r="AA153" s="62">
        <f t="shared" si="153"/>
        <v>178500</v>
      </c>
      <c r="AB153" s="62">
        <f t="shared" si="153"/>
        <v>178500</v>
      </c>
      <c r="AC153" s="62">
        <f t="shared" si="153"/>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4">((1+C141)^C148)*C141/(((1+C141)^C148)-1)*(C137)</f>
        <v>435922.78488425701</v>
      </c>
      <c r="D156" s="63">
        <f t="shared" si="154"/>
        <v>435922.78488425701</v>
      </c>
      <c r="E156" s="63">
        <f t="shared" si="154"/>
        <v>435922.78488425701</v>
      </c>
      <c r="F156" s="63">
        <f t="shared" si="154"/>
        <v>435922.78488425701</v>
      </c>
      <c r="G156" s="63">
        <f t="shared" si="154"/>
        <v>435922.78488425701</v>
      </c>
      <c r="H156" s="63">
        <f t="shared" si="154"/>
        <v>435922.78488425701</v>
      </c>
      <c r="I156" s="63">
        <f t="shared" si="154"/>
        <v>435922.78488425701</v>
      </c>
      <c r="J156" s="63">
        <f t="shared" si="154"/>
        <v>435922.78488425701</v>
      </c>
      <c r="K156" s="63">
        <f t="shared" si="154"/>
        <v>435922.78488425701</v>
      </c>
      <c r="L156" s="63">
        <f t="shared" si="154"/>
        <v>435922.78488425701</v>
      </c>
      <c r="M156" s="63">
        <f t="shared" si="154"/>
        <v>435922.78488425701</v>
      </c>
      <c r="N156" s="63">
        <f t="shared" si="154"/>
        <v>435922.78488425701</v>
      </c>
      <c r="O156" s="63">
        <f t="shared" si="154"/>
        <v>435922.78488425701</v>
      </c>
      <c r="P156" s="63">
        <f t="shared" si="154"/>
        <v>435922.78488425701</v>
      </c>
      <c r="Q156" s="63">
        <f t="shared" si="154"/>
        <v>435922.78488425701</v>
      </c>
      <c r="R156" s="63">
        <f t="shared" si="154"/>
        <v>435922.78488425701</v>
      </c>
      <c r="S156" s="63">
        <f t="shared" si="154"/>
        <v>435922.78488425701</v>
      </c>
      <c r="T156" s="63">
        <f t="shared" si="154"/>
        <v>435922.78488425701</v>
      </c>
      <c r="U156" s="63">
        <f t="shared" si="154"/>
        <v>435922.78488425701</v>
      </c>
      <c r="V156" s="63">
        <f t="shared" si="154"/>
        <v>435922.78488425701</v>
      </c>
      <c r="W156" s="63">
        <f t="shared" si="154"/>
        <v>435922.78488425701</v>
      </c>
      <c r="X156" s="63">
        <f t="shared" si="154"/>
        <v>435922.78488425701</v>
      </c>
      <c r="Y156" s="63">
        <f t="shared" si="154"/>
        <v>435922.78488425701</v>
      </c>
      <c r="Z156" s="63">
        <f t="shared" si="154"/>
        <v>435922.78488425701</v>
      </c>
      <c r="AA156" s="63">
        <f t="shared" si="154"/>
        <v>435922.78488425701</v>
      </c>
      <c r="AB156" s="63">
        <f t="shared" si="154"/>
        <v>435922.78488425701</v>
      </c>
      <c r="AC156" s="63">
        <f t="shared" si="154"/>
        <v>435922.78488425701</v>
      </c>
    </row>
    <row r="157" spans="1:29" x14ac:dyDescent="0.25">
      <c r="A157" s="30" t="str">
        <f>A138</f>
        <v>Residual value (vehicle)</v>
      </c>
      <c r="B157" s="62">
        <f>((1+B141)^B148)*B141/(((1+B141)^B148)-1)*(B138)</f>
        <v>-65388.417732638554</v>
      </c>
      <c r="C157" s="62">
        <f t="shared" ref="C157:AC157" si="155">((1+C141)^C148)*C141/(((1+C141)^C148)-1)*(C138)</f>
        <v>-65388.417732638554</v>
      </c>
      <c r="D157" s="62">
        <f t="shared" si="155"/>
        <v>-65388.417732638554</v>
      </c>
      <c r="E157" s="62">
        <f t="shared" si="155"/>
        <v>-65388.417732638554</v>
      </c>
      <c r="F157" s="62">
        <f t="shared" si="155"/>
        <v>-65388.417732638554</v>
      </c>
      <c r="G157" s="62">
        <f t="shared" si="155"/>
        <v>-65388.417732638554</v>
      </c>
      <c r="H157" s="62">
        <f t="shared" si="155"/>
        <v>-65388.417732638554</v>
      </c>
      <c r="I157" s="62">
        <f t="shared" si="155"/>
        <v>-65388.417732638554</v>
      </c>
      <c r="J157" s="62">
        <f t="shared" si="155"/>
        <v>-65388.417732638554</v>
      </c>
      <c r="K157" s="62">
        <f t="shared" si="155"/>
        <v>-65388.417732638554</v>
      </c>
      <c r="L157" s="62">
        <f t="shared" si="155"/>
        <v>-65388.417732638554</v>
      </c>
      <c r="M157" s="62">
        <f t="shared" si="155"/>
        <v>-65388.417732638554</v>
      </c>
      <c r="N157" s="62">
        <f t="shared" si="155"/>
        <v>-65388.417732638554</v>
      </c>
      <c r="O157" s="62">
        <f t="shared" si="155"/>
        <v>-65388.417732638554</v>
      </c>
      <c r="P157" s="62">
        <f t="shared" si="155"/>
        <v>-65388.417732638554</v>
      </c>
      <c r="Q157" s="62">
        <f t="shared" si="155"/>
        <v>-65388.417732638554</v>
      </c>
      <c r="R157" s="62">
        <f t="shared" si="155"/>
        <v>-65388.417732638554</v>
      </c>
      <c r="S157" s="62">
        <f t="shared" si="155"/>
        <v>-65388.417732638554</v>
      </c>
      <c r="T157" s="62">
        <f t="shared" si="155"/>
        <v>-65388.417732638554</v>
      </c>
      <c r="U157" s="62">
        <f t="shared" si="155"/>
        <v>-65388.417732638554</v>
      </c>
      <c r="V157" s="62">
        <f t="shared" si="155"/>
        <v>-65388.417732638554</v>
      </c>
      <c r="W157" s="62">
        <f t="shared" si="155"/>
        <v>-65388.417732638554</v>
      </c>
      <c r="X157" s="62">
        <f t="shared" si="155"/>
        <v>-65388.417732638554</v>
      </c>
      <c r="Y157" s="62">
        <f t="shared" si="155"/>
        <v>-65388.417732638554</v>
      </c>
      <c r="Z157" s="62">
        <f t="shared" si="155"/>
        <v>-65388.417732638554</v>
      </c>
      <c r="AA157" s="62">
        <f t="shared" si="155"/>
        <v>-65388.417732638554</v>
      </c>
      <c r="AB157" s="62">
        <f t="shared" si="155"/>
        <v>-65388.417732638554</v>
      </c>
      <c r="AC157" s="62">
        <f t="shared" si="155"/>
        <v>-65388.417732638554</v>
      </c>
    </row>
    <row r="158" spans="1:29" x14ac:dyDescent="0.25">
      <c r="A158" s="30" t="str">
        <f>A139</f>
        <v>Capex costumization</v>
      </c>
      <c r="B158" s="62">
        <f>((1+B141)^B149)*B141/(((1+B141)^B149)-1)*(B139)</f>
        <v>406833.9043442643</v>
      </c>
      <c r="C158" s="62">
        <f t="shared" ref="C158:AC158" si="156">((1+C141)^C149)*C141/(((1+C141)^C149)-1)*(C139)</f>
        <v>406833.9043442643</v>
      </c>
      <c r="D158" s="62">
        <f t="shared" si="156"/>
        <v>406833.9043442643</v>
      </c>
      <c r="E158" s="62">
        <f t="shared" si="156"/>
        <v>406833.9043442643</v>
      </c>
      <c r="F158" s="62">
        <f t="shared" si="156"/>
        <v>406833.9043442643</v>
      </c>
      <c r="G158" s="62">
        <f t="shared" si="156"/>
        <v>406833.9043442643</v>
      </c>
      <c r="H158" s="62">
        <f t="shared" si="156"/>
        <v>406833.9043442643</v>
      </c>
      <c r="I158" s="62">
        <f t="shared" si="156"/>
        <v>406833.9043442643</v>
      </c>
      <c r="J158" s="62">
        <f t="shared" si="156"/>
        <v>406833.9043442643</v>
      </c>
      <c r="K158" s="62">
        <f t="shared" si="156"/>
        <v>406833.9043442643</v>
      </c>
      <c r="L158" s="62">
        <f t="shared" si="156"/>
        <v>406833.9043442643</v>
      </c>
      <c r="M158" s="62">
        <f t="shared" si="156"/>
        <v>406833.9043442643</v>
      </c>
      <c r="N158" s="62">
        <f t="shared" si="156"/>
        <v>406833.9043442643</v>
      </c>
      <c r="O158" s="62">
        <f t="shared" si="156"/>
        <v>406833.9043442643</v>
      </c>
      <c r="P158" s="62">
        <f t="shared" si="156"/>
        <v>406833.9043442643</v>
      </c>
      <c r="Q158" s="62">
        <f t="shared" si="156"/>
        <v>406833.9043442643</v>
      </c>
      <c r="R158" s="62">
        <f t="shared" si="156"/>
        <v>406833.9043442643</v>
      </c>
      <c r="S158" s="62">
        <f t="shared" si="156"/>
        <v>406833.9043442643</v>
      </c>
      <c r="T158" s="62">
        <f t="shared" si="156"/>
        <v>406833.9043442643</v>
      </c>
      <c r="U158" s="62">
        <f t="shared" si="156"/>
        <v>406833.9043442643</v>
      </c>
      <c r="V158" s="62">
        <f t="shared" si="156"/>
        <v>406833.9043442643</v>
      </c>
      <c r="W158" s="62">
        <f t="shared" si="156"/>
        <v>406833.9043442643</v>
      </c>
      <c r="X158" s="62">
        <f t="shared" si="156"/>
        <v>406833.9043442643</v>
      </c>
      <c r="Y158" s="62">
        <f t="shared" si="156"/>
        <v>406833.9043442643</v>
      </c>
      <c r="Z158" s="62">
        <f t="shared" si="156"/>
        <v>406833.9043442643</v>
      </c>
      <c r="AA158" s="62">
        <f t="shared" si="156"/>
        <v>406833.9043442643</v>
      </c>
      <c r="AB158" s="62">
        <f t="shared" si="156"/>
        <v>406833.9043442643</v>
      </c>
      <c r="AC158" s="62">
        <f t="shared" si="156"/>
        <v>406833.9043442643</v>
      </c>
    </row>
    <row r="159" spans="1:29" x14ac:dyDescent="0.25">
      <c r="A159" s="30" t="str">
        <f>A140</f>
        <v>Residual value (costumization)</v>
      </c>
      <c r="B159" s="62">
        <f>((1+B141)^B149)*B141/(((1+B141)^B149)-1)*(B140)</f>
        <v>-20341.695217213215</v>
      </c>
      <c r="C159" s="62">
        <f t="shared" ref="C159:AC159" si="157">((1+C141)^C149)*C141/(((1+C141)^C149)-1)*(C140)</f>
        <v>-20341.695217213215</v>
      </c>
      <c r="D159" s="62">
        <f t="shared" si="157"/>
        <v>-20341.695217213215</v>
      </c>
      <c r="E159" s="62">
        <f t="shared" si="157"/>
        <v>-20341.695217213215</v>
      </c>
      <c r="F159" s="62">
        <f t="shared" si="157"/>
        <v>-20341.695217213215</v>
      </c>
      <c r="G159" s="62">
        <f t="shared" si="157"/>
        <v>-20341.695217213215</v>
      </c>
      <c r="H159" s="62">
        <f t="shared" si="157"/>
        <v>-20341.695217213215</v>
      </c>
      <c r="I159" s="62">
        <f t="shared" si="157"/>
        <v>-20341.695217213215</v>
      </c>
      <c r="J159" s="62">
        <f t="shared" si="157"/>
        <v>-20341.695217213215</v>
      </c>
      <c r="K159" s="62">
        <f t="shared" si="157"/>
        <v>-20341.695217213215</v>
      </c>
      <c r="L159" s="62">
        <f t="shared" si="157"/>
        <v>-20341.695217213215</v>
      </c>
      <c r="M159" s="62">
        <f t="shared" si="157"/>
        <v>-20341.695217213215</v>
      </c>
      <c r="N159" s="62">
        <f t="shared" si="157"/>
        <v>-20341.695217213215</v>
      </c>
      <c r="O159" s="62">
        <f t="shared" si="157"/>
        <v>-20341.695217213215</v>
      </c>
      <c r="P159" s="62">
        <f t="shared" si="157"/>
        <v>-20341.695217213215</v>
      </c>
      <c r="Q159" s="62">
        <f t="shared" si="157"/>
        <v>-20341.695217213215</v>
      </c>
      <c r="R159" s="62">
        <f t="shared" si="157"/>
        <v>-20341.695217213215</v>
      </c>
      <c r="S159" s="62">
        <f t="shared" si="157"/>
        <v>-20341.695217213215</v>
      </c>
      <c r="T159" s="62">
        <f t="shared" si="157"/>
        <v>-20341.695217213215</v>
      </c>
      <c r="U159" s="62">
        <f t="shared" si="157"/>
        <v>-20341.695217213215</v>
      </c>
      <c r="V159" s="62">
        <f t="shared" si="157"/>
        <v>-20341.695217213215</v>
      </c>
      <c r="W159" s="62">
        <f t="shared" si="157"/>
        <v>-20341.695217213215</v>
      </c>
      <c r="X159" s="62">
        <f t="shared" si="157"/>
        <v>-20341.695217213215</v>
      </c>
      <c r="Y159" s="62">
        <f t="shared" si="157"/>
        <v>-20341.695217213215</v>
      </c>
      <c r="Z159" s="62">
        <f t="shared" si="157"/>
        <v>-20341.695217213215</v>
      </c>
      <c r="AA159" s="62">
        <f t="shared" si="157"/>
        <v>-20341.695217213215</v>
      </c>
      <c r="AB159" s="62">
        <f t="shared" si="157"/>
        <v>-20341.695217213215</v>
      </c>
      <c r="AC159" s="62">
        <f t="shared" si="157"/>
        <v>-20341.695217213215</v>
      </c>
    </row>
    <row r="160" spans="1:29" x14ac:dyDescent="0.25">
      <c r="A160" s="30" t="str">
        <f t="shared" ref="A160:AC160" si="158">A142</f>
        <v>Opex fix (admin, crew, insurance)</v>
      </c>
      <c r="B160" s="62">
        <f t="shared" si="158"/>
        <v>620000</v>
      </c>
      <c r="C160" s="62">
        <f t="shared" si="158"/>
        <v>620000</v>
      </c>
      <c r="D160" s="62">
        <f t="shared" si="158"/>
        <v>620000</v>
      </c>
      <c r="E160" s="62">
        <f t="shared" si="158"/>
        <v>620000</v>
      </c>
      <c r="F160" s="62">
        <f t="shared" si="158"/>
        <v>620000</v>
      </c>
      <c r="G160" s="62">
        <f t="shared" si="158"/>
        <v>620000</v>
      </c>
      <c r="H160" s="62">
        <f t="shared" si="158"/>
        <v>620000</v>
      </c>
      <c r="I160" s="62">
        <f t="shared" si="158"/>
        <v>620000</v>
      </c>
      <c r="J160" s="62">
        <f t="shared" si="158"/>
        <v>620000</v>
      </c>
      <c r="K160" s="62">
        <f t="shared" si="158"/>
        <v>620000</v>
      </c>
      <c r="L160" s="62">
        <f t="shared" si="158"/>
        <v>620000</v>
      </c>
      <c r="M160" s="62">
        <f t="shared" si="158"/>
        <v>620000</v>
      </c>
      <c r="N160" s="62">
        <f t="shared" si="158"/>
        <v>620000</v>
      </c>
      <c r="O160" s="62">
        <f t="shared" si="158"/>
        <v>620000</v>
      </c>
      <c r="P160" s="62">
        <f t="shared" si="158"/>
        <v>620000</v>
      </c>
      <c r="Q160" s="62">
        <f t="shared" si="158"/>
        <v>620000</v>
      </c>
      <c r="R160" s="62">
        <f t="shared" si="158"/>
        <v>620000</v>
      </c>
      <c r="S160" s="62">
        <f t="shared" si="158"/>
        <v>620000</v>
      </c>
      <c r="T160" s="62">
        <f t="shared" si="158"/>
        <v>620000</v>
      </c>
      <c r="U160" s="62">
        <f t="shared" si="158"/>
        <v>620000</v>
      </c>
      <c r="V160" s="62">
        <f t="shared" si="158"/>
        <v>620000</v>
      </c>
      <c r="W160" s="62">
        <f t="shared" si="158"/>
        <v>620000</v>
      </c>
      <c r="X160" s="62">
        <f t="shared" si="158"/>
        <v>620000</v>
      </c>
      <c r="Y160" s="62">
        <f t="shared" si="158"/>
        <v>620000</v>
      </c>
      <c r="Z160" s="62">
        <f t="shared" si="158"/>
        <v>620000</v>
      </c>
      <c r="AA160" s="62">
        <f t="shared" si="158"/>
        <v>620000</v>
      </c>
      <c r="AB160" s="62">
        <f t="shared" si="158"/>
        <v>620000</v>
      </c>
      <c r="AC160" s="62">
        <f t="shared" si="158"/>
        <v>620000</v>
      </c>
    </row>
    <row r="161" spans="1:29" x14ac:dyDescent="0.25">
      <c r="A161" s="30" t="str">
        <f t="shared" ref="A161:AC161" si="159">A143</f>
        <v>Opex maintenance &amp; repair</v>
      </c>
      <c r="B161" s="62">
        <f t="shared" si="159"/>
        <v>650000</v>
      </c>
      <c r="C161" s="62">
        <f t="shared" si="159"/>
        <v>650000</v>
      </c>
      <c r="D161" s="62">
        <f t="shared" si="159"/>
        <v>650000</v>
      </c>
      <c r="E161" s="62">
        <f t="shared" si="159"/>
        <v>650000</v>
      </c>
      <c r="F161" s="62">
        <f t="shared" si="159"/>
        <v>650000</v>
      </c>
      <c r="G161" s="62">
        <f t="shared" si="159"/>
        <v>650000</v>
      </c>
      <c r="H161" s="62">
        <f t="shared" si="159"/>
        <v>650000</v>
      </c>
      <c r="I161" s="62">
        <f t="shared" si="159"/>
        <v>650000</v>
      </c>
      <c r="J161" s="62">
        <f t="shared" si="159"/>
        <v>650000</v>
      </c>
      <c r="K161" s="62">
        <f t="shared" si="159"/>
        <v>650000</v>
      </c>
      <c r="L161" s="62">
        <f t="shared" si="159"/>
        <v>650000</v>
      </c>
      <c r="M161" s="62">
        <f t="shared" si="159"/>
        <v>650000</v>
      </c>
      <c r="N161" s="62">
        <f t="shared" si="159"/>
        <v>650000</v>
      </c>
      <c r="O161" s="62">
        <f t="shared" si="159"/>
        <v>650000</v>
      </c>
      <c r="P161" s="62">
        <f t="shared" si="159"/>
        <v>650000</v>
      </c>
      <c r="Q161" s="62">
        <f t="shared" si="159"/>
        <v>650000</v>
      </c>
      <c r="R161" s="62">
        <f t="shared" si="159"/>
        <v>650000</v>
      </c>
      <c r="S161" s="62">
        <f t="shared" si="159"/>
        <v>650000</v>
      </c>
      <c r="T161" s="62">
        <f t="shared" si="159"/>
        <v>650000</v>
      </c>
      <c r="U161" s="62">
        <f t="shared" si="159"/>
        <v>650000</v>
      </c>
      <c r="V161" s="62">
        <f t="shared" si="159"/>
        <v>650000</v>
      </c>
      <c r="W161" s="62">
        <f t="shared" si="159"/>
        <v>650000</v>
      </c>
      <c r="X161" s="62">
        <f t="shared" si="159"/>
        <v>650000</v>
      </c>
      <c r="Y161" s="62">
        <f t="shared" si="159"/>
        <v>650000</v>
      </c>
      <c r="Z161" s="62">
        <f t="shared" si="159"/>
        <v>650000</v>
      </c>
      <c r="AA161" s="62">
        <f t="shared" si="159"/>
        <v>650000</v>
      </c>
      <c r="AB161" s="62">
        <f t="shared" si="159"/>
        <v>650000</v>
      </c>
      <c r="AC161" s="62">
        <f t="shared" si="159"/>
        <v>650000</v>
      </c>
    </row>
    <row r="162" spans="1:29" x14ac:dyDescent="0.25">
      <c r="A162" s="30" t="str">
        <f>A144</f>
        <v>Opex var (mode-fees, shunting)</v>
      </c>
      <c r="B162" s="62">
        <f>B144*B153</f>
        <v>650000</v>
      </c>
      <c r="C162" s="62">
        <f t="shared" ref="C162:AC162" si="160">C144*C153</f>
        <v>650000</v>
      </c>
      <c r="D162" s="62">
        <f t="shared" si="160"/>
        <v>650000</v>
      </c>
      <c r="E162" s="62">
        <f t="shared" si="160"/>
        <v>650000</v>
      </c>
      <c r="F162" s="62">
        <f t="shared" si="160"/>
        <v>650000</v>
      </c>
      <c r="G162" s="62">
        <f t="shared" si="160"/>
        <v>650000</v>
      </c>
      <c r="H162" s="62">
        <f t="shared" si="160"/>
        <v>650000</v>
      </c>
      <c r="I162" s="62">
        <f t="shared" si="160"/>
        <v>650000</v>
      </c>
      <c r="J162" s="62">
        <f t="shared" si="160"/>
        <v>650000</v>
      </c>
      <c r="K162" s="62">
        <f t="shared" si="160"/>
        <v>650000</v>
      </c>
      <c r="L162" s="62">
        <f t="shared" si="160"/>
        <v>650000</v>
      </c>
      <c r="M162" s="62">
        <f t="shared" si="160"/>
        <v>650000</v>
      </c>
      <c r="N162" s="62">
        <f t="shared" si="160"/>
        <v>650000</v>
      </c>
      <c r="O162" s="62">
        <f t="shared" si="160"/>
        <v>650000</v>
      </c>
      <c r="P162" s="62">
        <f t="shared" si="160"/>
        <v>650000</v>
      </c>
      <c r="Q162" s="62">
        <f t="shared" si="160"/>
        <v>650000</v>
      </c>
      <c r="R162" s="62">
        <f t="shared" si="160"/>
        <v>650000</v>
      </c>
      <c r="S162" s="62">
        <f t="shared" si="160"/>
        <v>650000</v>
      </c>
      <c r="T162" s="62">
        <f t="shared" si="160"/>
        <v>650000</v>
      </c>
      <c r="U162" s="62">
        <f t="shared" si="160"/>
        <v>650000</v>
      </c>
      <c r="V162" s="62">
        <f t="shared" si="160"/>
        <v>650000</v>
      </c>
      <c r="W162" s="62">
        <f t="shared" si="160"/>
        <v>650000</v>
      </c>
      <c r="X162" s="62">
        <f t="shared" si="160"/>
        <v>650000</v>
      </c>
      <c r="Y162" s="62">
        <f t="shared" si="160"/>
        <v>650000</v>
      </c>
      <c r="Z162" s="62">
        <f t="shared" si="160"/>
        <v>650000</v>
      </c>
      <c r="AA162" s="62">
        <f t="shared" si="160"/>
        <v>650000</v>
      </c>
      <c r="AB162" s="62">
        <f t="shared" si="160"/>
        <v>650000</v>
      </c>
      <c r="AC162" s="62">
        <f t="shared" si="160"/>
        <v>650000</v>
      </c>
    </row>
    <row r="163" spans="1:29" x14ac:dyDescent="0.25">
      <c r="A163" s="30" t="str">
        <f>A146</f>
        <v>Fuel Cost</v>
      </c>
      <c r="B163" s="62">
        <f>B145*B146*B153</f>
        <v>531396.93343291793</v>
      </c>
      <c r="C163" s="62">
        <f t="shared" ref="C163:AC163" si="161">C145*C146*C153</f>
        <v>531396.93343291793</v>
      </c>
      <c r="D163" s="62">
        <f t="shared" si="161"/>
        <v>531396.93343291793</v>
      </c>
      <c r="E163" s="62">
        <f t="shared" si="161"/>
        <v>531396.93343291793</v>
      </c>
      <c r="F163" s="62">
        <f t="shared" si="161"/>
        <v>531396.93343291793</v>
      </c>
      <c r="G163" s="62">
        <f t="shared" si="161"/>
        <v>531396.93343291793</v>
      </c>
      <c r="H163" s="62">
        <f t="shared" si="161"/>
        <v>531396.93343291793</v>
      </c>
      <c r="I163" s="62">
        <f t="shared" si="161"/>
        <v>531396.93343291793</v>
      </c>
      <c r="J163" s="62">
        <f t="shared" si="161"/>
        <v>541742.71399833972</v>
      </c>
      <c r="K163" s="62">
        <f t="shared" si="161"/>
        <v>552088.49456376163</v>
      </c>
      <c r="L163" s="62">
        <f t="shared" si="161"/>
        <v>562434.27512918354</v>
      </c>
      <c r="M163" s="62">
        <f t="shared" si="161"/>
        <v>572780.05569460534</v>
      </c>
      <c r="N163" s="62">
        <f t="shared" si="161"/>
        <v>583125.83626002714</v>
      </c>
      <c r="O163" s="62">
        <f t="shared" si="161"/>
        <v>577482.68322434241</v>
      </c>
      <c r="P163" s="62">
        <f t="shared" si="161"/>
        <v>571839.53018865781</v>
      </c>
      <c r="Q163" s="62">
        <f t="shared" si="161"/>
        <v>566196.37715297309</v>
      </c>
      <c r="R163" s="62">
        <f t="shared" si="161"/>
        <v>560553.22411728848</v>
      </c>
      <c r="S163" s="62">
        <f t="shared" si="161"/>
        <v>554910.07108160388</v>
      </c>
      <c r="T163" s="62">
        <f t="shared" si="161"/>
        <v>549266.91804591927</v>
      </c>
      <c r="U163" s="62">
        <f t="shared" si="161"/>
        <v>543623.76501023455</v>
      </c>
      <c r="V163" s="62">
        <f t="shared" si="161"/>
        <v>537980.61197454983</v>
      </c>
      <c r="W163" s="62">
        <f t="shared" si="161"/>
        <v>532337.45893886534</v>
      </c>
      <c r="X163" s="62">
        <f t="shared" si="161"/>
        <v>526694.30590318074</v>
      </c>
      <c r="Y163" s="62">
        <f t="shared" si="161"/>
        <v>521051.15286749613</v>
      </c>
      <c r="Z163" s="62">
        <f t="shared" si="161"/>
        <v>515407.99983181141</v>
      </c>
      <c r="AA163" s="62">
        <f t="shared" si="161"/>
        <v>509764.84679612675</v>
      </c>
      <c r="AB163" s="62">
        <f t="shared" si="161"/>
        <v>504121.69376044202</v>
      </c>
      <c r="AC163" s="62">
        <f t="shared" si="161"/>
        <v>498478.54072475765</v>
      </c>
    </row>
    <row r="164" spans="1:29" ht="15.75" thickBot="1" x14ac:dyDescent="0.3">
      <c r="A164" s="59" t="str">
        <f>A127</f>
        <v>Emission Cost</v>
      </c>
      <c r="B164" s="62">
        <f>B147*B153</f>
        <v>0</v>
      </c>
      <c r="C164" s="62">
        <f t="shared" ref="C164:AC164" si="162">C147*C153</f>
        <v>0</v>
      </c>
      <c r="D164" s="62">
        <f t="shared" si="162"/>
        <v>0</v>
      </c>
      <c r="E164" s="62">
        <f t="shared" si="162"/>
        <v>0</v>
      </c>
      <c r="F164" s="62">
        <f t="shared" si="162"/>
        <v>0</v>
      </c>
      <c r="G164" s="62">
        <f t="shared" si="162"/>
        <v>0</v>
      </c>
      <c r="H164" s="62">
        <f t="shared" si="162"/>
        <v>0</v>
      </c>
      <c r="I164" s="62">
        <f t="shared" si="162"/>
        <v>0</v>
      </c>
      <c r="J164" s="62">
        <f t="shared" si="162"/>
        <v>0</v>
      </c>
      <c r="K164" s="62">
        <f t="shared" si="162"/>
        <v>0</v>
      </c>
      <c r="L164" s="62">
        <f t="shared" si="162"/>
        <v>0</v>
      </c>
      <c r="M164" s="62">
        <f t="shared" si="162"/>
        <v>0</v>
      </c>
      <c r="N164" s="62">
        <f t="shared" si="162"/>
        <v>0</v>
      </c>
      <c r="O164" s="62">
        <f t="shared" si="162"/>
        <v>0</v>
      </c>
      <c r="P164" s="62">
        <f t="shared" si="162"/>
        <v>0</v>
      </c>
      <c r="Q164" s="62">
        <f t="shared" si="162"/>
        <v>0</v>
      </c>
      <c r="R164" s="62">
        <f t="shared" si="162"/>
        <v>0</v>
      </c>
      <c r="S164" s="62">
        <f t="shared" si="162"/>
        <v>0</v>
      </c>
      <c r="T164" s="62">
        <f t="shared" si="162"/>
        <v>0</v>
      </c>
      <c r="U164" s="62">
        <f t="shared" si="162"/>
        <v>0</v>
      </c>
      <c r="V164" s="62">
        <f t="shared" si="162"/>
        <v>0</v>
      </c>
      <c r="W164" s="62">
        <f t="shared" si="162"/>
        <v>0</v>
      </c>
      <c r="X164" s="62">
        <f t="shared" si="162"/>
        <v>0</v>
      </c>
      <c r="Y164" s="62">
        <f t="shared" si="162"/>
        <v>0</v>
      </c>
      <c r="Z164" s="62">
        <f t="shared" si="162"/>
        <v>0</v>
      </c>
      <c r="AA164" s="62">
        <f t="shared" si="162"/>
        <v>0</v>
      </c>
      <c r="AB164" s="62">
        <f t="shared" si="162"/>
        <v>0</v>
      </c>
      <c r="AC164" s="62">
        <f t="shared" si="162"/>
        <v>0</v>
      </c>
    </row>
    <row r="165" spans="1:29" ht="15.75" thickBot="1" x14ac:dyDescent="0.3">
      <c r="A165" s="31" t="s">
        <v>209</v>
      </c>
      <c r="B165" s="64">
        <f>B156+B157+B158+B159+B160+B161+B162+B163+B164</f>
        <v>3208423.5097115878</v>
      </c>
      <c r="C165" s="64">
        <f t="shared" ref="C165:AC165" si="163">C156+C157+C158+C159+C160+C161+C162+C163+C164</f>
        <v>3208423.5097115878</v>
      </c>
      <c r="D165" s="64">
        <f t="shared" si="163"/>
        <v>3208423.5097115878</v>
      </c>
      <c r="E165" s="64">
        <f t="shared" si="163"/>
        <v>3208423.5097115878</v>
      </c>
      <c r="F165" s="64">
        <f t="shared" si="163"/>
        <v>3208423.5097115878</v>
      </c>
      <c r="G165" s="64">
        <f t="shared" si="163"/>
        <v>3208423.5097115878</v>
      </c>
      <c r="H165" s="64">
        <f t="shared" si="163"/>
        <v>3208423.5097115878</v>
      </c>
      <c r="I165" s="64">
        <f t="shared" si="163"/>
        <v>3208423.5097115878</v>
      </c>
      <c r="J165" s="64">
        <f t="shared" si="163"/>
        <v>3218769.2902770094</v>
      </c>
      <c r="K165" s="64">
        <f t="shared" si="163"/>
        <v>3229115.0708424314</v>
      </c>
      <c r="L165" s="64">
        <f t="shared" si="163"/>
        <v>3239460.8514078534</v>
      </c>
      <c r="M165" s="64">
        <f t="shared" si="163"/>
        <v>3249806.631973275</v>
      </c>
      <c r="N165" s="64">
        <f t="shared" si="163"/>
        <v>3260152.412538697</v>
      </c>
      <c r="O165" s="64">
        <f t="shared" si="163"/>
        <v>3254509.2595030121</v>
      </c>
      <c r="P165" s="64">
        <f t="shared" si="163"/>
        <v>3248866.1064673276</v>
      </c>
      <c r="Q165" s="64">
        <f t="shared" si="163"/>
        <v>3243222.9534316426</v>
      </c>
      <c r="R165" s="64">
        <f t="shared" si="163"/>
        <v>3237579.8003959581</v>
      </c>
      <c r="S165" s="64">
        <f t="shared" si="163"/>
        <v>3231936.6473602736</v>
      </c>
      <c r="T165" s="64">
        <f t="shared" si="163"/>
        <v>3226293.4943245891</v>
      </c>
      <c r="U165" s="64">
        <f t="shared" si="163"/>
        <v>3220650.3412889042</v>
      </c>
      <c r="V165" s="64">
        <f t="shared" si="163"/>
        <v>3215007.1882532197</v>
      </c>
      <c r="W165" s="64">
        <f t="shared" si="163"/>
        <v>3209364.0352175352</v>
      </c>
      <c r="X165" s="64">
        <f t="shared" si="163"/>
        <v>3203720.8821818503</v>
      </c>
      <c r="Y165" s="64">
        <f t="shared" si="163"/>
        <v>3198077.7291461658</v>
      </c>
      <c r="Z165" s="64">
        <f t="shared" si="163"/>
        <v>3192434.5761104813</v>
      </c>
      <c r="AA165" s="64">
        <f t="shared" si="163"/>
        <v>3186791.4230747963</v>
      </c>
      <c r="AB165" s="64">
        <f t="shared" si="163"/>
        <v>3181148.2700391118</v>
      </c>
      <c r="AC165" s="64">
        <f t="shared" si="163"/>
        <v>3175505.1170034274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4">A156</f>
        <v>Capex vehicle</v>
      </c>
      <c r="B168" s="65">
        <f>((1+B141)^B148)*B141/(((1+B141)^B148)-1)*(B137)/B153</f>
        <v>2.4421444531330927</v>
      </c>
      <c r="C168" s="65">
        <f t="shared" ref="C168:AC168" si="165">((1+C141)^C148)*C141/(((1+C141)^C148)-1)*(C137)/C153</f>
        <v>2.4421444531330927</v>
      </c>
      <c r="D168" s="65">
        <f t="shared" si="165"/>
        <v>2.4421444531330927</v>
      </c>
      <c r="E168" s="65">
        <f t="shared" si="165"/>
        <v>2.4421444531330927</v>
      </c>
      <c r="F168" s="65">
        <f t="shared" si="165"/>
        <v>2.4421444531330927</v>
      </c>
      <c r="G168" s="65">
        <f t="shared" si="165"/>
        <v>2.4421444531330927</v>
      </c>
      <c r="H168" s="65">
        <f t="shared" si="165"/>
        <v>2.4421444531330927</v>
      </c>
      <c r="I168" s="65">
        <f t="shared" si="165"/>
        <v>2.4421444531330927</v>
      </c>
      <c r="J168" s="65">
        <f t="shared" si="165"/>
        <v>2.4421444531330927</v>
      </c>
      <c r="K168" s="65">
        <f t="shared" si="165"/>
        <v>2.4421444531330927</v>
      </c>
      <c r="L168" s="65">
        <f t="shared" si="165"/>
        <v>2.4421444531330927</v>
      </c>
      <c r="M168" s="65">
        <f t="shared" si="165"/>
        <v>2.4421444531330927</v>
      </c>
      <c r="N168" s="65">
        <f t="shared" si="165"/>
        <v>2.4421444531330927</v>
      </c>
      <c r="O168" s="65">
        <f t="shared" si="165"/>
        <v>2.4421444531330927</v>
      </c>
      <c r="P168" s="65">
        <f t="shared" si="165"/>
        <v>2.4421444531330927</v>
      </c>
      <c r="Q168" s="65">
        <f t="shared" si="165"/>
        <v>2.4421444531330927</v>
      </c>
      <c r="R168" s="65">
        <f t="shared" si="165"/>
        <v>2.4421444531330927</v>
      </c>
      <c r="S168" s="65">
        <f t="shared" si="165"/>
        <v>2.4421444531330927</v>
      </c>
      <c r="T168" s="65">
        <f t="shared" si="165"/>
        <v>2.4421444531330927</v>
      </c>
      <c r="U168" s="65">
        <f t="shared" si="165"/>
        <v>2.4421444531330927</v>
      </c>
      <c r="V168" s="65">
        <f t="shared" si="165"/>
        <v>2.4421444531330927</v>
      </c>
      <c r="W168" s="65">
        <f t="shared" si="165"/>
        <v>2.4421444531330927</v>
      </c>
      <c r="X168" s="65">
        <f t="shared" si="165"/>
        <v>2.4421444531330927</v>
      </c>
      <c r="Y168" s="65">
        <f t="shared" si="165"/>
        <v>2.4421444531330927</v>
      </c>
      <c r="Z168" s="65">
        <f t="shared" si="165"/>
        <v>2.4421444531330927</v>
      </c>
      <c r="AA168" s="65">
        <f t="shared" si="165"/>
        <v>2.4421444531330927</v>
      </c>
      <c r="AB168" s="65">
        <f t="shared" si="165"/>
        <v>2.4421444531330927</v>
      </c>
      <c r="AC168" s="65">
        <f t="shared" si="165"/>
        <v>2.4421444531330927</v>
      </c>
    </row>
    <row r="169" spans="1:29" x14ac:dyDescent="0.25">
      <c r="A169" s="30" t="str">
        <f t="shared" si="164"/>
        <v>Residual value (vehicle)</v>
      </c>
      <c r="B169" s="66">
        <f>((1+B141)^B148)*B141/(((1+B141)^B148)-1)*(B138)/B153</f>
        <v>-0.3663216679699639</v>
      </c>
      <c r="C169" s="66">
        <f t="shared" ref="C169:AC169" si="166">((1+C141)^C148)*C141/(((1+C141)^C148)-1)*(C138)/C153</f>
        <v>-0.3663216679699639</v>
      </c>
      <c r="D169" s="66">
        <f t="shared" si="166"/>
        <v>-0.3663216679699639</v>
      </c>
      <c r="E169" s="66">
        <f t="shared" si="166"/>
        <v>-0.3663216679699639</v>
      </c>
      <c r="F169" s="66">
        <f t="shared" si="166"/>
        <v>-0.3663216679699639</v>
      </c>
      <c r="G169" s="66">
        <f t="shared" si="166"/>
        <v>-0.3663216679699639</v>
      </c>
      <c r="H169" s="66">
        <f t="shared" si="166"/>
        <v>-0.3663216679699639</v>
      </c>
      <c r="I169" s="66">
        <f t="shared" si="166"/>
        <v>-0.3663216679699639</v>
      </c>
      <c r="J169" s="66">
        <f t="shared" si="166"/>
        <v>-0.3663216679699639</v>
      </c>
      <c r="K169" s="66">
        <f t="shared" si="166"/>
        <v>-0.3663216679699639</v>
      </c>
      <c r="L169" s="66">
        <f t="shared" si="166"/>
        <v>-0.3663216679699639</v>
      </c>
      <c r="M169" s="66">
        <f t="shared" si="166"/>
        <v>-0.3663216679699639</v>
      </c>
      <c r="N169" s="66">
        <f t="shared" si="166"/>
        <v>-0.3663216679699639</v>
      </c>
      <c r="O169" s="66">
        <f t="shared" si="166"/>
        <v>-0.3663216679699639</v>
      </c>
      <c r="P169" s="66">
        <f t="shared" si="166"/>
        <v>-0.3663216679699639</v>
      </c>
      <c r="Q169" s="66">
        <f t="shared" si="166"/>
        <v>-0.3663216679699639</v>
      </c>
      <c r="R169" s="66">
        <f t="shared" si="166"/>
        <v>-0.3663216679699639</v>
      </c>
      <c r="S169" s="66">
        <f t="shared" si="166"/>
        <v>-0.3663216679699639</v>
      </c>
      <c r="T169" s="66">
        <f t="shared" si="166"/>
        <v>-0.3663216679699639</v>
      </c>
      <c r="U169" s="66">
        <f t="shared" si="166"/>
        <v>-0.3663216679699639</v>
      </c>
      <c r="V169" s="66">
        <f t="shared" si="166"/>
        <v>-0.3663216679699639</v>
      </c>
      <c r="W169" s="66">
        <f t="shared" si="166"/>
        <v>-0.3663216679699639</v>
      </c>
      <c r="X169" s="66">
        <f t="shared" si="166"/>
        <v>-0.3663216679699639</v>
      </c>
      <c r="Y169" s="66">
        <f t="shared" si="166"/>
        <v>-0.3663216679699639</v>
      </c>
      <c r="Z169" s="66">
        <f t="shared" si="166"/>
        <v>-0.3663216679699639</v>
      </c>
      <c r="AA169" s="66">
        <f t="shared" si="166"/>
        <v>-0.3663216679699639</v>
      </c>
      <c r="AB169" s="66">
        <f t="shared" si="166"/>
        <v>-0.3663216679699639</v>
      </c>
      <c r="AC169" s="66">
        <f t="shared" si="166"/>
        <v>-0.3663216679699639</v>
      </c>
    </row>
    <row r="170" spans="1:29" x14ac:dyDescent="0.25">
      <c r="A170" s="30" t="str">
        <f t="shared" si="164"/>
        <v>Capex costumization</v>
      </c>
      <c r="B170" s="66">
        <f>((1+B141)^B149)*B141/(((1+B141)^B149)-1)*(B139)/B153</f>
        <v>2.2791815369426573</v>
      </c>
      <c r="C170" s="66">
        <f t="shared" ref="C170:AC170" si="167">((1+C141)^C149)*C141/(((1+C141)^C149)-1)*(C139)/C153</f>
        <v>2.2791815369426573</v>
      </c>
      <c r="D170" s="66">
        <f t="shared" si="167"/>
        <v>2.2791815369426573</v>
      </c>
      <c r="E170" s="66">
        <f t="shared" si="167"/>
        <v>2.2791815369426573</v>
      </c>
      <c r="F170" s="66">
        <f t="shared" si="167"/>
        <v>2.2791815369426573</v>
      </c>
      <c r="G170" s="66">
        <f t="shared" si="167"/>
        <v>2.2791815369426573</v>
      </c>
      <c r="H170" s="66">
        <f t="shared" si="167"/>
        <v>2.2791815369426573</v>
      </c>
      <c r="I170" s="66">
        <f t="shared" si="167"/>
        <v>2.2791815369426573</v>
      </c>
      <c r="J170" s="66">
        <f t="shared" si="167"/>
        <v>2.2791815369426573</v>
      </c>
      <c r="K170" s="66">
        <f t="shared" si="167"/>
        <v>2.2791815369426573</v>
      </c>
      <c r="L170" s="66">
        <f t="shared" si="167"/>
        <v>2.2791815369426573</v>
      </c>
      <c r="M170" s="66">
        <f t="shared" si="167"/>
        <v>2.2791815369426573</v>
      </c>
      <c r="N170" s="66">
        <f t="shared" si="167"/>
        <v>2.2791815369426573</v>
      </c>
      <c r="O170" s="66">
        <f t="shared" si="167"/>
        <v>2.2791815369426573</v>
      </c>
      <c r="P170" s="66">
        <f t="shared" si="167"/>
        <v>2.2791815369426573</v>
      </c>
      <c r="Q170" s="66">
        <f t="shared" si="167"/>
        <v>2.2791815369426573</v>
      </c>
      <c r="R170" s="66">
        <f t="shared" si="167"/>
        <v>2.2791815369426573</v>
      </c>
      <c r="S170" s="66">
        <f t="shared" si="167"/>
        <v>2.2791815369426573</v>
      </c>
      <c r="T170" s="66">
        <f t="shared" si="167"/>
        <v>2.2791815369426573</v>
      </c>
      <c r="U170" s="66">
        <f t="shared" si="167"/>
        <v>2.2791815369426573</v>
      </c>
      <c r="V170" s="66">
        <f t="shared" si="167"/>
        <v>2.2791815369426573</v>
      </c>
      <c r="W170" s="66">
        <f t="shared" si="167"/>
        <v>2.2791815369426573</v>
      </c>
      <c r="X170" s="66">
        <f t="shared" si="167"/>
        <v>2.2791815369426573</v>
      </c>
      <c r="Y170" s="66">
        <f t="shared" si="167"/>
        <v>2.2791815369426573</v>
      </c>
      <c r="Z170" s="66">
        <f t="shared" si="167"/>
        <v>2.2791815369426573</v>
      </c>
      <c r="AA170" s="66">
        <f t="shared" si="167"/>
        <v>2.2791815369426573</v>
      </c>
      <c r="AB170" s="66">
        <f t="shared" si="167"/>
        <v>2.2791815369426573</v>
      </c>
      <c r="AC170" s="66">
        <f t="shared" si="167"/>
        <v>2.2791815369426573</v>
      </c>
    </row>
    <row r="171" spans="1:29" x14ac:dyDescent="0.25">
      <c r="A171" s="30" t="str">
        <f t="shared" si="164"/>
        <v>Residual value (costumization)</v>
      </c>
      <c r="B171" s="66">
        <f>((1+B141)^B149)*B141/(((1+B141)^B149)-1)*(B140)/B153</f>
        <v>-0.11395907684713286</v>
      </c>
      <c r="C171" s="66">
        <f t="shared" ref="C171:AC171" si="168">((1+C141)^C149)*C141/(((1+C141)^C149)-1)*(C140)/C153</f>
        <v>-0.11395907684713286</v>
      </c>
      <c r="D171" s="66">
        <f t="shared" si="168"/>
        <v>-0.11395907684713286</v>
      </c>
      <c r="E171" s="66">
        <f t="shared" si="168"/>
        <v>-0.11395907684713286</v>
      </c>
      <c r="F171" s="66">
        <f t="shared" si="168"/>
        <v>-0.11395907684713286</v>
      </c>
      <c r="G171" s="66">
        <f t="shared" si="168"/>
        <v>-0.11395907684713286</v>
      </c>
      <c r="H171" s="66">
        <f t="shared" si="168"/>
        <v>-0.11395907684713286</v>
      </c>
      <c r="I171" s="66">
        <f t="shared" si="168"/>
        <v>-0.11395907684713286</v>
      </c>
      <c r="J171" s="66">
        <f t="shared" si="168"/>
        <v>-0.11395907684713286</v>
      </c>
      <c r="K171" s="66">
        <f t="shared" si="168"/>
        <v>-0.11395907684713286</v>
      </c>
      <c r="L171" s="66">
        <f t="shared" si="168"/>
        <v>-0.11395907684713286</v>
      </c>
      <c r="M171" s="66">
        <f t="shared" si="168"/>
        <v>-0.11395907684713286</v>
      </c>
      <c r="N171" s="66">
        <f t="shared" si="168"/>
        <v>-0.11395907684713286</v>
      </c>
      <c r="O171" s="66">
        <f t="shared" si="168"/>
        <v>-0.11395907684713286</v>
      </c>
      <c r="P171" s="66">
        <f t="shared" si="168"/>
        <v>-0.11395907684713286</v>
      </c>
      <c r="Q171" s="66">
        <f t="shared" si="168"/>
        <v>-0.11395907684713286</v>
      </c>
      <c r="R171" s="66">
        <f t="shared" si="168"/>
        <v>-0.11395907684713286</v>
      </c>
      <c r="S171" s="66">
        <f t="shared" si="168"/>
        <v>-0.11395907684713286</v>
      </c>
      <c r="T171" s="66">
        <f t="shared" si="168"/>
        <v>-0.11395907684713286</v>
      </c>
      <c r="U171" s="66">
        <f t="shared" si="168"/>
        <v>-0.11395907684713286</v>
      </c>
      <c r="V171" s="66">
        <f t="shared" si="168"/>
        <v>-0.11395907684713286</v>
      </c>
      <c r="W171" s="66">
        <f t="shared" si="168"/>
        <v>-0.11395907684713286</v>
      </c>
      <c r="X171" s="66">
        <f t="shared" si="168"/>
        <v>-0.11395907684713286</v>
      </c>
      <c r="Y171" s="66">
        <f t="shared" si="168"/>
        <v>-0.11395907684713286</v>
      </c>
      <c r="Z171" s="66">
        <f t="shared" si="168"/>
        <v>-0.11395907684713286</v>
      </c>
      <c r="AA171" s="66">
        <f t="shared" si="168"/>
        <v>-0.11395907684713286</v>
      </c>
      <c r="AB171" s="66">
        <f t="shared" si="168"/>
        <v>-0.11395907684713286</v>
      </c>
      <c r="AC171" s="66">
        <f t="shared" si="168"/>
        <v>-0.11395907684713286</v>
      </c>
    </row>
    <row r="172" spans="1:29" x14ac:dyDescent="0.25">
      <c r="A172" s="30" t="str">
        <f t="shared" si="164"/>
        <v>Opex fix (admin, crew, insurance)</v>
      </c>
      <c r="B172" s="66">
        <f>B142/B153</f>
        <v>3.473389355742297</v>
      </c>
      <c r="C172" s="66">
        <f t="shared" ref="C172:AC172" si="169">C142/C153</f>
        <v>3.473389355742297</v>
      </c>
      <c r="D172" s="66">
        <f t="shared" si="169"/>
        <v>3.473389355742297</v>
      </c>
      <c r="E172" s="66">
        <f t="shared" si="169"/>
        <v>3.473389355742297</v>
      </c>
      <c r="F172" s="66">
        <f t="shared" si="169"/>
        <v>3.473389355742297</v>
      </c>
      <c r="G172" s="66">
        <f t="shared" si="169"/>
        <v>3.473389355742297</v>
      </c>
      <c r="H172" s="66">
        <f t="shared" si="169"/>
        <v>3.473389355742297</v>
      </c>
      <c r="I172" s="66">
        <f t="shared" si="169"/>
        <v>3.473389355742297</v>
      </c>
      <c r="J172" s="66">
        <f t="shared" si="169"/>
        <v>3.473389355742297</v>
      </c>
      <c r="K172" s="66">
        <f t="shared" si="169"/>
        <v>3.473389355742297</v>
      </c>
      <c r="L172" s="66">
        <f t="shared" si="169"/>
        <v>3.473389355742297</v>
      </c>
      <c r="M172" s="66">
        <f t="shared" si="169"/>
        <v>3.473389355742297</v>
      </c>
      <c r="N172" s="66">
        <f t="shared" si="169"/>
        <v>3.473389355742297</v>
      </c>
      <c r="O172" s="66">
        <f t="shared" si="169"/>
        <v>3.473389355742297</v>
      </c>
      <c r="P172" s="66">
        <f t="shared" si="169"/>
        <v>3.473389355742297</v>
      </c>
      <c r="Q172" s="66">
        <f t="shared" si="169"/>
        <v>3.473389355742297</v>
      </c>
      <c r="R172" s="66">
        <f t="shared" si="169"/>
        <v>3.473389355742297</v>
      </c>
      <c r="S172" s="66">
        <f t="shared" si="169"/>
        <v>3.473389355742297</v>
      </c>
      <c r="T172" s="66">
        <f t="shared" si="169"/>
        <v>3.473389355742297</v>
      </c>
      <c r="U172" s="66">
        <f t="shared" si="169"/>
        <v>3.473389355742297</v>
      </c>
      <c r="V172" s="66">
        <f t="shared" si="169"/>
        <v>3.473389355742297</v>
      </c>
      <c r="W172" s="66">
        <f t="shared" si="169"/>
        <v>3.473389355742297</v>
      </c>
      <c r="X172" s="66">
        <f t="shared" si="169"/>
        <v>3.473389355742297</v>
      </c>
      <c r="Y172" s="66">
        <f t="shared" si="169"/>
        <v>3.473389355742297</v>
      </c>
      <c r="Z172" s="66">
        <f t="shared" si="169"/>
        <v>3.473389355742297</v>
      </c>
      <c r="AA172" s="66">
        <f t="shared" si="169"/>
        <v>3.473389355742297</v>
      </c>
      <c r="AB172" s="66">
        <f t="shared" si="169"/>
        <v>3.473389355742297</v>
      </c>
      <c r="AC172" s="66">
        <f t="shared" si="169"/>
        <v>3.473389355742297</v>
      </c>
    </row>
    <row r="173" spans="1:29" x14ac:dyDescent="0.25">
      <c r="A173" s="30" t="str">
        <f t="shared" si="164"/>
        <v>Opex maintenance &amp; repair</v>
      </c>
      <c r="B173" s="66">
        <f>B143/B153</f>
        <v>3.6414565826330532</v>
      </c>
      <c r="C173" s="66">
        <f t="shared" ref="C173:AC173" si="170">C143/C153</f>
        <v>3.6414565826330532</v>
      </c>
      <c r="D173" s="66">
        <f t="shared" si="170"/>
        <v>3.6414565826330532</v>
      </c>
      <c r="E173" s="66">
        <f t="shared" si="170"/>
        <v>3.6414565826330532</v>
      </c>
      <c r="F173" s="66">
        <f t="shared" si="170"/>
        <v>3.6414565826330532</v>
      </c>
      <c r="G173" s="66">
        <f t="shared" si="170"/>
        <v>3.6414565826330532</v>
      </c>
      <c r="H173" s="66">
        <f t="shared" si="170"/>
        <v>3.6414565826330532</v>
      </c>
      <c r="I173" s="66">
        <f t="shared" si="170"/>
        <v>3.6414565826330532</v>
      </c>
      <c r="J173" s="66">
        <f t="shared" si="170"/>
        <v>3.6414565826330532</v>
      </c>
      <c r="K173" s="66">
        <f t="shared" si="170"/>
        <v>3.6414565826330532</v>
      </c>
      <c r="L173" s="66">
        <f t="shared" si="170"/>
        <v>3.6414565826330532</v>
      </c>
      <c r="M173" s="66">
        <f t="shared" si="170"/>
        <v>3.6414565826330532</v>
      </c>
      <c r="N173" s="66">
        <f t="shared" si="170"/>
        <v>3.6414565826330532</v>
      </c>
      <c r="O173" s="66">
        <f t="shared" si="170"/>
        <v>3.6414565826330532</v>
      </c>
      <c r="P173" s="66">
        <f t="shared" si="170"/>
        <v>3.6414565826330532</v>
      </c>
      <c r="Q173" s="66">
        <f t="shared" si="170"/>
        <v>3.6414565826330532</v>
      </c>
      <c r="R173" s="66">
        <f t="shared" si="170"/>
        <v>3.6414565826330532</v>
      </c>
      <c r="S173" s="66">
        <f t="shared" si="170"/>
        <v>3.6414565826330532</v>
      </c>
      <c r="T173" s="66">
        <f t="shared" si="170"/>
        <v>3.6414565826330532</v>
      </c>
      <c r="U173" s="66">
        <f t="shared" si="170"/>
        <v>3.6414565826330532</v>
      </c>
      <c r="V173" s="66">
        <f t="shared" si="170"/>
        <v>3.6414565826330532</v>
      </c>
      <c r="W173" s="66">
        <f t="shared" si="170"/>
        <v>3.6414565826330532</v>
      </c>
      <c r="X173" s="66">
        <f t="shared" si="170"/>
        <v>3.6414565826330532</v>
      </c>
      <c r="Y173" s="66">
        <f t="shared" si="170"/>
        <v>3.6414565826330532</v>
      </c>
      <c r="Z173" s="66">
        <f t="shared" si="170"/>
        <v>3.6414565826330532</v>
      </c>
      <c r="AA173" s="66">
        <f t="shared" si="170"/>
        <v>3.6414565826330532</v>
      </c>
      <c r="AB173" s="66">
        <f t="shared" si="170"/>
        <v>3.6414565826330532</v>
      </c>
      <c r="AC173" s="66">
        <f t="shared" si="170"/>
        <v>3.6414565826330532</v>
      </c>
    </row>
    <row r="174" spans="1:29" x14ac:dyDescent="0.25">
      <c r="A174" s="30" t="str">
        <f t="shared" si="164"/>
        <v>Opex var (mode-fees, shunting)</v>
      </c>
      <c r="B174" s="66">
        <f>B144*B153/B153</f>
        <v>3.6414565826330532</v>
      </c>
      <c r="C174" s="66">
        <f t="shared" ref="C174:AC174" si="171">C144*C153/C153</f>
        <v>3.6414565826330532</v>
      </c>
      <c r="D174" s="66">
        <f t="shared" si="171"/>
        <v>3.6414565826330532</v>
      </c>
      <c r="E174" s="66">
        <f t="shared" si="171"/>
        <v>3.6414565826330532</v>
      </c>
      <c r="F174" s="66">
        <f t="shared" si="171"/>
        <v>3.6414565826330532</v>
      </c>
      <c r="G174" s="66">
        <f t="shared" si="171"/>
        <v>3.6414565826330532</v>
      </c>
      <c r="H174" s="66">
        <f t="shared" si="171"/>
        <v>3.6414565826330532</v>
      </c>
      <c r="I174" s="66">
        <f t="shared" si="171"/>
        <v>3.6414565826330532</v>
      </c>
      <c r="J174" s="66">
        <f t="shared" si="171"/>
        <v>3.6414565826330532</v>
      </c>
      <c r="K174" s="66">
        <f t="shared" si="171"/>
        <v>3.6414565826330532</v>
      </c>
      <c r="L174" s="66">
        <f t="shared" si="171"/>
        <v>3.6414565826330532</v>
      </c>
      <c r="M174" s="66">
        <f t="shared" si="171"/>
        <v>3.6414565826330532</v>
      </c>
      <c r="N174" s="66">
        <f t="shared" si="171"/>
        <v>3.6414565826330532</v>
      </c>
      <c r="O174" s="66">
        <f t="shared" si="171"/>
        <v>3.6414565826330532</v>
      </c>
      <c r="P174" s="66">
        <f t="shared" si="171"/>
        <v>3.6414565826330532</v>
      </c>
      <c r="Q174" s="66">
        <f t="shared" si="171"/>
        <v>3.6414565826330532</v>
      </c>
      <c r="R174" s="66">
        <f t="shared" si="171"/>
        <v>3.6414565826330532</v>
      </c>
      <c r="S174" s="66">
        <f t="shared" si="171"/>
        <v>3.6414565826330532</v>
      </c>
      <c r="T174" s="66">
        <f t="shared" si="171"/>
        <v>3.6414565826330532</v>
      </c>
      <c r="U174" s="66">
        <f t="shared" si="171"/>
        <v>3.6414565826330532</v>
      </c>
      <c r="V174" s="66">
        <f t="shared" si="171"/>
        <v>3.6414565826330532</v>
      </c>
      <c r="W174" s="66">
        <f t="shared" si="171"/>
        <v>3.6414565826330532</v>
      </c>
      <c r="X174" s="66">
        <f t="shared" si="171"/>
        <v>3.6414565826330532</v>
      </c>
      <c r="Y174" s="66">
        <f t="shared" si="171"/>
        <v>3.6414565826330532</v>
      </c>
      <c r="Z174" s="66">
        <f t="shared" si="171"/>
        <v>3.6414565826330532</v>
      </c>
      <c r="AA174" s="66">
        <f t="shared" si="171"/>
        <v>3.6414565826330532</v>
      </c>
      <c r="AB174" s="66">
        <f t="shared" si="171"/>
        <v>3.6414565826330532</v>
      </c>
      <c r="AC174" s="66">
        <f t="shared" si="171"/>
        <v>3.6414565826330532</v>
      </c>
    </row>
    <row r="175" spans="1:29" x14ac:dyDescent="0.25">
      <c r="A175" s="30" t="str">
        <f t="shared" si="164"/>
        <v>Fuel Cost</v>
      </c>
      <c r="B175" s="66">
        <f>B145*B146*B153/B153</f>
        <v>2.9770136326774113</v>
      </c>
      <c r="C175" s="66">
        <f t="shared" ref="C175:AC175" si="172">C145*C146*C153/C153</f>
        <v>2.9770136326774113</v>
      </c>
      <c r="D175" s="66">
        <f t="shared" si="172"/>
        <v>2.9770136326774113</v>
      </c>
      <c r="E175" s="66">
        <f t="shared" si="172"/>
        <v>2.9770136326774113</v>
      </c>
      <c r="F175" s="66">
        <f t="shared" si="172"/>
        <v>2.9770136326774113</v>
      </c>
      <c r="G175" s="66">
        <f t="shared" si="172"/>
        <v>2.9770136326774113</v>
      </c>
      <c r="H175" s="66">
        <f t="shared" si="172"/>
        <v>2.9770136326774113</v>
      </c>
      <c r="I175" s="66">
        <f t="shared" si="172"/>
        <v>2.9770136326774113</v>
      </c>
      <c r="J175" s="66">
        <f t="shared" si="172"/>
        <v>3.0349731876657686</v>
      </c>
      <c r="K175" s="66">
        <f t="shared" si="172"/>
        <v>3.0929327426541269</v>
      </c>
      <c r="L175" s="66">
        <f t="shared" si="172"/>
        <v>3.1508922976424847</v>
      </c>
      <c r="M175" s="66">
        <f t="shared" si="172"/>
        <v>3.208851852630842</v>
      </c>
      <c r="N175" s="66">
        <f t="shared" si="172"/>
        <v>3.2668114076191999</v>
      </c>
      <c r="O175" s="66">
        <f t="shared" si="172"/>
        <v>3.2351971048982766</v>
      </c>
      <c r="P175" s="66">
        <f t="shared" si="172"/>
        <v>3.2035828021773547</v>
      </c>
      <c r="Q175" s="66">
        <f t="shared" si="172"/>
        <v>3.1719684994564319</v>
      </c>
      <c r="R175" s="66">
        <f t="shared" si="172"/>
        <v>3.1403541967355095</v>
      </c>
      <c r="S175" s="66">
        <f t="shared" si="172"/>
        <v>3.1087398940145876</v>
      </c>
      <c r="T175" s="66">
        <f t="shared" si="172"/>
        <v>3.0771255912936653</v>
      </c>
      <c r="U175" s="66">
        <f t="shared" si="172"/>
        <v>3.0455112885727424</v>
      </c>
      <c r="V175" s="66">
        <f t="shared" si="172"/>
        <v>3.0138969858518196</v>
      </c>
      <c r="W175" s="66">
        <f t="shared" si="172"/>
        <v>2.9822826831308982</v>
      </c>
      <c r="X175" s="66">
        <f t="shared" si="172"/>
        <v>2.9506683804099763</v>
      </c>
      <c r="Y175" s="66">
        <f t="shared" si="172"/>
        <v>2.9190540776890539</v>
      </c>
      <c r="Z175" s="66">
        <f t="shared" si="172"/>
        <v>2.8874397749681311</v>
      </c>
      <c r="AA175" s="66">
        <f t="shared" si="172"/>
        <v>2.8558254722472087</v>
      </c>
      <c r="AB175" s="66">
        <f t="shared" si="172"/>
        <v>2.8242111695262859</v>
      </c>
      <c r="AC175" s="66">
        <f t="shared" si="172"/>
        <v>2.7925968668053649</v>
      </c>
    </row>
    <row r="176" spans="1:29" ht="15.75" thickBot="1" x14ac:dyDescent="0.3">
      <c r="A176" s="59" t="str">
        <f t="shared" ref="A176" si="173">A164</f>
        <v>Emission Cost</v>
      </c>
      <c r="B176" s="66">
        <f>B147</f>
        <v>0</v>
      </c>
      <c r="C176" s="66">
        <f t="shared" ref="C176:AC176" si="174">C147</f>
        <v>0</v>
      </c>
      <c r="D176" s="66">
        <f t="shared" si="174"/>
        <v>0</v>
      </c>
      <c r="E176" s="66">
        <f t="shared" si="174"/>
        <v>0</v>
      </c>
      <c r="F176" s="66">
        <f t="shared" si="174"/>
        <v>0</v>
      </c>
      <c r="G176" s="66">
        <f t="shared" si="174"/>
        <v>0</v>
      </c>
      <c r="H176" s="66">
        <f t="shared" si="174"/>
        <v>0</v>
      </c>
      <c r="I176" s="66">
        <f t="shared" si="174"/>
        <v>0</v>
      </c>
      <c r="J176" s="66">
        <f t="shared" si="174"/>
        <v>0</v>
      </c>
      <c r="K176" s="66">
        <f t="shared" si="174"/>
        <v>0</v>
      </c>
      <c r="L176" s="66">
        <f t="shared" si="174"/>
        <v>0</v>
      </c>
      <c r="M176" s="66">
        <f t="shared" si="174"/>
        <v>0</v>
      </c>
      <c r="N176" s="66">
        <f t="shared" si="174"/>
        <v>0</v>
      </c>
      <c r="O176" s="66">
        <f t="shared" si="174"/>
        <v>0</v>
      </c>
      <c r="P176" s="66">
        <f t="shared" si="174"/>
        <v>0</v>
      </c>
      <c r="Q176" s="66">
        <f t="shared" si="174"/>
        <v>0</v>
      </c>
      <c r="R176" s="66">
        <f t="shared" si="174"/>
        <v>0</v>
      </c>
      <c r="S176" s="66">
        <f t="shared" si="174"/>
        <v>0</v>
      </c>
      <c r="T176" s="66">
        <f t="shared" si="174"/>
        <v>0</v>
      </c>
      <c r="U176" s="66">
        <f t="shared" si="174"/>
        <v>0</v>
      </c>
      <c r="V176" s="66">
        <f t="shared" si="174"/>
        <v>0</v>
      </c>
      <c r="W176" s="66">
        <f t="shared" si="174"/>
        <v>0</v>
      </c>
      <c r="X176" s="66">
        <f t="shared" si="174"/>
        <v>0</v>
      </c>
      <c r="Y176" s="66">
        <f t="shared" si="174"/>
        <v>0</v>
      </c>
      <c r="Z176" s="66">
        <f t="shared" si="174"/>
        <v>0</v>
      </c>
      <c r="AA176" s="66">
        <f t="shared" si="174"/>
        <v>0</v>
      </c>
      <c r="AB176" s="66">
        <f t="shared" si="174"/>
        <v>0</v>
      </c>
      <c r="AC176" s="66">
        <f t="shared" si="174"/>
        <v>0</v>
      </c>
    </row>
    <row r="177" spans="1:29" ht="15.75" thickBot="1" x14ac:dyDescent="0.3">
      <c r="A177" s="31" t="s">
        <v>63</v>
      </c>
      <c r="B177" s="76">
        <f>B168+B169+B170-B171+B172+B173+B174+B175+B176</f>
        <v>18.202279552638732</v>
      </c>
      <c r="C177" s="76">
        <f t="shared" ref="C177:AC177" si="175">C168+C169+C170-C171+C172+C173+C174+C175+C176</f>
        <v>18.202279552638732</v>
      </c>
      <c r="D177" s="76">
        <f t="shared" si="175"/>
        <v>18.202279552638732</v>
      </c>
      <c r="E177" s="76">
        <f t="shared" si="175"/>
        <v>18.202279552638732</v>
      </c>
      <c r="F177" s="76">
        <f t="shared" si="175"/>
        <v>18.202279552638732</v>
      </c>
      <c r="G177" s="76">
        <f t="shared" si="175"/>
        <v>18.202279552638732</v>
      </c>
      <c r="H177" s="76">
        <f t="shared" si="175"/>
        <v>18.202279552638732</v>
      </c>
      <c r="I177" s="76">
        <f t="shared" si="175"/>
        <v>18.202279552638732</v>
      </c>
      <c r="J177" s="76">
        <f t="shared" si="175"/>
        <v>18.26023910762709</v>
      </c>
      <c r="K177" s="76">
        <f t="shared" si="175"/>
        <v>18.318198662615448</v>
      </c>
      <c r="L177" s="76">
        <f t="shared" si="175"/>
        <v>18.376158217603805</v>
      </c>
      <c r="M177" s="76">
        <f t="shared" si="175"/>
        <v>18.434117772592163</v>
      </c>
      <c r="N177" s="76">
        <f t="shared" si="175"/>
        <v>18.492077327580521</v>
      </c>
      <c r="O177" s="76">
        <f t="shared" si="175"/>
        <v>18.4604630248596</v>
      </c>
      <c r="P177" s="76">
        <f t="shared" si="175"/>
        <v>18.428848722138675</v>
      </c>
      <c r="Q177" s="76">
        <f t="shared" si="175"/>
        <v>18.397234419417753</v>
      </c>
      <c r="R177" s="76">
        <f t="shared" si="175"/>
        <v>18.365620116696832</v>
      </c>
      <c r="S177" s="76">
        <f t="shared" si="175"/>
        <v>18.33400581397591</v>
      </c>
      <c r="T177" s="76">
        <f t="shared" si="175"/>
        <v>18.302391511254989</v>
      </c>
      <c r="U177" s="76">
        <f t="shared" si="175"/>
        <v>18.270777208534064</v>
      </c>
      <c r="V177" s="76">
        <f t="shared" si="175"/>
        <v>18.239162905813142</v>
      </c>
      <c r="W177" s="76">
        <f t="shared" si="175"/>
        <v>18.207548603092221</v>
      </c>
      <c r="X177" s="76">
        <f t="shared" si="175"/>
        <v>18.175934300371299</v>
      </c>
      <c r="Y177" s="76">
        <f t="shared" si="175"/>
        <v>18.144319997650374</v>
      </c>
      <c r="Z177" s="76">
        <f t="shared" si="175"/>
        <v>18.112705694929453</v>
      </c>
      <c r="AA177" s="76">
        <f t="shared" si="175"/>
        <v>18.081091392208531</v>
      </c>
      <c r="AB177" s="76">
        <f t="shared" si="175"/>
        <v>18.049477089487606</v>
      </c>
      <c r="AC177" s="76">
        <f t="shared" si="175"/>
        <v>18.017862786766685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6">A156</f>
        <v>Capex vehicle</v>
      </c>
      <c r="B180" s="65">
        <f>((1+B141)^B148)*B141/(((1+B141)^B148)-1)*(B137)/B153/(B150)</f>
        <v>1.0902430594344164E-3</v>
      </c>
      <c r="C180" s="65">
        <f t="shared" ref="C180:AC180" si="177">((1+C141)^C148)*C141/(((1+C141)^C148)-1)*(C137)/C153/(C150)</f>
        <v>1.0902430594344164E-3</v>
      </c>
      <c r="D180" s="65">
        <f t="shared" si="177"/>
        <v>1.0902430594344164E-3</v>
      </c>
      <c r="E180" s="65">
        <f t="shared" si="177"/>
        <v>1.0902430594344164E-3</v>
      </c>
      <c r="F180" s="65">
        <f t="shared" si="177"/>
        <v>1.0902430594344164E-3</v>
      </c>
      <c r="G180" s="65">
        <f t="shared" si="177"/>
        <v>1.0902430594344164E-3</v>
      </c>
      <c r="H180" s="65">
        <f t="shared" si="177"/>
        <v>1.0902430594344164E-3</v>
      </c>
      <c r="I180" s="65">
        <f t="shared" si="177"/>
        <v>1.0902430594344164E-3</v>
      </c>
      <c r="J180" s="65">
        <f t="shared" si="177"/>
        <v>1.0902430594344164E-3</v>
      </c>
      <c r="K180" s="65">
        <f t="shared" si="177"/>
        <v>1.0902430594344164E-3</v>
      </c>
      <c r="L180" s="65">
        <f t="shared" si="177"/>
        <v>1.0902430594344164E-3</v>
      </c>
      <c r="M180" s="65">
        <f t="shared" si="177"/>
        <v>1.0902430594344164E-3</v>
      </c>
      <c r="N180" s="65">
        <f t="shared" si="177"/>
        <v>1.0902430594344164E-3</v>
      </c>
      <c r="O180" s="65">
        <f t="shared" si="177"/>
        <v>1.0902430594344164E-3</v>
      </c>
      <c r="P180" s="65">
        <f t="shared" si="177"/>
        <v>1.0902430594344164E-3</v>
      </c>
      <c r="Q180" s="65">
        <f t="shared" si="177"/>
        <v>1.0902430594344164E-3</v>
      </c>
      <c r="R180" s="65">
        <f t="shared" si="177"/>
        <v>1.0902430594344164E-3</v>
      </c>
      <c r="S180" s="65">
        <f t="shared" si="177"/>
        <v>1.0902430594344164E-3</v>
      </c>
      <c r="T180" s="65">
        <f t="shared" si="177"/>
        <v>1.0902430594344164E-3</v>
      </c>
      <c r="U180" s="65">
        <f t="shared" si="177"/>
        <v>1.0902430594344164E-3</v>
      </c>
      <c r="V180" s="65">
        <f t="shared" si="177"/>
        <v>1.0902430594344164E-3</v>
      </c>
      <c r="W180" s="65">
        <f t="shared" si="177"/>
        <v>1.0902430594344164E-3</v>
      </c>
      <c r="X180" s="65">
        <f t="shared" si="177"/>
        <v>1.0902430594344164E-3</v>
      </c>
      <c r="Y180" s="65">
        <f t="shared" si="177"/>
        <v>1.0902430594344164E-3</v>
      </c>
      <c r="Z180" s="65">
        <f t="shared" si="177"/>
        <v>1.0902430594344164E-3</v>
      </c>
      <c r="AA180" s="65">
        <f t="shared" si="177"/>
        <v>1.0902430594344164E-3</v>
      </c>
      <c r="AB180" s="65">
        <f t="shared" si="177"/>
        <v>1.0902430594344164E-3</v>
      </c>
      <c r="AC180" s="65">
        <f t="shared" si="177"/>
        <v>1.0902430594344164E-3</v>
      </c>
    </row>
    <row r="181" spans="1:29" x14ac:dyDescent="0.25">
      <c r="A181" s="30" t="str">
        <f t="shared" si="176"/>
        <v>Residual value (vehicle)</v>
      </c>
      <c r="B181" s="68">
        <f>((1+B141)^B148)*B141/(((1+B141)^B148)-1)*(B138)/B153/(B150)</f>
        <v>-1.6353645891516245E-4</v>
      </c>
      <c r="C181" s="68">
        <f t="shared" ref="C181:AC181" si="178">((1+C141)^C148)*C141/(((1+C141)^C148)-1)*(C138)/C153/(C150)</f>
        <v>-1.6353645891516245E-4</v>
      </c>
      <c r="D181" s="68">
        <f t="shared" si="178"/>
        <v>-1.6353645891516245E-4</v>
      </c>
      <c r="E181" s="68">
        <f t="shared" si="178"/>
        <v>-1.6353645891516245E-4</v>
      </c>
      <c r="F181" s="68">
        <f t="shared" si="178"/>
        <v>-1.6353645891516245E-4</v>
      </c>
      <c r="G181" s="68">
        <f t="shared" si="178"/>
        <v>-1.6353645891516245E-4</v>
      </c>
      <c r="H181" s="68">
        <f t="shared" si="178"/>
        <v>-1.6353645891516245E-4</v>
      </c>
      <c r="I181" s="68">
        <f t="shared" si="178"/>
        <v>-1.6353645891516245E-4</v>
      </c>
      <c r="J181" s="68">
        <f t="shared" si="178"/>
        <v>-1.6353645891516245E-4</v>
      </c>
      <c r="K181" s="68">
        <f t="shared" si="178"/>
        <v>-1.6353645891516245E-4</v>
      </c>
      <c r="L181" s="68">
        <f t="shared" si="178"/>
        <v>-1.6353645891516245E-4</v>
      </c>
      <c r="M181" s="68">
        <f t="shared" si="178"/>
        <v>-1.6353645891516245E-4</v>
      </c>
      <c r="N181" s="68">
        <f t="shared" si="178"/>
        <v>-1.6353645891516245E-4</v>
      </c>
      <c r="O181" s="68">
        <f t="shared" si="178"/>
        <v>-1.6353645891516245E-4</v>
      </c>
      <c r="P181" s="68">
        <f t="shared" si="178"/>
        <v>-1.6353645891516245E-4</v>
      </c>
      <c r="Q181" s="68">
        <f t="shared" si="178"/>
        <v>-1.6353645891516245E-4</v>
      </c>
      <c r="R181" s="68">
        <f t="shared" si="178"/>
        <v>-1.6353645891516245E-4</v>
      </c>
      <c r="S181" s="68">
        <f t="shared" si="178"/>
        <v>-1.6353645891516245E-4</v>
      </c>
      <c r="T181" s="68">
        <f t="shared" si="178"/>
        <v>-1.6353645891516245E-4</v>
      </c>
      <c r="U181" s="68">
        <f t="shared" si="178"/>
        <v>-1.6353645891516245E-4</v>
      </c>
      <c r="V181" s="68">
        <f t="shared" si="178"/>
        <v>-1.6353645891516245E-4</v>
      </c>
      <c r="W181" s="68">
        <f t="shared" si="178"/>
        <v>-1.6353645891516245E-4</v>
      </c>
      <c r="X181" s="68">
        <f t="shared" si="178"/>
        <v>-1.6353645891516245E-4</v>
      </c>
      <c r="Y181" s="68">
        <f t="shared" si="178"/>
        <v>-1.6353645891516245E-4</v>
      </c>
      <c r="Z181" s="68">
        <f t="shared" si="178"/>
        <v>-1.6353645891516245E-4</v>
      </c>
      <c r="AA181" s="68">
        <f t="shared" si="178"/>
        <v>-1.6353645891516245E-4</v>
      </c>
      <c r="AB181" s="68">
        <f t="shared" si="178"/>
        <v>-1.6353645891516245E-4</v>
      </c>
      <c r="AC181" s="68">
        <f t="shared" si="178"/>
        <v>-1.6353645891516245E-4</v>
      </c>
    </row>
    <row r="182" spans="1:29" x14ac:dyDescent="0.25">
      <c r="A182" s="30" t="str">
        <f t="shared" si="176"/>
        <v>Capex costumization</v>
      </c>
      <c r="B182" s="66">
        <f>((1+B141)^B149)*B141/(((1+B141)^B149)-1)*(B139)/B153/(B150)</f>
        <v>1.0174917575636864E-3</v>
      </c>
      <c r="C182" s="66">
        <f t="shared" ref="C182:AC182" si="179">((1+C141)^C149)*C141/(((1+C141)^C149)-1)*(C139)/C153/(C150)</f>
        <v>1.0174917575636864E-3</v>
      </c>
      <c r="D182" s="66">
        <f t="shared" si="179"/>
        <v>1.0174917575636864E-3</v>
      </c>
      <c r="E182" s="66">
        <f t="shared" si="179"/>
        <v>1.0174917575636864E-3</v>
      </c>
      <c r="F182" s="66">
        <f t="shared" si="179"/>
        <v>1.0174917575636864E-3</v>
      </c>
      <c r="G182" s="66">
        <f t="shared" si="179"/>
        <v>1.0174917575636864E-3</v>
      </c>
      <c r="H182" s="66">
        <f t="shared" si="179"/>
        <v>1.0174917575636864E-3</v>
      </c>
      <c r="I182" s="66">
        <f t="shared" si="179"/>
        <v>1.0174917575636864E-3</v>
      </c>
      <c r="J182" s="66">
        <f t="shared" si="179"/>
        <v>1.0174917575636864E-3</v>
      </c>
      <c r="K182" s="66">
        <f t="shared" si="179"/>
        <v>1.0174917575636864E-3</v>
      </c>
      <c r="L182" s="66">
        <f t="shared" si="179"/>
        <v>1.0174917575636864E-3</v>
      </c>
      <c r="M182" s="66">
        <f t="shared" si="179"/>
        <v>1.0174917575636864E-3</v>
      </c>
      <c r="N182" s="66">
        <f t="shared" si="179"/>
        <v>1.0174917575636864E-3</v>
      </c>
      <c r="O182" s="66">
        <f t="shared" si="179"/>
        <v>1.0174917575636864E-3</v>
      </c>
      <c r="P182" s="66">
        <f t="shared" si="179"/>
        <v>1.0174917575636864E-3</v>
      </c>
      <c r="Q182" s="66">
        <f t="shared" si="179"/>
        <v>1.0174917575636864E-3</v>
      </c>
      <c r="R182" s="66">
        <f t="shared" si="179"/>
        <v>1.0174917575636864E-3</v>
      </c>
      <c r="S182" s="66">
        <f t="shared" si="179"/>
        <v>1.0174917575636864E-3</v>
      </c>
      <c r="T182" s="66">
        <f t="shared" si="179"/>
        <v>1.0174917575636864E-3</v>
      </c>
      <c r="U182" s="66">
        <f t="shared" si="179"/>
        <v>1.0174917575636864E-3</v>
      </c>
      <c r="V182" s="66">
        <f t="shared" si="179"/>
        <v>1.0174917575636864E-3</v>
      </c>
      <c r="W182" s="66">
        <f t="shared" si="179"/>
        <v>1.0174917575636864E-3</v>
      </c>
      <c r="X182" s="66">
        <f t="shared" si="179"/>
        <v>1.0174917575636864E-3</v>
      </c>
      <c r="Y182" s="66">
        <f t="shared" si="179"/>
        <v>1.0174917575636864E-3</v>
      </c>
      <c r="Z182" s="66">
        <f t="shared" si="179"/>
        <v>1.0174917575636864E-3</v>
      </c>
      <c r="AA182" s="66">
        <f t="shared" si="179"/>
        <v>1.0174917575636864E-3</v>
      </c>
      <c r="AB182" s="66">
        <f t="shared" si="179"/>
        <v>1.0174917575636864E-3</v>
      </c>
      <c r="AC182" s="66">
        <f t="shared" si="179"/>
        <v>1.0174917575636864E-3</v>
      </c>
    </row>
    <row r="183" spans="1:29" x14ac:dyDescent="0.25">
      <c r="A183" s="30" t="str">
        <f t="shared" si="176"/>
        <v>Residual value (costumization)</v>
      </c>
      <c r="B183" s="69">
        <f>((1+B141)^B149)*B141/(((1+B141)^B149)-1)*(B140)/B153/(B150)</f>
        <v>-5.0874587878184312E-5</v>
      </c>
      <c r="C183" s="69">
        <f t="shared" ref="C183:AC183" si="180">((1+C141)^C149)*C141/(((1+C141)^C149)-1)*(C140)/C153/(C150)</f>
        <v>-5.0874587878184312E-5</v>
      </c>
      <c r="D183" s="69">
        <f t="shared" si="180"/>
        <v>-5.0874587878184312E-5</v>
      </c>
      <c r="E183" s="69">
        <f t="shared" si="180"/>
        <v>-5.0874587878184312E-5</v>
      </c>
      <c r="F183" s="69">
        <f t="shared" si="180"/>
        <v>-5.0874587878184312E-5</v>
      </c>
      <c r="G183" s="69">
        <f t="shared" si="180"/>
        <v>-5.0874587878184312E-5</v>
      </c>
      <c r="H183" s="69">
        <f t="shared" si="180"/>
        <v>-5.0874587878184312E-5</v>
      </c>
      <c r="I183" s="69">
        <f t="shared" si="180"/>
        <v>-5.0874587878184312E-5</v>
      </c>
      <c r="J183" s="69">
        <f t="shared" si="180"/>
        <v>-5.0874587878184312E-5</v>
      </c>
      <c r="K183" s="69">
        <f t="shared" si="180"/>
        <v>-5.0874587878184312E-5</v>
      </c>
      <c r="L183" s="69">
        <f t="shared" si="180"/>
        <v>-5.0874587878184312E-5</v>
      </c>
      <c r="M183" s="69">
        <f t="shared" si="180"/>
        <v>-5.0874587878184312E-5</v>
      </c>
      <c r="N183" s="69">
        <f t="shared" si="180"/>
        <v>-5.0874587878184312E-5</v>
      </c>
      <c r="O183" s="69">
        <f t="shared" si="180"/>
        <v>-5.0874587878184312E-5</v>
      </c>
      <c r="P183" s="69">
        <f t="shared" si="180"/>
        <v>-5.0874587878184312E-5</v>
      </c>
      <c r="Q183" s="69">
        <f t="shared" si="180"/>
        <v>-5.0874587878184312E-5</v>
      </c>
      <c r="R183" s="69">
        <f t="shared" si="180"/>
        <v>-5.0874587878184312E-5</v>
      </c>
      <c r="S183" s="69">
        <f t="shared" si="180"/>
        <v>-5.0874587878184312E-5</v>
      </c>
      <c r="T183" s="69">
        <f t="shared" si="180"/>
        <v>-5.0874587878184312E-5</v>
      </c>
      <c r="U183" s="69">
        <f t="shared" si="180"/>
        <v>-5.0874587878184312E-5</v>
      </c>
      <c r="V183" s="69">
        <f t="shared" si="180"/>
        <v>-5.0874587878184312E-5</v>
      </c>
      <c r="W183" s="69">
        <f t="shared" si="180"/>
        <v>-5.0874587878184312E-5</v>
      </c>
      <c r="X183" s="69">
        <f t="shared" si="180"/>
        <v>-5.0874587878184312E-5</v>
      </c>
      <c r="Y183" s="69">
        <f t="shared" si="180"/>
        <v>-5.0874587878184312E-5</v>
      </c>
      <c r="Z183" s="69">
        <f t="shared" si="180"/>
        <v>-5.0874587878184312E-5</v>
      </c>
      <c r="AA183" s="69">
        <f t="shared" si="180"/>
        <v>-5.0874587878184312E-5</v>
      </c>
      <c r="AB183" s="69">
        <f t="shared" si="180"/>
        <v>-5.0874587878184312E-5</v>
      </c>
      <c r="AC183" s="69">
        <f t="shared" si="180"/>
        <v>-5.0874587878184312E-5</v>
      </c>
    </row>
    <row r="184" spans="1:29" x14ac:dyDescent="0.25">
      <c r="A184" s="30" t="str">
        <f t="shared" si="176"/>
        <v>Opex fix (admin, crew, insurance)</v>
      </c>
      <c r="B184" s="66">
        <f>B142/B153/(B150)</f>
        <v>1.5506202480992397E-3</v>
      </c>
      <c r="C184" s="66">
        <f t="shared" ref="C184:AC184" si="181">C142/C153/(C150)</f>
        <v>1.5506202480992397E-3</v>
      </c>
      <c r="D184" s="66">
        <f t="shared" si="181"/>
        <v>1.5506202480992397E-3</v>
      </c>
      <c r="E184" s="66">
        <f t="shared" si="181"/>
        <v>1.5506202480992397E-3</v>
      </c>
      <c r="F184" s="66">
        <f t="shared" si="181"/>
        <v>1.5506202480992397E-3</v>
      </c>
      <c r="G184" s="66">
        <f t="shared" si="181"/>
        <v>1.5506202480992397E-3</v>
      </c>
      <c r="H184" s="66">
        <f t="shared" si="181"/>
        <v>1.5506202480992397E-3</v>
      </c>
      <c r="I184" s="66">
        <f t="shared" si="181"/>
        <v>1.5506202480992397E-3</v>
      </c>
      <c r="J184" s="66">
        <f t="shared" si="181"/>
        <v>1.5506202480992397E-3</v>
      </c>
      <c r="K184" s="66">
        <f t="shared" si="181"/>
        <v>1.5506202480992397E-3</v>
      </c>
      <c r="L184" s="66">
        <f t="shared" si="181"/>
        <v>1.5506202480992397E-3</v>
      </c>
      <c r="M184" s="66">
        <f t="shared" si="181"/>
        <v>1.5506202480992397E-3</v>
      </c>
      <c r="N184" s="66">
        <f t="shared" si="181"/>
        <v>1.5506202480992397E-3</v>
      </c>
      <c r="O184" s="66">
        <f t="shared" si="181"/>
        <v>1.5506202480992397E-3</v>
      </c>
      <c r="P184" s="66">
        <f t="shared" si="181"/>
        <v>1.5506202480992397E-3</v>
      </c>
      <c r="Q184" s="66">
        <f t="shared" si="181"/>
        <v>1.5506202480992397E-3</v>
      </c>
      <c r="R184" s="66">
        <f t="shared" si="181"/>
        <v>1.5506202480992397E-3</v>
      </c>
      <c r="S184" s="66">
        <f t="shared" si="181"/>
        <v>1.5506202480992397E-3</v>
      </c>
      <c r="T184" s="66">
        <f t="shared" si="181"/>
        <v>1.5506202480992397E-3</v>
      </c>
      <c r="U184" s="66">
        <f t="shared" si="181"/>
        <v>1.5506202480992397E-3</v>
      </c>
      <c r="V184" s="66">
        <f t="shared" si="181"/>
        <v>1.5506202480992397E-3</v>
      </c>
      <c r="W184" s="66">
        <f t="shared" si="181"/>
        <v>1.5506202480992397E-3</v>
      </c>
      <c r="X184" s="66">
        <f t="shared" si="181"/>
        <v>1.5506202480992397E-3</v>
      </c>
      <c r="Y184" s="66">
        <f t="shared" si="181"/>
        <v>1.5506202480992397E-3</v>
      </c>
      <c r="Z184" s="66">
        <f t="shared" si="181"/>
        <v>1.5506202480992397E-3</v>
      </c>
      <c r="AA184" s="66">
        <f t="shared" si="181"/>
        <v>1.5506202480992397E-3</v>
      </c>
      <c r="AB184" s="66">
        <f t="shared" si="181"/>
        <v>1.5506202480992397E-3</v>
      </c>
      <c r="AC184" s="66">
        <f t="shared" si="181"/>
        <v>1.5506202480992397E-3</v>
      </c>
    </row>
    <row r="185" spans="1:29" x14ac:dyDescent="0.25">
      <c r="A185" s="30" t="str">
        <f t="shared" si="176"/>
        <v>Opex maintenance &amp; repair</v>
      </c>
      <c r="B185" s="66">
        <f>B143/B153/(B150)</f>
        <v>1.6256502601040416E-3</v>
      </c>
      <c r="C185" s="66">
        <f t="shared" ref="C185:AC185" si="182">C143/C153/(C150)</f>
        <v>1.6256502601040416E-3</v>
      </c>
      <c r="D185" s="66">
        <f t="shared" si="182"/>
        <v>1.6256502601040416E-3</v>
      </c>
      <c r="E185" s="66">
        <f t="shared" si="182"/>
        <v>1.6256502601040416E-3</v>
      </c>
      <c r="F185" s="66">
        <f t="shared" si="182"/>
        <v>1.6256502601040416E-3</v>
      </c>
      <c r="G185" s="66">
        <f t="shared" si="182"/>
        <v>1.6256502601040416E-3</v>
      </c>
      <c r="H185" s="66">
        <f t="shared" si="182"/>
        <v>1.6256502601040416E-3</v>
      </c>
      <c r="I185" s="66">
        <f t="shared" si="182"/>
        <v>1.6256502601040416E-3</v>
      </c>
      <c r="J185" s="66">
        <f t="shared" si="182"/>
        <v>1.6256502601040416E-3</v>
      </c>
      <c r="K185" s="66">
        <f t="shared" si="182"/>
        <v>1.6256502601040416E-3</v>
      </c>
      <c r="L185" s="66">
        <f t="shared" si="182"/>
        <v>1.6256502601040416E-3</v>
      </c>
      <c r="M185" s="66">
        <f t="shared" si="182"/>
        <v>1.6256502601040416E-3</v>
      </c>
      <c r="N185" s="66">
        <f t="shared" si="182"/>
        <v>1.6256502601040416E-3</v>
      </c>
      <c r="O185" s="66">
        <f t="shared" si="182"/>
        <v>1.6256502601040416E-3</v>
      </c>
      <c r="P185" s="66">
        <f t="shared" si="182"/>
        <v>1.6256502601040416E-3</v>
      </c>
      <c r="Q185" s="66">
        <f t="shared" si="182"/>
        <v>1.6256502601040416E-3</v>
      </c>
      <c r="R185" s="66">
        <f t="shared" si="182"/>
        <v>1.6256502601040416E-3</v>
      </c>
      <c r="S185" s="66">
        <f t="shared" si="182"/>
        <v>1.6256502601040416E-3</v>
      </c>
      <c r="T185" s="66">
        <f t="shared" si="182"/>
        <v>1.6256502601040416E-3</v>
      </c>
      <c r="U185" s="66">
        <f t="shared" si="182"/>
        <v>1.6256502601040416E-3</v>
      </c>
      <c r="V185" s="66">
        <f t="shared" si="182"/>
        <v>1.6256502601040416E-3</v>
      </c>
      <c r="W185" s="66">
        <f t="shared" si="182"/>
        <v>1.6256502601040416E-3</v>
      </c>
      <c r="X185" s="66">
        <f t="shared" si="182"/>
        <v>1.6256502601040416E-3</v>
      </c>
      <c r="Y185" s="66">
        <f t="shared" si="182"/>
        <v>1.6256502601040416E-3</v>
      </c>
      <c r="Z185" s="66">
        <f t="shared" si="182"/>
        <v>1.6256502601040416E-3</v>
      </c>
      <c r="AA185" s="66">
        <f t="shared" si="182"/>
        <v>1.6256502601040416E-3</v>
      </c>
      <c r="AB185" s="66">
        <f t="shared" si="182"/>
        <v>1.6256502601040416E-3</v>
      </c>
      <c r="AC185" s="66">
        <f t="shared" si="182"/>
        <v>1.6256502601040416E-3</v>
      </c>
    </row>
    <row r="186" spans="1:29" x14ac:dyDescent="0.25">
      <c r="A186" s="30" t="str">
        <f t="shared" si="176"/>
        <v>Opex var (mode-fees, shunting)</v>
      </c>
      <c r="B186" s="66">
        <f>B144*B153/B153/(B150)</f>
        <v>1.6256502601040416E-3</v>
      </c>
      <c r="C186" s="66">
        <f t="shared" ref="C186:AC186" si="183">C144*C153/C153/(C150)</f>
        <v>1.6256502601040416E-3</v>
      </c>
      <c r="D186" s="66">
        <f t="shared" si="183"/>
        <v>1.6256502601040416E-3</v>
      </c>
      <c r="E186" s="66">
        <f t="shared" si="183"/>
        <v>1.6256502601040416E-3</v>
      </c>
      <c r="F186" s="66">
        <f t="shared" si="183"/>
        <v>1.6256502601040416E-3</v>
      </c>
      <c r="G186" s="66">
        <f t="shared" si="183"/>
        <v>1.6256502601040416E-3</v>
      </c>
      <c r="H186" s="66">
        <f t="shared" si="183"/>
        <v>1.6256502601040416E-3</v>
      </c>
      <c r="I186" s="66">
        <f t="shared" si="183"/>
        <v>1.6256502601040416E-3</v>
      </c>
      <c r="J186" s="66">
        <f t="shared" si="183"/>
        <v>1.6256502601040416E-3</v>
      </c>
      <c r="K186" s="66">
        <f t="shared" si="183"/>
        <v>1.6256502601040416E-3</v>
      </c>
      <c r="L186" s="66">
        <f t="shared" si="183"/>
        <v>1.6256502601040416E-3</v>
      </c>
      <c r="M186" s="66">
        <f t="shared" si="183"/>
        <v>1.6256502601040416E-3</v>
      </c>
      <c r="N186" s="66">
        <f t="shared" si="183"/>
        <v>1.6256502601040416E-3</v>
      </c>
      <c r="O186" s="66">
        <f t="shared" si="183"/>
        <v>1.6256502601040416E-3</v>
      </c>
      <c r="P186" s="66">
        <f t="shared" si="183"/>
        <v>1.6256502601040416E-3</v>
      </c>
      <c r="Q186" s="66">
        <f t="shared" si="183"/>
        <v>1.6256502601040416E-3</v>
      </c>
      <c r="R186" s="66">
        <f t="shared" si="183"/>
        <v>1.6256502601040416E-3</v>
      </c>
      <c r="S186" s="66">
        <f t="shared" si="183"/>
        <v>1.6256502601040416E-3</v>
      </c>
      <c r="T186" s="66">
        <f t="shared" si="183"/>
        <v>1.6256502601040416E-3</v>
      </c>
      <c r="U186" s="66">
        <f t="shared" si="183"/>
        <v>1.6256502601040416E-3</v>
      </c>
      <c r="V186" s="66">
        <f t="shared" si="183"/>
        <v>1.6256502601040416E-3</v>
      </c>
      <c r="W186" s="66">
        <f t="shared" si="183"/>
        <v>1.6256502601040416E-3</v>
      </c>
      <c r="X186" s="66">
        <f t="shared" si="183"/>
        <v>1.6256502601040416E-3</v>
      </c>
      <c r="Y186" s="66">
        <f t="shared" si="183"/>
        <v>1.6256502601040416E-3</v>
      </c>
      <c r="Z186" s="66">
        <f t="shared" si="183"/>
        <v>1.6256502601040416E-3</v>
      </c>
      <c r="AA186" s="66">
        <f t="shared" si="183"/>
        <v>1.6256502601040416E-3</v>
      </c>
      <c r="AB186" s="66">
        <f t="shared" si="183"/>
        <v>1.6256502601040416E-3</v>
      </c>
      <c r="AC186" s="66">
        <f t="shared" si="183"/>
        <v>1.6256502601040416E-3</v>
      </c>
    </row>
    <row r="187" spans="1:29" x14ac:dyDescent="0.25">
      <c r="A187" s="30" t="str">
        <f t="shared" si="176"/>
        <v>Fuel Cost</v>
      </c>
      <c r="B187" s="66">
        <f>B145*B146*B153/B153/(B150)</f>
        <v>1.3290239431595586E-3</v>
      </c>
      <c r="C187" s="66">
        <f t="shared" ref="C187:AC187" si="184">C145*C146*C153/C153/(C150)</f>
        <v>1.3290239431595586E-3</v>
      </c>
      <c r="D187" s="66">
        <f t="shared" si="184"/>
        <v>1.3290239431595586E-3</v>
      </c>
      <c r="E187" s="66">
        <f t="shared" si="184"/>
        <v>1.3290239431595586E-3</v>
      </c>
      <c r="F187" s="66">
        <f t="shared" si="184"/>
        <v>1.3290239431595586E-3</v>
      </c>
      <c r="G187" s="66">
        <f t="shared" si="184"/>
        <v>1.3290239431595586E-3</v>
      </c>
      <c r="H187" s="66">
        <f t="shared" si="184"/>
        <v>1.3290239431595586E-3</v>
      </c>
      <c r="I187" s="66">
        <f t="shared" si="184"/>
        <v>1.3290239431595586E-3</v>
      </c>
      <c r="J187" s="66">
        <f t="shared" si="184"/>
        <v>1.3548987444936466E-3</v>
      </c>
      <c r="K187" s="66">
        <f t="shared" si="184"/>
        <v>1.3807735458277353E-3</v>
      </c>
      <c r="L187" s="66">
        <f t="shared" si="184"/>
        <v>1.4066483471618235E-3</v>
      </c>
      <c r="M187" s="66">
        <f t="shared" si="184"/>
        <v>1.4325231484959115E-3</v>
      </c>
      <c r="N187" s="66">
        <f t="shared" si="184"/>
        <v>1.45839794983E-3</v>
      </c>
      <c r="O187" s="66">
        <f t="shared" si="184"/>
        <v>1.4442844218295879E-3</v>
      </c>
      <c r="P187" s="66">
        <f t="shared" si="184"/>
        <v>1.4301708938291762E-3</v>
      </c>
      <c r="Q187" s="66">
        <f t="shared" si="184"/>
        <v>1.4160573658287643E-3</v>
      </c>
      <c r="R187" s="66">
        <f t="shared" si="184"/>
        <v>1.4019438378283524E-3</v>
      </c>
      <c r="S187" s="66">
        <f t="shared" si="184"/>
        <v>1.3878303098279409E-3</v>
      </c>
      <c r="T187" s="66">
        <f t="shared" si="184"/>
        <v>1.3737167818275292E-3</v>
      </c>
      <c r="U187" s="66">
        <f t="shared" si="184"/>
        <v>1.3596032538271171E-3</v>
      </c>
      <c r="V187" s="66">
        <f t="shared" si="184"/>
        <v>1.3454897258267052E-3</v>
      </c>
      <c r="W187" s="66">
        <f t="shared" si="184"/>
        <v>1.3313761978262938E-3</v>
      </c>
      <c r="X187" s="66">
        <f t="shared" si="184"/>
        <v>1.3172626698258823E-3</v>
      </c>
      <c r="Y187" s="66">
        <f t="shared" si="184"/>
        <v>1.3031491418254704E-3</v>
      </c>
      <c r="Z187" s="66">
        <f t="shared" si="184"/>
        <v>1.2890356138250585E-3</v>
      </c>
      <c r="AA187" s="66">
        <f t="shared" si="184"/>
        <v>1.2749220858246468E-3</v>
      </c>
      <c r="AB187" s="66">
        <f t="shared" si="184"/>
        <v>1.2608085578242347E-3</v>
      </c>
      <c r="AC187" s="66">
        <f t="shared" si="184"/>
        <v>1.2466950298238237E-3</v>
      </c>
    </row>
    <row r="188" spans="1:29" x14ac:dyDescent="0.25">
      <c r="A188" s="59" t="str">
        <f>A151</f>
        <v>Market failure (av. utilization)</v>
      </c>
      <c r="B188" s="66">
        <f t="shared" ref="B188:AC188" si="185">B177/B151-B177/B150</f>
        <v>1.0919336227168881E-2</v>
      </c>
      <c r="C188" s="66">
        <f t="shared" si="185"/>
        <v>1.0919336227168881E-2</v>
      </c>
      <c r="D188" s="66">
        <f t="shared" si="185"/>
        <v>1.0919336227168881E-2</v>
      </c>
      <c r="E188" s="66">
        <f t="shared" si="185"/>
        <v>1.0919336227168881E-2</v>
      </c>
      <c r="F188" s="66">
        <f t="shared" si="185"/>
        <v>1.0919336227168881E-2</v>
      </c>
      <c r="G188" s="66">
        <f t="shared" si="185"/>
        <v>1.0919336227168881E-2</v>
      </c>
      <c r="H188" s="66">
        <f t="shared" si="185"/>
        <v>1.0919336227168881E-2</v>
      </c>
      <c r="I188" s="66">
        <f t="shared" si="185"/>
        <v>1.0919336227168881E-2</v>
      </c>
      <c r="J188" s="66">
        <f t="shared" si="185"/>
        <v>1.0954105491461563E-2</v>
      </c>
      <c r="K188" s="66">
        <f t="shared" si="185"/>
        <v>1.0988874755754245E-2</v>
      </c>
      <c r="L188" s="66">
        <f t="shared" si="185"/>
        <v>1.1023644020046927E-2</v>
      </c>
      <c r="M188" s="66">
        <f t="shared" si="185"/>
        <v>1.1058413284339607E-2</v>
      </c>
      <c r="N188" s="66">
        <f t="shared" si="185"/>
        <v>1.1093182548632289E-2</v>
      </c>
      <c r="O188" s="66">
        <f t="shared" si="185"/>
        <v>1.1074217495381735E-2</v>
      </c>
      <c r="P188" s="66">
        <f t="shared" si="185"/>
        <v>1.105525244213118E-2</v>
      </c>
      <c r="Q188" s="66">
        <f t="shared" si="185"/>
        <v>1.1036287388880626E-2</v>
      </c>
      <c r="R188" s="66">
        <f t="shared" si="185"/>
        <v>1.1017322335630074E-2</v>
      </c>
      <c r="S188" s="66">
        <f t="shared" si="185"/>
        <v>1.0998357282379523E-2</v>
      </c>
      <c r="T188" s="66">
        <f t="shared" si="185"/>
        <v>1.0979392229128969E-2</v>
      </c>
      <c r="U188" s="66">
        <f t="shared" si="185"/>
        <v>1.0960427175878414E-2</v>
      </c>
      <c r="V188" s="66">
        <f t="shared" si="185"/>
        <v>1.0941462122627863E-2</v>
      </c>
      <c r="W188" s="66">
        <f t="shared" si="185"/>
        <v>1.0922497069377307E-2</v>
      </c>
      <c r="X188" s="66">
        <f t="shared" si="185"/>
        <v>1.0903532016126757E-2</v>
      </c>
      <c r="Y188" s="66">
        <f t="shared" si="185"/>
        <v>1.0884566962876199E-2</v>
      </c>
      <c r="Z188" s="66">
        <f t="shared" si="185"/>
        <v>1.0865601909625648E-2</v>
      </c>
      <c r="AA188" s="66">
        <f t="shared" si="185"/>
        <v>1.0846636856375096E-2</v>
      </c>
      <c r="AB188" s="66">
        <f t="shared" si="185"/>
        <v>1.082767180312454E-2</v>
      </c>
      <c r="AC188" s="66">
        <f t="shared" si="185"/>
        <v>1.0808706749873987E-2</v>
      </c>
    </row>
    <row r="189" spans="1:29" x14ac:dyDescent="0.25">
      <c r="A189" s="59" t="str">
        <f>A152</f>
        <v>Payload loss (fuel)</v>
      </c>
      <c r="B189" s="66">
        <f>B177/(B150-B152)-B177/B150</f>
        <v>0</v>
      </c>
      <c r="C189" s="66">
        <f t="shared" ref="C189:AC189" si="186">C177/(C150-C152)-C177/C150</f>
        <v>0</v>
      </c>
      <c r="D189" s="66">
        <f t="shared" si="186"/>
        <v>0</v>
      </c>
      <c r="E189" s="66">
        <f t="shared" si="186"/>
        <v>0</v>
      </c>
      <c r="F189" s="66">
        <f t="shared" si="186"/>
        <v>0</v>
      </c>
      <c r="G189" s="66">
        <f t="shared" si="186"/>
        <v>0</v>
      </c>
      <c r="H189" s="66">
        <f t="shared" si="186"/>
        <v>0</v>
      </c>
      <c r="I189" s="66">
        <f t="shared" si="186"/>
        <v>0</v>
      </c>
      <c r="J189" s="66">
        <f t="shared" si="186"/>
        <v>0</v>
      </c>
      <c r="K189" s="66">
        <f t="shared" si="186"/>
        <v>0</v>
      </c>
      <c r="L189" s="66">
        <f t="shared" si="186"/>
        <v>0</v>
      </c>
      <c r="M189" s="66">
        <f t="shared" si="186"/>
        <v>0</v>
      </c>
      <c r="N189" s="66">
        <f t="shared" si="186"/>
        <v>0</v>
      </c>
      <c r="O189" s="66">
        <f t="shared" si="186"/>
        <v>0</v>
      </c>
      <c r="P189" s="66">
        <f t="shared" si="186"/>
        <v>0</v>
      </c>
      <c r="Q189" s="66">
        <f t="shared" si="186"/>
        <v>0</v>
      </c>
      <c r="R189" s="66">
        <f t="shared" si="186"/>
        <v>0</v>
      </c>
      <c r="S189" s="66">
        <f t="shared" si="186"/>
        <v>0</v>
      </c>
      <c r="T189" s="66">
        <f t="shared" si="186"/>
        <v>0</v>
      </c>
      <c r="U189" s="66">
        <f t="shared" si="186"/>
        <v>0</v>
      </c>
      <c r="V189" s="66">
        <f t="shared" si="186"/>
        <v>0</v>
      </c>
      <c r="W189" s="66">
        <f t="shared" si="186"/>
        <v>0</v>
      </c>
      <c r="X189" s="66">
        <f t="shared" si="186"/>
        <v>0</v>
      </c>
      <c r="Y189" s="66">
        <f t="shared" si="186"/>
        <v>0</v>
      </c>
      <c r="Z189" s="66">
        <f t="shared" si="186"/>
        <v>0</v>
      </c>
      <c r="AA189" s="66">
        <f t="shared" si="186"/>
        <v>0</v>
      </c>
      <c r="AB189" s="66">
        <f t="shared" si="186"/>
        <v>0</v>
      </c>
      <c r="AC189" s="66">
        <f t="shared" si="186"/>
        <v>0</v>
      </c>
    </row>
    <row r="190" spans="1:29" ht="15.75" thickBot="1" x14ac:dyDescent="0.3">
      <c r="A190" s="59" t="str">
        <f>A127</f>
        <v>Emission Cost</v>
      </c>
      <c r="B190" s="68">
        <f>B147*B153/B153/(B150)</f>
        <v>0</v>
      </c>
      <c r="C190" s="68">
        <f t="shared" ref="C190:AC190" si="187">C147*C153/C153/(C150)</f>
        <v>0</v>
      </c>
      <c r="D190" s="68">
        <f t="shared" si="187"/>
        <v>0</v>
      </c>
      <c r="E190" s="68">
        <f t="shared" si="187"/>
        <v>0</v>
      </c>
      <c r="F190" s="68">
        <f t="shared" si="187"/>
        <v>0</v>
      </c>
      <c r="G190" s="68">
        <f t="shared" si="187"/>
        <v>0</v>
      </c>
      <c r="H190" s="68">
        <f t="shared" si="187"/>
        <v>0</v>
      </c>
      <c r="I190" s="68">
        <f t="shared" si="187"/>
        <v>0</v>
      </c>
      <c r="J190" s="68">
        <f t="shared" si="187"/>
        <v>0</v>
      </c>
      <c r="K190" s="68">
        <f t="shared" si="187"/>
        <v>0</v>
      </c>
      <c r="L190" s="68">
        <f t="shared" si="187"/>
        <v>0</v>
      </c>
      <c r="M190" s="68">
        <f t="shared" si="187"/>
        <v>0</v>
      </c>
      <c r="N190" s="68">
        <f t="shared" si="187"/>
        <v>0</v>
      </c>
      <c r="O190" s="68">
        <f t="shared" si="187"/>
        <v>0</v>
      </c>
      <c r="P190" s="68">
        <f t="shared" si="187"/>
        <v>0</v>
      </c>
      <c r="Q190" s="68">
        <f t="shared" si="187"/>
        <v>0</v>
      </c>
      <c r="R190" s="68">
        <f t="shared" si="187"/>
        <v>0</v>
      </c>
      <c r="S190" s="68">
        <f t="shared" si="187"/>
        <v>0</v>
      </c>
      <c r="T190" s="68">
        <f t="shared" si="187"/>
        <v>0</v>
      </c>
      <c r="U190" s="68">
        <f t="shared" si="187"/>
        <v>0</v>
      </c>
      <c r="V190" s="68">
        <f t="shared" si="187"/>
        <v>0</v>
      </c>
      <c r="W190" s="68">
        <f t="shared" si="187"/>
        <v>0</v>
      </c>
      <c r="X190" s="68">
        <f t="shared" si="187"/>
        <v>0</v>
      </c>
      <c r="Y190" s="68">
        <f t="shared" si="187"/>
        <v>0</v>
      </c>
      <c r="Z190" s="68">
        <f t="shared" si="187"/>
        <v>0</v>
      </c>
      <c r="AA190" s="68">
        <f t="shared" si="187"/>
        <v>0</v>
      </c>
      <c r="AB190" s="68">
        <f t="shared" si="187"/>
        <v>0</v>
      </c>
      <c r="AC190" s="68">
        <f t="shared" si="187"/>
        <v>0</v>
      </c>
    </row>
    <row r="191" spans="1:29" ht="15.75" thickBot="1" x14ac:dyDescent="0.3">
      <c r="A191" s="31" t="s">
        <v>210</v>
      </c>
      <c r="B191" s="76">
        <f>B180+B181+B182+B183+B184+B185+B186+B187+B188+B189+B190</f>
        <v>1.8943604708840517E-2</v>
      </c>
      <c r="C191" s="67">
        <f t="shared" ref="C191:AC191" si="188">C180+C181+C182+C183+C184+C185+C186+C187+C188+C189+C190</f>
        <v>1.8943604708840517E-2</v>
      </c>
      <c r="D191" s="67">
        <f t="shared" si="188"/>
        <v>1.8943604708840517E-2</v>
      </c>
      <c r="E191" s="67">
        <f t="shared" si="188"/>
        <v>1.8943604708840517E-2</v>
      </c>
      <c r="F191" s="67">
        <f t="shared" si="188"/>
        <v>1.8943604708840517E-2</v>
      </c>
      <c r="G191" s="67">
        <f t="shared" si="188"/>
        <v>1.8943604708840517E-2</v>
      </c>
      <c r="H191" s="67">
        <f t="shared" si="188"/>
        <v>1.8943604708840517E-2</v>
      </c>
      <c r="I191" s="67">
        <f t="shared" si="188"/>
        <v>1.8943604708840517E-2</v>
      </c>
      <c r="J191" s="67">
        <f t="shared" si="188"/>
        <v>1.900424877446729E-2</v>
      </c>
      <c r="K191" s="67">
        <f t="shared" si="188"/>
        <v>1.9064892840094057E-2</v>
      </c>
      <c r="L191" s="67">
        <f t="shared" si="188"/>
        <v>1.912553690572083E-2</v>
      </c>
      <c r="M191" s="67">
        <f t="shared" si="188"/>
        <v>1.9186180971347597E-2</v>
      </c>
      <c r="N191" s="67">
        <f t="shared" si="188"/>
        <v>1.924682503697437E-2</v>
      </c>
      <c r="O191" s="67">
        <f t="shared" si="188"/>
        <v>1.92137464557234E-2</v>
      </c>
      <c r="P191" s="67">
        <f t="shared" si="188"/>
        <v>1.9180667874472437E-2</v>
      </c>
      <c r="Q191" s="67">
        <f t="shared" si="188"/>
        <v>1.9147589293221468E-2</v>
      </c>
      <c r="R191" s="67">
        <f t="shared" si="188"/>
        <v>1.9114510711970505E-2</v>
      </c>
      <c r="S191" s="67">
        <f t="shared" si="188"/>
        <v>1.9081432130719542E-2</v>
      </c>
      <c r="T191" s="67">
        <f t="shared" si="188"/>
        <v>1.9048353549468579E-2</v>
      </c>
      <c r="U191" s="67">
        <f t="shared" si="188"/>
        <v>1.9015274968217609E-2</v>
      </c>
      <c r="V191" s="67">
        <f t="shared" si="188"/>
        <v>1.8982196386966646E-2</v>
      </c>
      <c r="W191" s="67">
        <f t="shared" si="188"/>
        <v>1.894911780571568E-2</v>
      </c>
      <c r="X191" s="67">
        <f t="shared" si="188"/>
        <v>1.891603922446472E-2</v>
      </c>
      <c r="Y191" s="67">
        <f t="shared" si="188"/>
        <v>1.888296064321375E-2</v>
      </c>
      <c r="Z191" s="67">
        <f t="shared" si="188"/>
        <v>1.8849882061962787E-2</v>
      </c>
      <c r="AA191" s="67">
        <f t="shared" si="188"/>
        <v>1.8816803480711821E-2</v>
      </c>
      <c r="AB191" s="67">
        <f t="shared" si="188"/>
        <v>1.8783724899460855E-2</v>
      </c>
      <c r="AC191" s="67">
        <f t="shared" si="188"/>
        <v>1.8750646318209892E-2</v>
      </c>
    </row>
    <row r="193" spans="2:2" x14ac:dyDescent="0.25">
      <c r="B193" s="40"/>
    </row>
    <row r="215" spans="1:44" s="3" customFormat="1" ht="21" x14ac:dyDescent="0.35">
      <c r="A215" s="2" t="str">
        <f>'Parameter Input'!A170</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Input'!$L$159</f>
        <v>5000000</v>
      </c>
      <c r="C225" s="42">
        <f>'Parameter Input'!$M$159</f>
        <v>5000000</v>
      </c>
      <c r="D225" s="1" t="s">
        <v>15</v>
      </c>
      <c r="L225" s="51">
        <f>'Parameter Input'!$O$159</f>
        <v>12</v>
      </c>
      <c r="M225" s="52">
        <v>0</v>
      </c>
      <c r="N225" s="52">
        <v>1</v>
      </c>
      <c r="O225" s="52">
        <f>'Parameter Input'!$P$159</f>
        <v>0.9</v>
      </c>
      <c r="P225" s="53">
        <f>'Parameter Input'!$Q$159</f>
        <v>0.4</v>
      </c>
      <c r="Q225" s="4">
        <f t="shared" ref="Q225:AR234" si="189">$N225+($M225-$N225)*((1/(1+EXP(-$P225*(Q$9-$L225)))^$O225))</f>
        <v>0.9867978615748374</v>
      </c>
      <c r="R225" s="4">
        <f t="shared" si="189"/>
        <v>0.98114509762858249</v>
      </c>
      <c r="S225" s="4">
        <f t="shared" si="189"/>
        <v>0.97311898315872036</v>
      </c>
      <c r="T225" s="4">
        <f t="shared" si="189"/>
        <v>0.96177484161592774</v>
      </c>
      <c r="U225" s="4">
        <f t="shared" si="189"/>
        <v>0.94584787155511363</v>
      </c>
      <c r="V225" s="4">
        <f t="shared" si="189"/>
        <v>0.92370360150141495</v>
      </c>
      <c r="W225" s="4">
        <f t="shared" si="189"/>
        <v>0.89334463567658451</v>
      </c>
      <c r="X225" s="4">
        <f t="shared" si="189"/>
        <v>0.85254543874327005</v>
      </c>
      <c r="Y225" s="4">
        <f t="shared" si="189"/>
        <v>0.79921300652623883</v>
      </c>
      <c r="Z225" s="4">
        <f t="shared" si="189"/>
        <v>0.73204982249993378</v>
      </c>
      <c r="AA225" s="4">
        <f t="shared" si="189"/>
        <v>0.65145592958786691</v>
      </c>
      <c r="AB225" s="4">
        <f t="shared" si="189"/>
        <v>0.56032247880849573</v>
      </c>
      <c r="AC225" s="4">
        <f t="shared" si="189"/>
        <v>0.46411326873185343</v>
      </c>
      <c r="AD225" s="4">
        <f t="shared" si="189"/>
        <v>0.36979727595523937</v>
      </c>
      <c r="AE225" s="4">
        <f t="shared" si="189"/>
        <v>0.28393948637231203</v>
      </c>
      <c r="AF225" s="4">
        <f t="shared" si="189"/>
        <v>0.21097259161117732</v>
      </c>
      <c r="AG225" s="4">
        <f t="shared" si="189"/>
        <v>0.15253917653798199</v>
      </c>
      <c r="AH225" s="4">
        <f t="shared" si="189"/>
        <v>0.10795188737709993</v>
      </c>
      <c r="AI225" s="4">
        <f t="shared" si="189"/>
        <v>7.5176653938091809E-2</v>
      </c>
      <c r="AJ225" s="4">
        <f t="shared" si="189"/>
        <v>5.1742836177502194E-2</v>
      </c>
      <c r="AK225" s="4">
        <f t="shared" si="189"/>
        <v>3.5319190625345942E-2</v>
      </c>
      <c r="AL225" s="4">
        <f t="shared" si="189"/>
        <v>2.3969442072658165E-2</v>
      </c>
      <c r="AM225" s="4">
        <f t="shared" si="189"/>
        <v>1.6202243558389728E-2</v>
      </c>
      <c r="AN225" s="4">
        <f t="shared" si="189"/>
        <v>1.0922240564108399E-2</v>
      </c>
      <c r="AO225" s="4">
        <f t="shared" si="189"/>
        <v>7.3493212906090566E-3</v>
      </c>
      <c r="AP225" s="4">
        <f t="shared" si="189"/>
        <v>4.9390262185057265E-3</v>
      </c>
      <c r="AQ225" s="4">
        <f t="shared" si="189"/>
        <v>3.3164275492956197E-3</v>
      </c>
      <c r="AR225" s="4">
        <f t="shared" si="189"/>
        <v>2.2256362146679809E-3</v>
      </c>
    </row>
    <row r="226" spans="1:44" x14ac:dyDescent="0.25">
      <c r="A226" s="24" t="s">
        <v>28</v>
      </c>
      <c r="B226" s="60">
        <f>'Parameter Input'!$L$160</f>
        <v>-750000</v>
      </c>
      <c r="C226" s="61">
        <f>'Parameter Input'!$M$160</f>
        <v>-750000</v>
      </c>
      <c r="D226" s="1" t="s">
        <v>15</v>
      </c>
      <c r="L226" s="54">
        <f>'Parameter Input'!$O$160</f>
        <v>12</v>
      </c>
      <c r="M226" s="37">
        <v>0</v>
      </c>
      <c r="N226" s="37">
        <v>1</v>
      </c>
      <c r="O226" s="37">
        <f>'Parameter Input'!$P$160</f>
        <v>0.9</v>
      </c>
      <c r="P226" s="55">
        <f>'Parameter Input'!$Q$160</f>
        <v>0.4</v>
      </c>
      <c r="Q226" s="4">
        <f t="shared" si="189"/>
        <v>0.9867978615748374</v>
      </c>
      <c r="R226" s="4">
        <f t="shared" si="189"/>
        <v>0.98114509762858249</v>
      </c>
      <c r="S226" s="4">
        <f t="shared" si="189"/>
        <v>0.97311898315872036</v>
      </c>
      <c r="T226" s="4">
        <f t="shared" si="189"/>
        <v>0.96177484161592774</v>
      </c>
      <c r="U226" s="4">
        <f t="shared" si="189"/>
        <v>0.94584787155511363</v>
      </c>
      <c r="V226" s="4">
        <f t="shared" si="189"/>
        <v>0.92370360150141495</v>
      </c>
      <c r="W226" s="4">
        <f t="shared" si="189"/>
        <v>0.89334463567658451</v>
      </c>
      <c r="X226" s="4">
        <f t="shared" si="189"/>
        <v>0.85254543874327005</v>
      </c>
      <c r="Y226" s="4">
        <f t="shared" si="189"/>
        <v>0.79921300652623883</v>
      </c>
      <c r="Z226" s="4">
        <f t="shared" si="189"/>
        <v>0.73204982249993378</v>
      </c>
      <c r="AA226" s="4">
        <f t="shared" si="189"/>
        <v>0.65145592958786691</v>
      </c>
      <c r="AB226" s="4">
        <f t="shared" si="189"/>
        <v>0.56032247880849573</v>
      </c>
      <c r="AC226" s="4">
        <f t="shared" si="189"/>
        <v>0.46411326873185343</v>
      </c>
      <c r="AD226" s="4">
        <f t="shared" si="189"/>
        <v>0.36979727595523937</v>
      </c>
      <c r="AE226" s="4">
        <f t="shared" si="189"/>
        <v>0.28393948637231203</v>
      </c>
      <c r="AF226" s="4">
        <f t="shared" si="189"/>
        <v>0.21097259161117732</v>
      </c>
      <c r="AG226" s="4">
        <f t="shared" si="189"/>
        <v>0.15253917653798199</v>
      </c>
      <c r="AH226" s="4">
        <f t="shared" si="189"/>
        <v>0.10795188737709993</v>
      </c>
      <c r="AI226" s="4">
        <f t="shared" si="189"/>
        <v>7.5176653938091809E-2</v>
      </c>
      <c r="AJ226" s="4">
        <f t="shared" si="189"/>
        <v>5.1742836177502194E-2</v>
      </c>
      <c r="AK226" s="4">
        <f t="shared" si="189"/>
        <v>3.5319190625345942E-2</v>
      </c>
      <c r="AL226" s="4">
        <f t="shared" si="189"/>
        <v>2.3969442072658165E-2</v>
      </c>
      <c r="AM226" s="4">
        <f t="shared" si="189"/>
        <v>1.6202243558389728E-2</v>
      </c>
      <c r="AN226" s="4">
        <f t="shared" si="189"/>
        <v>1.0922240564108399E-2</v>
      </c>
      <c r="AO226" s="4">
        <f t="shared" si="189"/>
        <v>7.3493212906090566E-3</v>
      </c>
      <c r="AP226" s="4">
        <f t="shared" si="189"/>
        <v>4.9390262185057265E-3</v>
      </c>
      <c r="AQ226" s="4">
        <f t="shared" si="189"/>
        <v>3.3164275492956197E-3</v>
      </c>
      <c r="AR226" s="4">
        <f t="shared" si="189"/>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89"/>
        <v>0.9867978615748374</v>
      </c>
      <c r="R227" s="4">
        <f t="shared" si="189"/>
        <v>0.98114509762858249</v>
      </c>
      <c r="S227" s="4">
        <f t="shared" si="189"/>
        <v>0.97311898315872036</v>
      </c>
      <c r="T227" s="4">
        <f t="shared" si="189"/>
        <v>0.96177484161592774</v>
      </c>
      <c r="U227" s="4">
        <f t="shared" si="189"/>
        <v>0.94584787155511363</v>
      </c>
      <c r="V227" s="4">
        <f t="shared" si="189"/>
        <v>0.92370360150141495</v>
      </c>
      <c r="W227" s="4">
        <f t="shared" si="189"/>
        <v>0.89334463567658451</v>
      </c>
      <c r="X227" s="4">
        <f t="shared" si="189"/>
        <v>0.85254543874327005</v>
      </c>
      <c r="Y227" s="4">
        <f t="shared" si="189"/>
        <v>0.79921300652623883</v>
      </c>
      <c r="Z227" s="4">
        <f t="shared" si="189"/>
        <v>0.73204982249993378</v>
      </c>
      <c r="AA227" s="4">
        <f t="shared" si="189"/>
        <v>0.65145592958786691</v>
      </c>
      <c r="AB227" s="4">
        <f t="shared" si="189"/>
        <v>0.56032247880849573</v>
      </c>
      <c r="AC227" s="4">
        <f t="shared" si="189"/>
        <v>0.46411326873185343</v>
      </c>
      <c r="AD227" s="4">
        <f t="shared" si="189"/>
        <v>0.36979727595523937</v>
      </c>
      <c r="AE227" s="4">
        <f t="shared" si="189"/>
        <v>0.28393948637231203</v>
      </c>
      <c r="AF227" s="4">
        <f t="shared" si="189"/>
        <v>0.21097259161117732</v>
      </c>
      <c r="AG227" s="4">
        <f t="shared" si="189"/>
        <v>0.15253917653798199</v>
      </c>
      <c r="AH227" s="4">
        <f t="shared" si="189"/>
        <v>0.10795188737709993</v>
      </c>
      <c r="AI227" s="4">
        <f t="shared" si="189"/>
        <v>7.5176653938091809E-2</v>
      </c>
      <c r="AJ227" s="4">
        <f t="shared" si="189"/>
        <v>5.1742836177502194E-2</v>
      </c>
      <c r="AK227" s="4">
        <f t="shared" si="189"/>
        <v>3.5319190625345942E-2</v>
      </c>
      <c r="AL227" s="4">
        <f t="shared" si="189"/>
        <v>2.3969442072658165E-2</v>
      </c>
      <c r="AM227" s="4">
        <f t="shared" si="189"/>
        <v>1.6202243558389728E-2</v>
      </c>
      <c r="AN227" s="4">
        <f t="shared" si="189"/>
        <v>1.0922240564108399E-2</v>
      </c>
      <c r="AO227" s="4">
        <f t="shared" si="189"/>
        <v>7.3493212906090566E-3</v>
      </c>
      <c r="AP227" s="4">
        <f t="shared" si="189"/>
        <v>4.9390262185057265E-3</v>
      </c>
      <c r="AQ227" s="4">
        <f t="shared" si="189"/>
        <v>3.3164275492956197E-3</v>
      </c>
      <c r="AR227" s="4">
        <f t="shared" si="189"/>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89"/>
        <v>0.9867978615748374</v>
      </c>
      <c r="R228" s="4">
        <f t="shared" si="189"/>
        <v>0.98114509762858249</v>
      </c>
      <c r="S228" s="4">
        <f t="shared" si="189"/>
        <v>0.97311898315872036</v>
      </c>
      <c r="T228" s="4">
        <f t="shared" si="189"/>
        <v>0.96177484161592774</v>
      </c>
      <c r="U228" s="4">
        <f t="shared" si="189"/>
        <v>0.94584787155511363</v>
      </c>
      <c r="V228" s="4">
        <f t="shared" si="189"/>
        <v>0.92370360150141495</v>
      </c>
      <c r="W228" s="4">
        <f t="shared" si="189"/>
        <v>0.89334463567658451</v>
      </c>
      <c r="X228" s="4">
        <f t="shared" si="189"/>
        <v>0.85254543874327005</v>
      </c>
      <c r="Y228" s="4">
        <f t="shared" si="189"/>
        <v>0.79921300652623883</v>
      </c>
      <c r="Z228" s="4">
        <f t="shared" si="189"/>
        <v>0.73204982249993378</v>
      </c>
      <c r="AA228" s="4">
        <f t="shared" si="189"/>
        <v>0.65145592958786691</v>
      </c>
      <c r="AB228" s="4">
        <f t="shared" si="189"/>
        <v>0.56032247880849573</v>
      </c>
      <c r="AC228" s="4">
        <f t="shared" si="189"/>
        <v>0.46411326873185343</v>
      </c>
      <c r="AD228" s="4">
        <f t="shared" si="189"/>
        <v>0.36979727595523937</v>
      </c>
      <c r="AE228" s="4">
        <f t="shared" si="189"/>
        <v>0.28393948637231203</v>
      </c>
      <c r="AF228" s="4">
        <f t="shared" si="189"/>
        <v>0.21097259161117732</v>
      </c>
      <c r="AG228" s="4">
        <f t="shared" si="189"/>
        <v>0.15253917653798199</v>
      </c>
      <c r="AH228" s="4">
        <f t="shared" si="189"/>
        <v>0.10795188737709993</v>
      </c>
      <c r="AI228" s="4">
        <f t="shared" si="189"/>
        <v>7.5176653938091809E-2</v>
      </c>
      <c r="AJ228" s="4">
        <f t="shared" si="189"/>
        <v>5.1742836177502194E-2</v>
      </c>
      <c r="AK228" s="4">
        <f t="shared" si="189"/>
        <v>3.5319190625345942E-2</v>
      </c>
      <c r="AL228" s="4">
        <f t="shared" si="189"/>
        <v>2.3969442072658165E-2</v>
      </c>
      <c r="AM228" s="4">
        <f t="shared" si="189"/>
        <v>1.6202243558389728E-2</v>
      </c>
      <c r="AN228" s="4">
        <f t="shared" si="189"/>
        <v>1.0922240564108399E-2</v>
      </c>
      <c r="AO228" s="4">
        <f t="shared" si="189"/>
        <v>7.3493212906090566E-3</v>
      </c>
      <c r="AP228" s="4">
        <f t="shared" si="189"/>
        <v>4.9390262185057265E-3</v>
      </c>
      <c r="AQ228" s="4">
        <f t="shared" si="189"/>
        <v>3.3164275492956197E-3</v>
      </c>
      <c r="AR228" s="4">
        <f t="shared" si="189"/>
        <v>2.2256362146679809E-3</v>
      </c>
    </row>
    <row r="229" spans="1:44" x14ac:dyDescent="0.25">
      <c r="A229" s="24" t="s">
        <v>79</v>
      </c>
      <c r="B229" s="45">
        <f>'Parameter Input'!$L$166</f>
        <v>0.06</v>
      </c>
      <c r="C229" s="46">
        <f>'Parameter Input'!$M$166</f>
        <v>0.06</v>
      </c>
      <c r="D229" s="1" t="s">
        <v>57</v>
      </c>
      <c r="L229" s="54">
        <f>'Parameter Input'!$O$166</f>
        <v>12</v>
      </c>
      <c r="M229" s="37">
        <v>0</v>
      </c>
      <c r="N229" s="37">
        <v>1</v>
      </c>
      <c r="O229" s="37">
        <f>'Parameter Input'!$P$166</f>
        <v>0.9</v>
      </c>
      <c r="P229" s="55">
        <f>'Parameter Input'!$Q$166</f>
        <v>0.4</v>
      </c>
      <c r="Q229" s="4">
        <f t="shared" si="189"/>
        <v>0.9867978615748374</v>
      </c>
      <c r="R229" s="4">
        <f t="shared" si="189"/>
        <v>0.98114509762858249</v>
      </c>
      <c r="S229" s="4">
        <f t="shared" si="189"/>
        <v>0.97311898315872036</v>
      </c>
      <c r="T229" s="4">
        <f t="shared" si="189"/>
        <v>0.96177484161592774</v>
      </c>
      <c r="U229" s="4">
        <f t="shared" si="189"/>
        <v>0.94584787155511363</v>
      </c>
      <c r="V229" s="4">
        <f t="shared" si="189"/>
        <v>0.92370360150141495</v>
      </c>
      <c r="W229" s="4">
        <f t="shared" si="189"/>
        <v>0.89334463567658451</v>
      </c>
      <c r="X229" s="4">
        <f t="shared" si="189"/>
        <v>0.85254543874327005</v>
      </c>
      <c r="Y229" s="4">
        <f t="shared" si="189"/>
        <v>0.79921300652623883</v>
      </c>
      <c r="Z229" s="4">
        <f t="shared" si="189"/>
        <v>0.73204982249993378</v>
      </c>
      <c r="AA229" s="4">
        <f t="shared" si="189"/>
        <v>0.65145592958786691</v>
      </c>
      <c r="AB229" s="4">
        <f t="shared" si="189"/>
        <v>0.56032247880849573</v>
      </c>
      <c r="AC229" s="4">
        <f t="shared" si="189"/>
        <v>0.46411326873185343</v>
      </c>
      <c r="AD229" s="4">
        <f t="shared" si="189"/>
        <v>0.36979727595523937</v>
      </c>
      <c r="AE229" s="4">
        <f t="shared" si="189"/>
        <v>0.28393948637231203</v>
      </c>
      <c r="AF229" s="4">
        <f t="shared" si="189"/>
        <v>0.21097259161117732</v>
      </c>
      <c r="AG229" s="4">
        <f t="shared" si="189"/>
        <v>0.15253917653798199</v>
      </c>
      <c r="AH229" s="4">
        <f t="shared" si="189"/>
        <v>0.10795188737709993</v>
      </c>
      <c r="AI229" s="4">
        <f t="shared" si="189"/>
        <v>7.5176653938091809E-2</v>
      </c>
      <c r="AJ229" s="4">
        <f t="shared" si="189"/>
        <v>5.1742836177502194E-2</v>
      </c>
      <c r="AK229" s="4">
        <f t="shared" si="189"/>
        <v>3.5319190625345942E-2</v>
      </c>
      <c r="AL229" s="4">
        <f t="shared" si="189"/>
        <v>2.3969442072658165E-2</v>
      </c>
      <c r="AM229" s="4">
        <f t="shared" si="189"/>
        <v>1.6202243558389728E-2</v>
      </c>
      <c r="AN229" s="4">
        <f t="shared" si="189"/>
        <v>1.0922240564108399E-2</v>
      </c>
      <c r="AO229" s="4">
        <f t="shared" si="189"/>
        <v>7.3493212906090566E-3</v>
      </c>
      <c r="AP229" s="4">
        <f t="shared" si="189"/>
        <v>4.9390262185057265E-3</v>
      </c>
      <c r="AQ229" s="4">
        <f t="shared" si="189"/>
        <v>3.3164275492956197E-3</v>
      </c>
      <c r="AR229" s="4">
        <f t="shared" si="189"/>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89"/>
        <v>0.9867978615748374</v>
      </c>
      <c r="R230" s="4">
        <f t="shared" si="189"/>
        <v>0.98114509762858249</v>
      </c>
      <c r="S230" s="4">
        <f t="shared" si="189"/>
        <v>0.97311898315872036</v>
      </c>
      <c r="T230" s="4">
        <f t="shared" si="189"/>
        <v>0.96177484161592774</v>
      </c>
      <c r="U230" s="4">
        <f t="shared" si="189"/>
        <v>0.94584787155511363</v>
      </c>
      <c r="V230" s="4">
        <f t="shared" si="189"/>
        <v>0.92370360150141495</v>
      </c>
      <c r="W230" s="4">
        <f t="shared" si="189"/>
        <v>0.89334463567658451</v>
      </c>
      <c r="X230" s="4">
        <f t="shared" si="189"/>
        <v>0.85254543874327005</v>
      </c>
      <c r="Y230" s="4">
        <f t="shared" si="189"/>
        <v>0.79921300652623883</v>
      </c>
      <c r="Z230" s="4">
        <f t="shared" si="189"/>
        <v>0.73204982249993378</v>
      </c>
      <c r="AA230" s="4">
        <f t="shared" si="189"/>
        <v>0.65145592958786691</v>
      </c>
      <c r="AB230" s="4">
        <f t="shared" si="189"/>
        <v>0.56032247880849573</v>
      </c>
      <c r="AC230" s="4">
        <f t="shared" si="189"/>
        <v>0.46411326873185343</v>
      </c>
      <c r="AD230" s="4">
        <f t="shared" si="189"/>
        <v>0.36979727595523937</v>
      </c>
      <c r="AE230" s="4">
        <f t="shared" si="189"/>
        <v>0.28393948637231203</v>
      </c>
      <c r="AF230" s="4">
        <f t="shared" si="189"/>
        <v>0.21097259161117732</v>
      </c>
      <c r="AG230" s="4">
        <f t="shared" si="189"/>
        <v>0.15253917653798199</v>
      </c>
      <c r="AH230" s="4">
        <f t="shared" si="189"/>
        <v>0.10795188737709993</v>
      </c>
      <c r="AI230" s="4">
        <f t="shared" si="189"/>
        <v>7.5176653938091809E-2</v>
      </c>
      <c r="AJ230" s="4">
        <f t="shared" si="189"/>
        <v>5.1742836177502194E-2</v>
      </c>
      <c r="AK230" s="4">
        <f t="shared" si="189"/>
        <v>3.5319190625345942E-2</v>
      </c>
      <c r="AL230" s="4">
        <f t="shared" si="189"/>
        <v>2.3969442072658165E-2</v>
      </c>
      <c r="AM230" s="4">
        <f t="shared" si="189"/>
        <v>1.6202243558389728E-2</v>
      </c>
      <c r="AN230" s="4">
        <f t="shared" si="189"/>
        <v>1.0922240564108399E-2</v>
      </c>
      <c r="AO230" s="4">
        <f t="shared" si="189"/>
        <v>7.3493212906090566E-3</v>
      </c>
      <c r="AP230" s="4">
        <f t="shared" si="189"/>
        <v>4.9390262185057265E-3</v>
      </c>
      <c r="AQ230" s="4">
        <f t="shared" si="189"/>
        <v>3.3164275492956197E-3</v>
      </c>
      <c r="AR230" s="4">
        <f t="shared" si="189"/>
        <v>2.2256362146679809E-3</v>
      </c>
    </row>
    <row r="231" spans="1:44" x14ac:dyDescent="0.25">
      <c r="A231" s="24" t="s">
        <v>52</v>
      </c>
      <c r="B231" s="43">
        <f>'Parameter Input'!$L$162</f>
        <v>650000</v>
      </c>
      <c r="C231" s="44">
        <f>'Parameter Input'!$M$162</f>
        <v>650000</v>
      </c>
      <c r="D231" s="1" t="s">
        <v>38</v>
      </c>
      <c r="L231" s="54">
        <f>'Parameter Input'!$O$162</f>
        <v>12</v>
      </c>
      <c r="M231" s="37">
        <v>0</v>
      </c>
      <c r="N231" s="37">
        <v>1</v>
      </c>
      <c r="O231" s="37">
        <f>'Parameter Input'!$P$162</f>
        <v>0.9</v>
      </c>
      <c r="P231" s="55">
        <f>'Parameter Input'!$Q$162</f>
        <v>0.4</v>
      </c>
      <c r="Q231" s="4">
        <f t="shared" si="189"/>
        <v>0.9867978615748374</v>
      </c>
      <c r="R231" s="4">
        <f t="shared" si="189"/>
        <v>0.98114509762858249</v>
      </c>
      <c r="S231" s="4">
        <f t="shared" si="189"/>
        <v>0.97311898315872036</v>
      </c>
      <c r="T231" s="4">
        <f t="shared" si="189"/>
        <v>0.96177484161592774</v>
      </c>
      <c r="U231" s="4">
        <f t="shared" si="189"/>
        <v>0.94584787155511363</v>
      </c>
      <c r="V231" s="4">
        <f t="shared" si="189"/>
        <v>0.92370360150141495</v>
      </c>
      <c r="W231" s="4">
        <f t="shared" si="189"/>
        <v>0.89334463567658451</v>
      </c>
      <c r="X231" s="4">
        <f t="shared" si="189"/>
        <v>0.85254543874327005</v>
      </c>
      <c r="Y231" s="4">
        <f t="shared" si="189"/>
        <v>0.79921300652623883</v>
      </c>
      <c r="Z231" s="4">
        <f t="shared" si="189"/>
        <v>0.73204982249993378</v>
      </c>
      <c r="AA231" s="4">
        <f t="shared" si="189"/>
        <v>0.65145592958786691</v>
      </c>
      <c r="AB231" s="4">
        <f t="shared" si="189"/>
        <v>0.56032247880849573</v>
      </c>
      <c r="AC231" s="4">
        <f t="shared" si="189"/>
        <v>0.46411326873185343</v>
      </c>
      <c r="AD231" s="4">
        <f t="shared" si="189"/>
        <v>0.36979727595523937</v>
      </c>
      <c r="AE231" s="4">
        <f t="shared" si="189"/>
        <v>0.28393948637231203</v>
      </c>
      <c r="AF231" s="4">
        <f t="shared" si="189"/>
        <v>0.21097259161117732</v>
      </c>
      <c r="AG231" s="4">
        <f t="shared" si="189"/>
        <v>0.15253917653798199</v>
      </c>
      <c r="AH231" s="4">
        <f t="shared" si="189"/>
        <v>0.10795188737709993</v>
      </c>
      <c r="AI231" s="4">
        <f t="shared" si="189"/>
        <v>7.5176653938091809E-2</v>
      </c>
      <c r="AJ231" s="4">
        <f t="shared" si="189"/>
        <v>5.1742836177502194E-2</v>
      </c>
      <c r="AK231" s="4">
        <f t="shared" si="189"/>
        <v>3.5319190625345942E-2</v>
      </c>
      <c r="AL231" s="4">
        <f t="shared" si="189"/>
        <v>2.3969442072658165E-2</v>
      </c>
      <c r="AM231" s="4">
        <f t="shared" si="189"/>
        <v>1.6202243558389728E-2</v>
      </c>
      <c r="AN231" s="4">
        <f t="shared" si="189"/>
        <v>1.0922240564108399E-2</v>
      </c>
      <c r="AO231" s="4">
        <f t="shared" si="189"/>
        <v>7.3493212906090566E-3</v>
      </c>
      <c r="AP231" s="4">
        <f t="shared" si="189"/>
        <v>4.9390262185057265E-3</v>
      </c>
      <c r="AQ231" s="4">
        <f t="shared" si="189"/>
        <v>3.3164275492956197E-3</v>
      </c>
      <c r="AR231" s="4">
        <f t="shared" si="189"/>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89"/>
        <v>0.9867978615748374</v>
      </c>
      <c r="R232" s="4">
        <f t="shared" si="189"/>
        <v>0.98114509762858249</v>
      </c>
      <c r="S232" s="4">
        <f t="shared" si="189"/>
        <v>0.97311898315872036</v>
      </c>
      <c r="T232" s="4">
        <f t="shared" si="189"/>
        <v>0.96177484161592774</v>
      </c>
      <c r="U232" s="4">
        <f t="shared" si="189"/>
        <v>0.94584787155511363</v>
      </c>
      <c r="V232" s="4">
        <f t="shared" si="189"/>
        <v>0.92370360150141495</v>
      </c>
      <c r="W232" s="4">
        <f t="shared" si="189"/>
        <v>0.89334463567658451</v>
      </c>
      <c r="X232" s="4">
        <f t="shared" si="189"/>
        <v>0.85254543874327005</v>
      </c>
      <c r="Y232" s="4">
        <f t="shared" si="189"/>
        <v>0.79921300652623883</v>
      </c>
      <c r="Z232" s="4">
        <f t="shared" si="189"/>
        <v>0.73204982249993378</v>
      </c>
      <c r="AA232" s="4">
        <f t="shared" si="189"/>
        <v>0.65145592958786691</v>
      </c>
      <c r="AB232" s="4">
        <f t="shared" si="189"/>
        <v>0.56032247880849573</v>
      </c>
      <c r="AC232" s="4">
        <f t="shared" si="189"/>
        <v>0.46411326873185343</v>
      </c>
      <c r="AD232" s="4">
        <f t="shared" si="189"/>
        <v>0.36979727595523937</v>
      </c>
      <c r="AE232" s="4">
        <f t="shared" si="189"/>
        <v>0.28393948637231203</v>
      </c>
      <c r="AF232" s="4">
        <f t="shared" si="189"/>
        <v>0.21097259161117732</v>
      </c>
      <c r="AG232" s="4">
        <f t="shared" si="189"/>
        <v>0.15253917653798199</v>
      </c>
      <c r="AH232" s="4">
        <f t="shared" si="189"/>
        <v>0.10795188737709993</v>
      </c>
      <c r="AI232" s="4">
        <f t="shared" si="189"/>
        <v>7.5176653938091809E-2</v>
      </c>
      <c r="AJ232" s="4">
        <f t="shared" si="189"/>
        <v>5.1742836177502194E-2</v>
      </c>
      <c r="AK232" s="4">
        <f t="shared" si="189"/>
        <v>3.5319190625345942E-2</v>
      </c>
      <c r="AL232" s="4">
        <f t="shared" si="189"/>
        <v>2.3969442072658165E-2</v>
      </c>
      <c r="AM232" s="4">
        <f t="shared" si="189"/>
        <v>1.6202243558389728E-2</v>
      </c>
      <c r="AN232" s="4">
        <f t="shared" si="189"/>
        <v>1.0922240564108399E-2</v>
      </c>
      <c r="AO232" s="4">
        <f t="shared" si="189"/>
        <v>7.3493212906090566E-3</v>
      </c>
      <c r="AP232" s="4">
        <f t="shared" si="189"/>
        <v>4.9390262185057265E-3</v>
      </c>
      <c r="AQ232" s="4">
        <f t="shared" si="189"/>
        <v>3.3164275492956197E-3</v>
      </c>
      <c r="AR232" s="4">
        <f t="shared" si="189"/>
        <v>2.2256362146679809E-3</v>
      </c>
    </row>
    <row r="233" spans="1:44" x14ac:dyDescent="0.25">
      <c r="A233" s="24" t="s">
        <v>59</v>
      </c>
      <c r="B233" s="47">
        <f>'Parameter Input'!$L$163</f>
        <v>31.614305882352937</v>
      </c>
      <c r="C233" s="48">
        <f>'Parameter Input'!$M$163</f>
        <v>31.614305882352937</v>
      </c>
      <c r="D233" s="1" t="s">
        <v>60</v>
      </c>
      <c r="L233" s="54">
        <f>'Parameter Input'!$O$163</f>
        <v>12</v>
      </c>
      <c r="M233" s="37">
        <v>0</v>
      </c>
      <c r="N233" s="37">
        <v>1</v>
      </c>
      <c r="O233" s="37">
        <f>'Parameter Input'!$P$163</f>
        <v>0.9</v>
      </c>
      <c r="P233" s="55">
        <f>'Parameter Input'!$Q$163</f>
        <v>0.4</v>
      </c>
      <c r="Q233" s="4">
        <f t="shared" si="189"/>
        <v>0.9867978615748374</v>
      </c>
      <c r="R233" s="4">
        <f t="shared" si="189"/>
        <v>0.98114509762858249</v>
      </c>
      <c r="S233" s="4">
        <f t="shared" si="189"/>
        <v>0.97311898315872036</v>
      </c>
      <c r="T233" s="4">
        <f t="shared" si="189"/>
        <v>0.96177484161592774</v>
      </c>
      <c r="U233" s="4">
        <f t="shared" si="189"/>
        <v>0.94584787155511363</v>
      </c>
      <c r="V233" s="4">
        <f t="shared" si="189"/>
        <v>0.92370360150141495</v>
      </c>
      <c r="W233" s="4">
        <f t="shared" si="189"/>
        <v>0.89334463567658451</v>
      </c>
      <c r="X233" s="4">
        <f t="shared" si="189"/>
        <v>0.85254543874327005</v>
      </c>
      <c r="Y233" s="4">
        <f t="shared" si="189"/>
        <v>0.79921300652623883</v>
      </c>
      <c r="Z233" s="4">
        <f t="shared" si="189"/>
        <v>0.73204982249993378</v>
      </c>
      <c r="AA233" s="4">
        <f t="shared" si="189"/>
        <v>0.65145592958786691</v>
      </c>
      <c r="AB233" s="4">
        <f t="shared" si="189"/>
        <v>0.56032247880849573</v>
      </c>
      <c r="AC233" s="4">
        <f t="shared" si="189"/>
        <v>0.46411326873185343</v>
      </c>
      <c r="AD233" s="4">
        <f t="shared" si="189"/>
        <v>0.36979727595523937</v>
      </c>
      <c r="AE233" s="4">
        <f t="shared" si="189"/>
        <v>0.28393948637231203</v>
      </c>
      <c r="AF233" s="4">
        <f t="shared" si="189"/>
        <v>0.21097259161117732</v>
      </c>
      <c r="AG233" s="4">
        <f t="shared" si="189"/>
        <v>0.15253917653798199</v>
      </c>
      <c r="AH233" s="4">
        <f t="shared" si="189"/>
        <v>0.10795188737709993</v>
      </c>
      <c r="AI233" s="4">
        <f t="shared" si="189"/>
        <v>7.5176653938091809E-2</v>
      </c>
      <c r="AJ233" s="4">
        <f t="shared" si="189"/>
        <v>5.1742836177502194E-2</v>
      </c>
      <c r="AK233" s="4">
        <f t="shared" si="189"/>
        <v>3.5319190625345942E-2</v>
      </c>
      <c r="AL233" s="4">
        <f t="shared" si="189"/>
        <v>2.3969442072658165E-2</v>
      </c>
      <c r="AM233" s="4">
        <f t="shared" si="189"/>
        <v>1.6202243558389728E-2</v>
      </c>
      <c r="AN233" s="4">
        <f t="shared" si="189"/>
        <v>1.0922240564108399E-2</v>
      </c>
      <c r="AO233" s="4">
        <f t="shared" si="189"/>
        <v>7.3493212906090566E-3</v>
      </c>
      <c r="AP233" s="4">
        <f t="shared" si="189"/>
        <v>4.9390262185057265E-3</v>
      </c>
      <c r="AQ233" s="4">
        <f t="shared" si="189"/>
        <v>3.3164275492956197E-3</v>
      </c>
      <c r="AR233" s="4">
        <f t="shared" si="189"/>
        <v>2.2256362146679809E-3</v>
      </c>
    </row>
    <row r="234" spans="1:44" x14ac:dyDescent="0.25">
      <c r="A234" s="24" t="s">
        <v>67</v>
      </c>
      <c r="B234" s="45">
        <f>'Parameter Input'!$L$164</f>
        <v>0.13371034051801745</v>
      </c>
      <c r="C234" s="46">
        <f>'Parameter Input'!$M$164</f>
        <v>8.7585019329602734E-2</v>
      </c>
      <c r="D234" s="1" t="s">
        <v>68</v>
      </c>
      <c r="L234" s="54">
        <f>'Parameter Input'!$O$164</f>
        <v>12</v>
      </c>
      <c r="M234" s="37">
        <v>0</v>
      </c>
      <c r="N234" s="37">
        <v>1</v>
      </c>
      <c r="O234" s="37">
        <f>'Parameter Input'!$P$164</f>
        <v>0.9</v>
      </c>
      <c r="P234" s="55">
        <f>'Parameter Input'!$Q$164</f>
        <v>0.4</v>
      </c>
      <c r="Q234" s="4">
        <f t="shared" si="189"/>
        <v>0.9867978615748374</v>
      </c>
      <c r="R234" s="4">
        <f t="shared" si="189"/>
        <v>0.98114509762858249</v>
      </c>
      <c r="S234" s="4">
        <f t="shared" si="189"/>
        <v>0.97311898315872036</v>
      </c>
      <c r="T234" s="4">
        <f t="shared" ref="T234:AI241" si="190">$N234+($M234-$N234)*((1/(1+EXP(-$P234*(T$9-$L234)))^$O234))</f>
        <v>0.96177484161592774</v>
      </c>
      <c r="U234" s="4">
        <f t="shared" si="190"/>
        <v>0.94584787155511363</v>
      </c>
      <c r="V234" s="4">
        <f t="shared" si="190"/>
        <v>0.92370360150141495</v>
      </c>
      <c r="W234" s="4">
        <f t="shared" si="190"/>
        <v>0.89334463567658451</v>
      </c>
      <c r="X234" s="4">
        <f t="shared" si="190"/>
        <v>0.85254543874327005</v>
      </c>
      <c r="Y234" s="4">
        <f t="shared" si="190"/>
        <v>0.79921300652623883</v>
      </c>
      <c r="Z234" s="4">
        <f t="shared" si="190"/>
        <v>0.73204982249993378</v>
      </c>
      <c r="AA234" s="4">
        <f t="shared" si="190"/>
        <v>0.65145592958786691</v>
      </c>
      <c r="AB234" s="4">
        <f t="shared" si="190"/>
        <v>0.56032247880849573</v>
      </c>
      <c r="AC234" s="4">
        <f t="shared" si="190"/>
        <v>0.46411326873185343</v>
      </c>
      <c r="AD234" s="4">
        <f t="shared" si="190"/>
        <v>0.36979727595523937</v>
      </c>
      <c r="AE234" s="4">
        <f t="shared" si="190"/>
        <v>0.28393948637231203</v>
      </c>
      <c r="AF234" s="4">
        <f t="shared" si="190"/>
        <v>0.21097259161117732</v>
      </c>
      <c r="AG234" s="4">
        <f t="shared" si="190"/>
        <v>0.15253917653798199</v>
      </c>
      <c r="AH234" s="4">
        <f t="shared" si="190"/>
        <v>0.10795188737709993</v>
      </c>
      <c r="AI234" s="4">
        <f t="shared" si="190"/>
        <v>7.5176653938091809E-2</v>
      </c>
      <c r="AJ234" s="4">
        <f t="shared" ref="AJ234:AR241" si="191">$N234+($M234-$N234)*((1/(1+EXP(-$P234*(AJ$9-$L234)))^$O234))</f>
        <v>5.1742836177502194E-2</v>
      </c>
      <c r="AK234" s="4">
        <f t="shared" si="191"/>
        <v>3.5319190625345942E-2</v>
      </c>
      <c r="AL234" s="4">
        <f t="shared" si="191"/>
        <v>2.3969442072658165E-2</v>
      </c>
      <c r="AM234" s="4">
        <f t="shared" si="191"/>
        <v>1.6202243558389728E-2</v>
      </c>
      <c r="AN234" s="4">
        <f t="shared" si="191"/>
        <v>1.0922240564108399E-2</v>
      </c>
      <c r="AO234" s="4">
        <f t="shared" si="191"/>
        <v>7.3493212906090566E-3</v>
      </c>
      <c r="AP234" s="4">
        <f t="shared" si="191"/>
        <v>4.9390262185057265E-3</v>
      </c>
      <c r="AQ234" s="4">
        <f t="shared" si="191"/>
        <v>3.3164275492956197E-3</v>
      </c>
      <c r="AR234" s="4">
        <f t="shared" si="191"/>
        <v>2.2256362146679809E-3</v>
      </c>
    </row>
    <row r="235" spans="1:44" x14ac:dyDescent="0.25">
      <c r="A235" s="24" t="s">
        <v>206</v>
      </c>
      <c r="B235" s="115">
        <f>'Parameter Input'!$L$167</f>
        <v>0</v>
      </c>
      <c r="C235" s="116">
        <f>'Parameter Input'!$M$167</f>
        <v>0</v>
      </c>
      <c r="D235" s="1" t="s">
        <v>76</v>
      </c>
      <c r="L235" s="54">
        <f>'Parameter Input'!$O$167</f>
        <v>17</v>
      </c>
      <c r="M235" s="37">
        <v>0</v>
      </c>
      <c r="N235" s="37">
        <v>1</v>
      </c>
      <c r="O235" s="37">
        <f>'Parameter Input'!$P$167</f>
        <v>0.9</v>
      </c>
      <c r="P235" s="55">
        <f>'Parameter Input'!$Q$167</f>
        <v>0.4</v>
      </c>
      <c r="Q235" s="4">
        <f t="shared" ref="Q235:AR235" si="192">$N235+($M235-$N235)*((1/(1+EXP(-$P235*(Q$9-$L235)))^$O235))</f>
        <v>0.99780374543478534</v>
      </c>
      <c r="R235" s="4">
        <f t="shared" si="192"/>
        <v>0.99685359315256394</v>
      </c>
      <c r="S235" s="4">
        <f t="shared" si="192"/>
        <v>0.99549347132349975</v>
      </c>
      <c r="T235" s="4">
        <f t="shared" si="192"/>
        <v>0.99354772139898062</v>
      </c>
      <c r="U235" s="4">
        <f t="shared" si="192"/>
        <v>0.99076681540580536</v>
      </c>
      <c r="V235" s="4">
        <f t="shared" si="192"/>
        <v>0.9867978615748374</v>
      </c>
      <c r="W235" s="4">
        <f t="shared" si="192"/>
        <v>0.98114509762858249</v>
      </c>
      <c r="X235" s="4">
        <f t="shared" si="192"/>
        <v>0.97311898315872036</v>
      </c>
      <c r="Y235" s="4">
        <f t="shared" si="192"/>
        <v>0.96177484161592774</v>
      </c>
      <c r="Z235" s="4">
        <f t="shared" si="192"/>
        <v>0.94584787155511363</v>
      </c>
      <c r="AA235" s="4">
        <f t="shared" si="192"/>
        <v>0.92370360150141495</v>
      </c>
      <c r="AB235" s="4">
        <f t="shared" si="192"/>
        <v>0.89334463567658451</v>
      </c>
      <c r="AC235" s="4">
        <f t="shared" si="192"/>
        <v>0.85254543874327005</v>
      </c>
      <c r="AD235" s="4">
        <f t="shared" si="192"/>
        <v>0.79921300652623883</v>
      </c>
      <c r="AE235" s="4">
        <f t="shared" si="192"/>
        <v>0.73204982249993378</v>
      </c>
      <c r="AF235" s="4">
        <f t="shared" si="192"/>
        <v>0.65145592958786691</v>
      </c>
      <c r="AG235" s="4">
        <f t="shared" si="192"/>
        <v>0.56032247880849573</v>
      </c>
      <c r="AH235" s="4">
        <f t="shared" si="192"/>
        <v>0.46411326873185343</v>
      </c>
      <c r="AI235" s="4">
        <f t="shared" si="192"/>
        <v>0.36979727595523937</v>
      </c>
      <c r="AJ235" s="4">
        <f t="shared" si="192"/>
        <v>0.28393948637231203</v>
      </c>
      <c r="AK235" s="4">
        <f t="shared" si="192"/>
        <v>0.21097259161117732</v>
      </c>
      <c r="AL235" s="4">
        <f t="shared" si="192"/>
        <v>0.15253917653798199</v>
      </c>
      <c r="AM235" s="4">
        <f t="shared" si="192"/>
        <v>0.10795188737709993</v>
      </c>
      <c r="AN235" s="4">
        <f t="shared" si="192"/>
        <v>7.5176653938091809E-2</v>
      </c>
      <c r="AO235" s="4">
        <f t="shared" si="192"/>
        <v>5.1742836177502194E-2</v>
      </c>
      <c r="AP235" s="4">
        <f t="shared" si="192"/>
        <v>3.5319190625345942E-2</v>
      </c>
      <c r="AQ235" s="4">
        <f t="shared" si="192"/>
        <v>2.3969442072658165E-2</v>
      </c>
      <c r="AR235" s="4">
        <f t="shared" si="192"/>
        <v>1.6202243558389728E-2</v>
      </c>
    </row>
    <row r="236" spans="1:44" x14ac:dyDescent="0.25">
      <c r="A236" s="24" t="s">
        <v>41</v>
      </c>
      <c r="B236" s="43">
        <f>'Parameter Input'!$L$161</f>
        <v>20</v>
      </c>
      <c r="C236" s="44">
        <f>'Parameter Input'!$M$161</f>
        <v>20</v>
      </c>
      <c r="D236" s="1" t="s">
        <v>42</v>
      </c>
      <c r="L236" s="54">
        <f>'Parameter Input'!$O$161</f>
        <v>12</v>
      </c>
      <c r="M236" s="37">
        <v>0</v>
      </c>
      <c r="N236" s="37">
        <v>1</v>
      </c>
      <c r="O236" s="37">
        <f>'Parameter Input'!$P$161</f>
        <v>0.9</v>
      </c>
      <c r="P236" s="55">
        <f>'Parameter Input'!$Q$161</f>
        <v>0.4</v>
      </c>
      <c r="Q236" s="4">
        <f t="shared" ref="Q236:AF241" si="193">$N236+($M236-$N236)*((1/(1+EXP(-$P236*(Q$9-$L236)))^$O236))</f>
        <v>0.9867978615748374</v>
      </c>
      <c r="R236" s="4">
        <f t="shared" si="193"/>
        <v>0.98114509762858249</v>
      </c>
      <c r="S236" s="4">
        <f t="shared" si="193"/>
        <v>0.97311898315872036</v>
      </c>
      <c r="T236" s="4">
        <f t="shared" si="193"/>
        <v>0.96177484161592774</v>
      </c>
      <c r="U236" s="4">
        <f t="shared" si="193"/>
        <v>0.94584787155511363</v>
      </c>
      <c r="V236" s="4">
        <f t="shared" si="193"/>
        <v>0.92370360150141495</v>
      </c>
      <c r="W236" s="4">
        <f t="shared" si="193"/>
        <v>0.89334463567658451</v>
      </c>
      <c r="X236" s="4">
        <f t="shared" si="193"/>
        <v>0.85254543874327005</v>
      </c>
      <c r="Y236" s="4">
        <f t="shared" si="193"/>
        <v>0.79921300652623883</v>
      </c>
      <c r="Z236" s="4">
        <f t="shared" si="193"/>
        <v>0.73204982249993378</v>
      </c>
      <c r="AA236" s="4">
        <f t="shared" si="193"/>
        <v>0.65145592958786691</v>
      </c>
      <c r="AB236" s="4">
        <f t="shared" si="193"/>
        <v>0.56032247880849573</v>
      </c>
      <c r="AC236" s="4">
        <f t="shared" si="193"/>
        <v>0.46411326873185343</v>
      </c>
      <c r="AD236" s="4">
        <f t="shared" si="193"/>
        <v>0.36979727595523937</v>
      </c>
      <c r="AE236" s="4">
        <f t="shared" si="193"/>
        <v>0.28393948637231203</v>
      </c>
      <c r="AF236" s="4">
        <f t="shared" si="193"/>
        <v>0.21097259161117732</v>
      </c>
      <c r="AG236" s="4">
        <f t="shared" si="190"/>
        <v>0.15253917653798199</v>
      </c>
      <c r="AH236" s="4">
        <f t="shared" si="190"/>
        <v>0.10795188737709993</v>
      </c>
      <c r="AI236" s="4">
        <f t="shared" si="190"/>
        <v>7.5176653938091809E-2</v>
      </c>
      <c r="AJ236" s="4">
        <f t="shared" si="191"/>
        <v>5.1742836177502194E-2</v>
      </c>
      <c r="AK236" s="4">
        <f t="shared" si="191"/>
        <v>3.5319190625345942E-2</v>
      </c>
      <c r="AL236" s="4">
        <f t="shared" si="191"/>
        <v>2.3969442072658165E-2</v>
      </c>
      <c r="AM236" s="4">
        <f t="shared" si="191"/>
        <v>1.6202243558389728E-2</v>
      </c>
      <c r="AN236" s="4">
        <f t="shared" si="191"/>
        <v>1.0922240564108399E-2</v>
      </c>
      <c r="AO236" s="4">
        <f t="shared" si="191"/>
        <v>7.3493212906090566E-3</v>
      </c>
      <c r="AP236" s="4">
        <f t="shared" si="191"/>
        <v>4.9390262185057265E-3</v>
      </c>
      <c r="AQ236" s="4">
        <f t="shared" si="191"/>
        <v>3.3164275492956197E-3</v>
      </c>
      <c r="AR236" s="4">
        <f t="shared" si="191"/>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3"/>
        <v>0.9867978615748374</v>
      </c>
      <c r="R237" s="4">
        <f t="shared" si="193"/>
        <v>0.98114509762858249</v>
      </c>
      <c r="S237" s="4">
        <f t="shared" si="193"/>
        <v>0.97311898315872036</v>
      </c>
      <c r="T237" s="4">
        <f t="shared" si="193"/>
        <v>0.96177484161592774</v>
      </c>
      <c r="U237" s="4">
        <f t="shared" si="193"/>
        <v>0.94584787155511363</v>
      </c>
      <c r="V237" s="4">
        <f t="shared" si="193"/>
        <v>0.92370360150141495</v>
      </c>
      <c r="W237" s="4">
        <f t="shared" si="193"/>
        <v>0.89334463567658451</v>
      </c>
      <c r="X237" s="4">
        <f t="shared" si="193"/>
        <v>0.85254543874327005</v>
      </c>
      <c r="Y237" s="4">
        <f t="shared" si="193"/>
        <v>0.79921300652623883</v>
      </c>
      <c r="Z237" s="4">
        <f t="shared" si="193"/>
        <v>0.73204982249993378</v>
      </c>
      <c r="AA237" s="4">
        <f t="shared" si="193"/>
        <v>0.65145592958786691</v>
      </c>
      <c r="AB237" s="4">
        <f t="shared" si="193"/>
        <v>0.56032247880849573</v>
      </c>
      <c r="AC237" s="4">
        <f t="shared" si="193"/>
        <v>0.46411326873185343</v>
      </c>
      <c r="AD237" s="4">
        <f t="shared" si="193"/>
        <v>0.36979727595523937</v>
      </c>
      <c r="AE237" s="4">
        <f t="shared" si="193"/>
        <v>0.28393948637231203</v>
      </c>
      <c r="AF237" s="4">
        <f t="shared" si="193"/>
        <v>0.21097259161117732</v>
      </c>
      <c r="AG237" s="4">
        <f t="shared" si="190"/>
        <v>0.15253917653798199</v>
      </c>
      <c r="AH237" s="4">
        <f t="shared" si="190"/>
        <v>0.10795188737709993</v>
      </c>
      <c r="AI237" s="4">
        <f t="shared" si="190"/>
        <v>7.5176653938091809E-2</v>
      </c>
      <c r="AJ237" s="4">
        <f t="shared" si="191"/>
        <v>5.1742836177502194E-2</v>
      </c>
      <c r="AK237" s="4">
        <f t="shared" si="191"/>
        <v>3.5319190625345942E-2</v>
      </c>
      <c r="AL237" s="4">
        <f t="shared" si="191"/>
        <v>2.3969442072658165E-2</v>
      </c>
      <c r="AM237" s="4">
        <f t="shared" si="191"/>
        <v>1.6202243558389728E-2</v>
      </c>
      <c r="AN237" s="4">
        <f t="shared" si="191"/>
        <v>1.0922240564108399E-2</v>
      </c>
      <c r="AO237" s="4">
        <f t="shared" si="191"/>
        <v>7.3493212906090566E-3</v>
      </c>
      <c r="AP237" s="4">
        <f t="shared" si="191"/>
        <v>4.9390262185057265E-3</v>
      </c>
      <c r="AQ237" s="4">
        <f t="shared" si="191"/>
        <v>3.3164275492956197E-3</v>
      </c>
      <c r="AR237" s="4">
        <f t="shared" si="191"/>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3"/>
        <v>0.9867978615748374</v>
      </c>
      <c r="R238" s="4">
        <f t="shared" si="193"/>
        <v>0.98114509762858249</v>
      </c>
      <c r="S238" s="4">
        <f t="shared" si="193"/>
        <v>0.97311898315872036</v>
      </c>
      <c r="T238" s="4">
        <f t="shared" si="193"/>
        <v>0.96177484161592774</v>
      </c>
      <c r="U238" s="4">
        <f t="shared" si="193"/>
        <v>0.94584787155511363</v>
      </c>
      <c r="V238" s="4">
        <f t="shared" si="193"/>
        <v>0.92370360150141495</v>
      </c>
      <c r="W238" s="4">
        <f t="shared" si="193"/>
        <v>0.89334463567658451</v>
      </c>
      <c r="X238" s="4">
        <f t="shared" si="193"/>
        <v>0.85254543874327005</v>
      </c>
      <c r="Y238" s="4">
        <f t="shared" si="193"/>
        <v>0.79921300652623883</v>
      </c>
      <c r="Z238" s="4">
        <f t="shared" si="193"/>
        <v>0.73204982249993378</v>
      </c>
      <c r="AA238" s="4">
        <f t="shared" si="193"/>
        <v>0.65145592958786691</v>
      </c>
      <c r="AB238" s="4">
        <f t="shared" si="193"/>
        <v>0.56032247880849573</v>
      </c>
      <c r="AC238" s="4">
        <f t="shared" si="193"/>
        <v>0.46411326873185343</v>
      </c>
      <c r="AD238" s="4">
        <f t="shared" si="193"/>
        <v>0.36979727595523937</v>
      </c>
      <c r="AE238" s="4">
        <f t="shared" si="193"/>
        <v>0.28393948637231203</v>
      </c>
      <c r="AF238" s="4">
        <f t="shared" si="193"/>
        <v>0.21097259161117732</v>
      </c>
      <c r="AG238" s="4">
        <f t="shared" si="190"/>
        <v>0.15253917653798199</v>
      </c>
      <c r="AH238" s="4">
        <f t="shared" si="190"/>
        <v>0.10795188737709993</v>
      </c>
      <c r="AI238" s="4">
        <f t="shared" si="190"/>
        <v>7.5176653938091809E-2</v>
      </c>
      <c r="AJ238" s="4">
        <f t="shared" si="191"/>
        <v>5.1742836177502194E-2</v>
      </c>
      <c r="AK238" s="4">
        <f t="shared" si="191"/>
        <v>3.5319190625345942E-2</v>
      </c>
      <c r="AL238" s="4">
        <f t="shared" si="191"/>
        <v>2.3969442072658165E-2</v>
      </c>
      <c r="AM238" s="4">
        <f t="shared" si="191"/>
        <v>1.6202243558389728E-2</v>
      </c>
      <c r="AN238" s="4">
        <f t="shared" si="191"/>
        <v>1.0922240564108399E-2</v>
      </c>
      <c r="AO238" s="4">
        <f t="shared" si="191"/>
        <v>7.3493212906090566E-3</v>
      </c>
      <c r="AP238" s="4">
        <f t="shared" si="191"/>
        <v>4.9390262185057265E-3</v>
      </c>
      <c r="AQ238" s="4">
        <f t="shared" si="191"/>
        <v>3.3164275492956197E-3</v>
      </c>
      <c r="AR238" s="4">
        <f t="shared" si="191"/>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3"/>
        <v>0.9867978615748374</v>
      </c>
      <c r="R239" s="4">
        <f t="shared" si="193"/>
        <v>0.98114509762858249</v>
      </c>
      <c r="S239" s="4">
        <f t="shared" si="193"/>
        <v>0.97311898315872036</v>
      </c>
      <c r="T239" s="4">
        <f t="shared" si="193"/>
        <v>0.96177484161592774</v>
      </c>
      <c r="U239" s="4">
        <f t="shared" si="193"/>
        <v>0.94584787155511363</v>
      </c>
      <c r="V239" s="4">
        <f t="shared" si="193"/>
        <v>0.92370360150141495</v>
      </c>
      <c r="W239" s="4">
        <f t="shared" si="193"/>
        <v>0.89334463567658451</v>
      </c>
      <c r="X239" s="4">
        <f t="shared" si="193"/>
        <v>0.85254543874327005</v>
      </c>
      <c r="Y239" s="4">
        <f t="shared" si="193"/>
        <v>0.79921300652623883</v>
      </c>
      <c r="Z239" s="4">
        <f t="shared" si="193"/>
        <v>0.73204982249993378</v>
      </c>
      <c r="AA239" s="4">
        <f t="shared" si="193"/>
        <v>0.65145592958786691</v>
      </c>
      <c r="AB239" s="4">
        <f t="shared" si="193"/>
        <v>0.56032247880849573</v>
      </c>
      <c r="AC239" s="4">
        <f t="shared" si="193"/>
        <v>0.46411326873185343</v>
      </c>
      <c r="AD239" s="4">
        <f t="shared" si="193"/>
        <v>0.36979727595523937</v>
      </c>
      <c r="AE239" s="4">
        <f t="shared" si="193"/>
        <v>0.28393948637231203</v>
      </c>
      <c r="AF239" s="4">
        <f t="shared" si="193"/>
        <v>0.21097259161117732</v>
      </c>
      <c r="AG239" s="4">
        <f t="shared" si="190"/>
        <v>0.15253917653798199</v>
      </c>
      <c r="AH239" s="4">
        <f t="shared" si="190"/>
        <v>0.10795188737709993</v>
      </c>
      <c r="AI239" s="4">
        <f t="shared" si="190"/>
        <v>7.5176653938091809E-2</v>
      </c>
      <c r="AJ239" s="4">
        <f t="shared" si="191"/>
        <v>5.1742836177502194E-2</v>
      </c>
      <c r="AK239" s="4">
        <f t="shared" si="191"/>
        <v>3.5319190625345942E-2</v>
      </c>
      <c r="AL239" s="4">
        <f t="shared" si="191"/>
        <v>2.3969442072658165E-2</v>
      </c>
      <c r="AM239" s="4">
        <f t="shared" si="191"/>
        <v>1.6202243558389728E-2</v>
      </c>
      <c r="AN239" s="4">
        <f t="shared" si="191"/>
        <v>1.0922240564108399E-2</v>
      </c>
      <c r="AO239" s="4">
        <f t="shared" si="191"/>
        <v>7.3493212906090566E-3</v>
      </c>
      <c r="AP239" s="4">
        <f t="shared" si="191"/>
        <v>4.9390262185057265E-3</v>
      </c>
      <c r="AQ239" s="4">
        <f t="shared" si="191"/>
        <v>3.3164275492956197E-3</v>
      </c>
      <c r="AR239" s="4">
        <f t="shared" si="191"/>
        <v>2.2256362146679809E-3</v>
      </c>
    </row>
    <row r="240" spans="1:44" x14ac:dyDescent="0.25">
      <c r="A240" s="24" t="s">
        <v>73</v>
      </c>
      <c r="B240" s="72">
        <f>'Parameter Input'!$L$165</f>
        <v>0</v>
      </c>
      <c r="C240" s="73">
        <f>'Parameter Input'!$M$165</f>
        <v>0</v>
      </c>
      <c r="D240" s="1" t="s">
        <v>57</v>
      </c>
      <c r="L240" s="54">
        <f>'Parameter Input'!$O$165</f>
        <v>12</v>
      </c>
      <c r="M240" s="37">
        <v>0</v>
      </c>
      <c r="N240" s="37">
        <v>1</v>
      </c>
      <c r="O240" s="37">
        <f>'Parameter Input'!$P$165</f>
        <v>0.9</v>
      </c>
      <c r="P240" s="55">
        <f>'Parameter Input'!$Q$165</f>
        <v>0.4</v>
      </c>
      <c r="Q240" s="4">
        <f t="shared" si="193"/>
        <v>0.9867978615748374</v>
      </c>
      <c r="R240" s="4">
        <f t="shared" si="193"/>
        <v>0.98114509762858249</v>
      </c>
      <c r="S240" s="4">
        <f t="shared" si="193"/>
        <v>0.97311898315872036</v>
      </c>
      <c r="T240" s="4">
        <f t="shared" si="193"/>
        <v>0.96177484161592774</v>
      </c>
      <c r="U240" s="4">
        <f t="shared" si="193"/>
        <v>0.94584787155511363</v>
      </c>
      <c r="V240" s="4">
        <f t="shared" si="193"/>
        <v>0.92370360150141495</v>
      </c>
      <c r="W240" s="4">
        <f t="shared" si="193"/>
        <v>0.89334463567658451</v>
      </c>
      <c r="X240" s="4">
        <f t="shared" si="193"/>
        <v>0.85254543874327005</v>
      </c>
      <c r="Y240" s="4">
        <f t="shared" si="193"/>
        <v>0.79921300652623883</v>
      </c>
      <c r="Z240" s="4">
        <f t="shared" si="193"/>
        <v>0.73204982249993378</v>
      </c>
      <c r="AA240" s="4">
        <f t="shared" si="193"/>
        <v>0.65145592958786691</v>
      </c>
      <c r="AB240" s="4">
        <f t="shared" si="193"/>
        <v>0.56032247880849573</v>
      </c>
      <c r="AC240" s="4">
        <f t="shared" si="193"/>
        <v>0.46411326873185343</v>
      </c>
      <c r="AD240" s="4">
        <f t="shared" si="193"/>
        <v>0.36979727595523937</v>
      </c>
      <c r="AE240" s="4">
        <f t="shared" si="193"/>
        <v>0.28393948637231203</v>
      </c>
      <c r="AF240" s="4">
        <f t="shared" si="193"/>
        <v>0.21097259161117732</v>
      </c>
      <c r="AG240" s="4">
        <f t="shared" si="190"/>
        <v>0.15253917653798199</v>
      </c>
      <c r="AH240" s="4">
        <f t="shared" si="190"/>
        <v>0.10795188737709993</v>
      </c>
      <c r="AI240" s="4">
        <f t="shared" si="190"/>
        <v>7.5176653938091809E-2</v>
      </c>
      <c r="AJ240" s="4">
        <f t="shared" si="191"/>
        <v>5.1742836177502194E-2</v>
      </c>
      <c r="AK240" s="4">
        <f t="shared" si="191"/>
        <v>3.5319190625345942E-2</v>
      </c>
      <c r="AL240" s="4">
        <f t="shared" si="191"/>
        <v>2.3969442072658165E-2</v>
      </c>
      <c r="AM240" s="4">
        <f t="shared" si="191"/>
        <v>1.6202243558389728E-2</v>
      </c>
      <c r="AN240" s="4">
        <f t="shared" si="191"/>
        <v>1.0922240564108399E-2</v>
      </c>
      <c r="AO240" s="4">
        <f t="shared" si="191"/>
        <v>7.3493212906090566E-3</v>
      </c>
      <c r="AP240" s="4">
        <f t="shared" si="191"/>
        <v>4.9390262185057265E-3</v>
      </c>
      <c r="AQ240" s="4">
        <f t="shared" si="191"/>
        <v>3.3164275492956197E-3</v>
      </c>
      <c r="AR240" s="4">
        <f t="shared" si="191"/>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3"/>
        <v>0.9867978615748374</v>
      </c>
      <c r="R241" s="4">
        <f t="shared" si="193"/>
        <v>0.98114509762858249</v>
      </c>
      <c r="S241" s="4">
        <f t="shared" si="193"/>
        <v>0.97311898315872036</v>
      </c>
      <c r="T241" s="4">
        <f t="shared" si="193"/>
        <v>0.96177484161592774</v>
      </c>
      <c r="U241" s="4">
        <f t="shared" si="193"/>
        <v>0.94584787155511363</v>
      </c>
      <c r="V241" s="4">
        <f t="shared" si="193"/>
        <v>0.92370360150141495</v>
      </c>
      <c r="W241" s="4">
        <f t="shared" si="193"/>
        <v>0.89334463567658451</v>
      </c>
      <c r="X241" s="4">
        <f t="shared" si="193"/>
        <v>0.85254543874327005</v>
      </c>
      <c r="Y241" s="4">
        <f t="shared" si="193"/>
        <v>0.79921300652623883</v>
      </c>
      <c r="Z241" s="4">
        <f t="shared" si="193"/>
        <v>0.73204982249993378</v>
      </c>
      <c r="AA241" s="4">
        <f t="shared" si="193"/>
        <v>0.65145592958786691</v>
      </c>
      <c r="AB241" s="4">
        <f t="shared" si="193"/>
        <v>0.56032247880849573</v>
      </c>
      <c r="AC241" s="4">
        <f t="shared" si="193"/>
        <v>0.46411326873185343</v>
      </c>
      <c r="AD241" s="4">
        <f t="shared" si="193"/>
        <v>0.36979727595523937</v>
      </c>
      <c r="AE241" s="4">
        <f t="shared" si="193"/>
        <v>0.28393948637231203</v>
      </c>
      <c r="AF241" s="4">
        <f t="shared" si="193"/>
        <v>0.21097259161117732</v>
      </c>
      <c r="AG241" s="4">
        <f t="shared" si="190"/>
        <v>0.15253917653798199</v>
      </c>
      <c r="AH241" s="4">
        <f t="shared" si="190"/>
        <v>0.10795188737709993</v>
      </c>
      <c r="AI241" s="4">
        <f t="shared" si="190"/>
        <v>7.5176653938091809E-2</v>
      </c>
      <c r="AJ241" s="4">
        <f t="shared" si="191"/>
        <v>5.1742836177502194E-2</v>
      </c>
      <c r="AK241" s="4">
        <f t="shared" si="191"/>
        <v>3.5319190625345942E-2</v>
      </c>
      <c r="AL241" s="4">
        <f t="shared" si="191"/>
        <v>2.3969442072658165E-2</v>
      </c>
      <c r="AM241" s="4">
        <f t="shared" si="191"/>
        <v>1.6202243558389728E-2</v>
      </c>
      <c r="AN241" s="4">
        <f t="shared" si="191"/>
        <v>1.0922240564108399E-2</v>
      </c>
      <c r="AO241" s="4">
        <f t="shared" si="191"/>
        <v>7.3493212906090566E-3</v>
      </c>
      <c r="AP241" s="4">
        <f t="shared" si="191"/>
        <v>4.9390262185057265E-3</v>
      </c>
      <c r="AQ241" s="4">
        <f t="shared" si="191"/>
        <v>3.3164275492956197E-3</v>
      </c>
      <c r="AR241" s="4">
        <f t="shared" si="191"/>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4">A225</f>
        <v>Capex vehicle</v>
      </c>
      <c r="B245" s="62">
        <f t="shared" ref="B245:B253" si="195">$B225+($C225-$B225)*(1-Q225)</f>
        <v>5000000</v>
      </c>
      <c r="C245" s="62">
        <f t="shared" ref="C245:C253" si="196">$B225+($C225-$B225)*(1-R225)</f>
        <v>5000000</v>
      </c>
      <c r="D245" s="62">
        <f t="shared" ref="D245:D253" si="197">$B225+($C225-$B225)*(1-S225)</f>
        <v>5000000</v>
      </c>
      <c r="E245" s="62">
        <f t="shared" ref="E245:E253" si="198">$B225+($C225-$B225)*(1-T225)</f>
        <v>5000000</v>
      </c>
      <c r="F245" s="62">
        <f t="shared" ref="F245:F253" si="199">$B225+($C225-$B225)*(1-U225)</f>
        <v>5000000</v>
      </c>
      <c r="G245" s="62">
        <f t="shared" ref="G245:G253" si="200">$B225+($C225-$B225)*(1-V225)</f>
        <v>5000000</v>
      </c>
      <c r="H245" s="62">
        <f t="shared" ref="H245:H253" si="201">$B225+($C225-$B225)*(1-W225)</f>
        <v>5000000</v>
      </c>
      <c r="I245" s="62">
        <f t="shared" ref="I245:I253" si="202">$B225+($C225-$B225)*(1-X225)</f>
        <v>5000000</v>
      </c>
      <c r="J245" s="62">
        <f t="shared" ref="J245:J253" si="203">$B225+($C225-$B225)*(1-Y225)</f>
        <v>5000000</v>
      </c>
      <c r="K245" s="62">
        <f t="shared" ref="K245:K253" si="204">$B225+($C225-$B225)*(1-Z225)</f>
        <v>5000000</v>
      </c>
      <c r="L245" s="62">
        <f t="shared" ref="L245:L253" si="205">$B225+($C225-$B225)*(1-AA225)</f>
        <v>5000000</v>
      </c>
      <c r="M245" s="62">
        <f t="shared" ref="M245:M253" si="206">$B225+($C225-$B225)*(1-AB225)</f>
        <v>5000000</v>
      </c>
      <c r="N245" s="62">
        <f t="shared" ref="N245:N253" si="207">$B225+($C225-$B225)*(1-AC225)</f>
        <v>5000000</v>
      </c>
      <c r="O245" s="62">
        <f t="shared" ref="O245:O253" si="208">$B225+($C225-$B225)*(1-AD225)</f>
        <v>5000000</v>
      </c>
      <c r="P245" s="62">
        <f t="shared" ref="P245:P253" si="209">$B225+($C225-$B225)*(1-AE225)</f>
        <v>5000000</v>
      </c>
      <c r="Q245" s="62">
        <f t="shared" ref="Q245:Q253" si="210">$B225+($C225-$B225)*(1-AF225)</f>
        <v>5000000</v>
      </c>
      <c r="R245" s="62">
        <f t="shared" ref="R245:R253" si="211">$B225+($C225-$B225)*(1-AG225)</f>
        <v>5000000</v>
      </c>
      <c r="S245" s="62">
        <f t="shared" ref="S245:S253" si="212">$B225+($C225-$B225)*(1-AH225)</f>
        <v>5000000</v>
      </c>
      <c r="T245" s="62">
        <f t="shared" ref="T245:T253" si="213">$B225+($C225-$B225)*(1-AI225)</f>
        <v>5000000</v>
      </c>
      <c r="U245" s="62">
        <f t="shared" ref="U245:U253" si="214">$B225+($C225-$B225)*(1-AJ225)</f>
        <v>5000000</v>
      </c>
      <c r="V245" s="62">
        <f t="shared" ref="V245:V253" si="215">$B225+($C225-$B225)*(1-AK225)</f>
        <v>5000000</v>
      </c>
      <c r="W245" s="62">
        <f t="shared" ref="W245:W253" si="216">$B225+($C225-$B225)*(1-AL225)</f>
        <v>5000000</v>
      </c>
      <c r="X245" s="62">
        <f t="shared" ref="X245:X253" si="217">$B225+($C225-$B225)*(1-AM225)</f>
        <v>5000000</v>
      </c>
      <c r="Y245" s="62">
        <f t="shared" ref="Y245:Y253" si="218">$B225+($C225-$B225)*(1-AN225)</f>
        <v>5000000</v>
      </c>
      <c r="Z245" s="62">
        <f t="shared" ref="Z245:Z253" si="219">$B225+($C225-$B225)*(1-AO225)</f>
        <v>5000000</v>
      </c>
      <c r="AA245" s="62">
        <f t="shared" ref="AA245:AA253" si="220">$B225+($C225-$B225)*(1-AP225)</f>
        <v>5000000</v>
      </c>
      <c r="AB245" s="62">
        <f t="shared" ref="AB245:AB253" si="221">$B225+($C225-$B225)*(1-AQ225)</f>
        <v>5000000</v>
      </c>
      <c r="AC245" s="62">
        <f t="shared" ref="AC245:AC253" si="222">$B225+($C225-$B225)*(1-AR225)</f>
        <v>5000000</v>
      </c>
    </row>
    <row r="246" spans="1:44" x14ac:dyDescent="0.25">
      <c r="A246" s="30" t="str">
        <f t="shared" si="194"/>
        <v>Residual value (vehicle)</v>
      </c>
      <c r="B246" s="62">
        <f t="shared" si="195"/>
        <v>-750000</v>
      </c>
      <c r="C246" s="62">
        <f t="shared" si="196"/>
        <v>-750000</v>
      </c>
      <c r="D246" s="62">
        <f t="shared" si="197"/>
        <v>-750000</v>
      </c>
      <c r="E246" s="62">
        <f t="shared" si="198"/>
        <v>-750000</v>
      </c>
      <c r="F246" s="62">
        <f t="shared" si="199"/>
        <v>-750000</v>
      </c>
      <c r="G246" s="62">
        <f t="shared" si="200"/>
        <v>-750000</v>
      </c>
      <c r="H246" s="62">
        <f t="shared" si="201"/>
        <v>-750000</v>
      </c>
      <c r="I246" s="62">
        <f t="shared" si="202"/>
        <v>-750000</v>
      </c>
      <c r="J246" s="62">
        <f t="shared" si="203"/>
        <v>-750000</v>
      </c>
      <c r="K246" s="62">
        <f t="shared" si="204"/>
        <v>-750000</v>
      </c>
      <c r="L246" s="62">
        <f t="shared" si="205"/>
        <v>-750000</v>
      </c>
      <c r="M246" s="62">
        <f t="shared" si="206"/>
        <v>-750000</v>
      </c>
      <c r="N246" s="62">
        <f t="shared" si="207"/>
        <v>-750000</v>
      </c>
      <c r="O246" s="62">
        <f t="shared" si="208"/>
        <v>-750000</v>
      </c>
      <c r="P246" s="62">
        <f t="shared" si="209"/>
        <v>-750000</v>
      </c>
      <c r="Q246" s="62">
        <f t="shared" si="210"/>
        <v>-750000</v>
      </c>
      <c r="R246" s="62">
        <f t="shared" si="211"/>
        <v>-750000</v>
      </c>
      <c r="S246" s="62">
        <f t="shared" si="212"/>
        <v>-750000</v>
      </c>
      <c r="T246" s="62">
        <f t="shared" si="213"/>
        <v>-750000</v>
      </c>
      <c r="U246" s="62">
        <f t="shared" si="214"/>
        <v>-750000</v>
      </c>
      <c r="V246" s="62">
        <f t="shared" si="215"/>
        <v>-750000</v>
      </c>
      <c r="W246" s="62">
        <f t="shared" si="216"/>
        <v>-750000</v>
      </c>
      <c r="X246" s="62">
        <f t="shared" si="217"/>
        <v>-750000</v>
      </c>
      <c r="Y246" s="62">
        <f t="shared" si="218"/>
        <v>-750000</v>
      </c>
      <c r="Z246" s="62">
        <f t="shared" si="219"/>
        <v>-750000</v>
      </c>
      <c r="AA246" s="62">
        <f t="shared" si="220"/>
        <v>-750000</v>
      </c>
      <c r="AB246" s="62">
        <f t="shared" si="221"/>
        <v>-750000</v>
      </c>
      <c r="AC246" s="62">
        <f t="shared" si="222"/>
        <v>-750000</v>
      </c>
    </row>
    <row r="247" spans="1:44" x14ac:dyDescent="0.25">
      <c r="A247" s="30" t="str">
        <f t="shared" si="194"/>
        <v>Capex costumization</v>
      </c>
      <c r="B247" s="62">
        <f t="shared" si="195"/>
        <v>2800000</v>
      </c>
      <c r="C247" s="62">
        <f t="shared" si="196"/>
        <v>2800000</v>
      </c>
      <c r="D247" s="62">
        <f t="shared" si="197"/>
        <v>2800000</v>
      </c>
      <c r="E247" s="62">
        <f t="shared" si="198"/>
        <v>2800000</v>
      </c>
      <c r="F247" s="62">
        <f t="shared" si="199"/>
        <v>2800000</v>
      </c>
      <c r="G247" s="62">
        <f t="shared" si="200"/>
        <v>2800000</v>
      </c>
      <c r="H247" s="62">
        <f t="shared" si="201"/>
        <v>2800000</v>
      </c>
      <c r="I247" s="62">
        <f t="shared" si="202"/>
        <v>2800000</v>
      </c>
      <c r="J247" s="62">
        <f t="shared" si="203"/>
        <v>2800000</v>
      </c>
      <c r="K247" s="62">
        <f t="shared" si="204"/>
        <v>2800000</v>
      </c>
      <c r="L247" s="62">
        <f t="shared" si="205"/>
        <v>2800000</v>
      </c>
      <c r="M247" s="62">
        <f t="shared" si="206"/>
        <v>2800000</v>
      </c>
      <c r="N247" s="62">
        <f t="shared" si="207"/>
        <v>2800000</v>
      </c>
      <c r="O247" s="62">
        <f t="shared" si="208"/>
        <v>2800000</v>
      </c>
      <c r="P247" s="62">
        <f t="shared" si="209"/>
        <v>2800000</v>
      </c>
      <c r="Q247" s="62">
        <f t="shared" si="210"/>
        <v>2800000</v>
      </c>
      <c r="R247" s="62">
        <f t="shared" si="211"/>
        <v>2800000</v>
      </c>
      <c r="S247" s="62">
        <f t="shared" si="212"/>
        <v>2800000</v>
      </c>
      <c r="T247" s="62">
        <f t="shared" si="213"/>
        <v>2800000</v>
      </c>
      <c r="U247" s="62">
        <f t="shared" si="214"/>
        <v>2800000</v>
      </c>
      <c r="V247" s="62">
        <f t="shared" si="215"/>
        <v>2800000</v>
      </c>
      <c r="W247" s="62">
        <f t="shared" si="216"/>
        <v>2800000</v>
      </c>
      <c r="X247" s="62">
        <f t="shared" si="217"/>
        <v>2800000</v>
      </c>
      <c r="Y247" s="62">
        <f t="shared" si="218"/>
        <v>2800000</v>
      </c>
      <c r="Z247" s="62">
        <f t="shared" si="219"/>
        <v>2800000</v>
      </c>
      <c r="AA247" s="62">
        <f t="shared" si="220"/>
        <v>2800000</v>
      </c>
      <c r="AB247" s="62">
        <f t="shared" si="221"/>
        <v>2800000</v>
      </c>
      <c r="AC247" s="62">
        <f t="shared" si="222"/>
        <v>2800000</v>
      </c>
    </row>
    <row r="248" spans="1:44" x14ac:dyDescent="0.25">
      <c r="A248" s="30" t="str">
        <f t="shared" si="194"/>
        <v>Residual value (costumization)</v>
      </c>
      <c r="B248" s="62">
        <f t="shared" si="195"/>
        <v>-140000</v>
      </c>
      <c r="C248" s="62">
        <f t="shared" si="196"/>
        <v>-140000</v>
      </c>
      <c r="D248" s="62">
        <f t="shared" si="197"/>
        <v>-140000</v>
      </c>
      <c r="E248" s="62">
        <f t="shared" si="198"/>
        <v>-140000</v>
      </c>
      <c r="F248" s="62">
        <f t="shared" si="199"/>
        <v>-140000</v>
      </c>
      <c r="G248" s="62">
        <f t="shared" si="200"/>
        <v>-140000</v>
      </c>
      <c r="H248" s="62">
        <f t="shared" si="201"/>
        <v>-140000</v>
      </c>
      <c r="I248" s="62">
        <f t="shared" si="202"/>
        <v>-140000</v>
      </c>
      <c r="J248" s="62">
        <f t="shared" si="203"/>
        <v>-140000</v>
      </c>
      <c r="K248" s="62">
        <f t="shared" si="204"/>
        <v>-140000</v>
      </c>
      <c r="L248" s="62">
        <f t="shared" si="205"/>
        <v>-140000</v>
      </c>
      <c r="M248" s="62">
        <f t="shared" si="206"/>
        <v>-140000</v>
      </c>
      <c r="N248" s="62">
        <f t="shared" si="207"/>
        <v>-140000</v>
      </c>
      <c r="O248" s="62">
        <f t="shared" si="208"/>
        <v>-140000</v>
      </c>
      <c r="P248" s="62">
        <f t="shared" si="209"/>
        <v>-140000</v>
      </c>
      <c r="Q248" s="62">
        <f t="shared" si="210"/>
        <v>-140000</v>
      </c>
      <c r="R248" s="62">
        <f t="shared" si="211"/>
        <v>-140000</v>
      </c>
      <c r="S248" s="62">
        <f t="shared" si="212"/>
        <v>-140000</v>
      </c>
      <c r="T248" s="62">
        <f t="shared" si="213"/>
        <v>-140000</v>
      </c>
      <c r="U248" s="62">
        <f t="shared" si="214"/>
        <v>-140000</v>
      </c>
      <c r="V248" s="62">
        <f t="shared" si="215"/>
        <v>-140000</v>
      </c>
      <c r="W248" s="62">
        <f t="shared" si="216"/>
        <v>-140000</v>
      </c>
      <c r="X248" s="62">
        <f t="shared" si="217"/>
        <v>-140000</v>
      </c>
      <c r="Y248" s="62">
        <f t="shared" si="218"/>
        <v>-140000</v>
      </c>
      <c r="Z248" s="62">
        <f t="shared" si="219"/>
        <v>-140000</v>
      </c>
      <c r="AA248" s="62">
        <f t="shared" si="220"/>
        <v>-140000</v>
      </c>
      <c r="AB248" s="62">
        <f t="shared" si="221"/>
        <v>-140000</v>
      </c>
      <c r="AC248" s="62">
        <f t="shared" si="222"/>
        <v>-140000</v>
      </c>
    </row>
    <row r="249" spans="1:44" x14ac:dyDescent="0.25">
      <c r="A249" s="30" t="str">
        <f t="shared" si="194"/>
        <v>WACC</v>
      </c>
      <c r="B249" s="62">
        <f t="shared" si="195"/>
        <v>0.06</v>
      </c>
      <c r="C249" s="62">
        <f t="shared" si="196"/>
        <v>0.06</v>
      </c>
      <c r="D249" s="62">
        <f t="shared" si="197"/>
        <v>0.06</v>
      </c>
      <c r="E249" s="62">
        <f t="shared" si="198"/>
        <v>0.06</v>
      </c>
      <c r="F249" s="62">
        <f t="shared" si="199"/>
        <v>0.06</v>
      </c>
      <c r="G249" s="62">
        <f t="shared" si="200"/>
        <v>0.06</v>
      </c>
      <c r="H249" s="62">
        <f t="shared" si="201"/>
        <v>0.06</v>
      </c>
      <c r="I249" s="62">
        <f t="shared" si="202"/>
        <v>0.06</v>
      </c>
      <c r="J249" s="62">
        <f t="shared" si="203"/>
        <v>0.06</v>
      </c>
      <c r="K249" s="62">
        <f t="shared" si="204"/>
        <v>0.06</v>
      </c>
      <c r="L249" s="62">
        <f t="shared" si="205"/>
        <v>0.06</v>
      </c>
      <c r="M249" s="62">
        <f t="shared" si="206"/>
        <v>0.06</v>
      </c>
      <c r="N249" s="62">
        <f t="shared" si="207"/>
        <v>0.06</v>
      </c>
      <c r="O249" s="62">
        <f t="shared" si="208"/>
        <v>0.06</v>
      </c>
      <c r="P249" s="62">
        <f t="shared" si="209"/>
        <v>0.06</v>
      </c>
      <c r="Q249" s="62">
        <f t="shared" si="210"/>
        <v>0.06</v>
      </c>
      <c r="R249" s="62">
        <f t="shared" si="211"/>
        <v>0.06</v>
      </c>
      <c r="S249" s="62">
        <f t="shared" si="212"/>
        <v>0.06</v>
      </c>
      <c r="T249" s="62">
        <f t="shared" si="213"/>
        <v>0.06</v>
      </c>
      <c r="U249" s="62">
        <f t="shared" si="214"/>
        <v>0.06</v>
      </c>
      <c r="V249" s="62">
        <f t="shared" si="215"/>
        <v>0.06</v>
      </c>
      <c r="W249" s="62">
        <f t="shared" si="216"/>
        <v>0.06</v>
      </c>
      <c r="X249" s="62">
        <f t="shared" si="217"/>
        <v>0.06</v>
      </c>
      <c r="Y249" s="62">
        <f t="shared" si="218"/>
        <v>0.06</v>
      </c>
      <c r="Z249" s="62">
        <f t="shared" si="219"/>
        <v>0.06</v>
      </c>
      <c r="AA249" s="62">
        <f t="shared" si="220"/>
        <v>0.06</v>
      </c>
      <c r="AB249" s="62">
        <f t="shared" si="221"/>
        <v>0.06</v>
      </c>
      <c r="AC249" s="62">
        <f t="shared" si="222"/>
        <v>0.06</v>
      </c>
    </row>
    <row r="250" spans="1:44" x14ac:dyDescent="0.25">
      <c r="A250" s="30" t="str">
        <f t="shared" si="194"/>
        <v>Opex fix (admin, crew, insurance)</v>
      </c>
      <c r="B250" s="62">
        <f t="shared" si="195"/>
        <v>610000</v>
      </c>
      <c r="C250" s="62">
        <f t="shared" si="196"/>
        <v>610000</v>
      </c>
      <c r="D250" s="62">
        <f t="shared" si="197"/>
        <v>610000</v>
      </c>
      <c r="E250" s="62">
        <f t="shared" si="198"/>
        <v>610000</v>
      </c>
      <c r="F250" s="62">
        <f t="shared" si="199"/>
        <v>610000</v>
      </c>
      <c r="G250" s="62">
        <f t="shared" si="200"/>
        <v>610000</v>
      </c>
      <c r="H250" s="62">
        <f t="shared" si="201"/>
        <v>610000</v>
      </c>
      <c r="I250" s="62">
        <f t="shared" si="202"/>
        <v>610000</v>
      </c>
      <c r="J250" s="62">
        <f t="shared" si="203"/>
        <v>610000</v>
      </c>
      <c r="K250" s="62">
        <f t="shared" si="204"/>
        <v>610000</v>
      </c>
      <c r="L250" s="62">
        <f t="shared" si="205"/>
        <v>610000</v>
      </c>
      <c r="M250" s="62">
        <f t="shared" si="206"/>
        <v>610000</v>
      </c>
      <c r="N250" s="62">
        <f t="shared" si="207"/>
        <v>610000</v>
      </c>
      <c r="O250" s="62">
        <f t="shared" si="208"/>
        <v>610000</v>
      </c>
      <c r="P250" s="62">
        <f t="shared" si="209"/>
        <v>610000</v>
      </c>
      <c r="Q250" s="62">
        <f t="shared" si="210"/>
        <v>610000</v>
      </c>
      <c r="R250" s="62">
        <f t="shared" si="211"/>
        <v>610000</v>
      </c>
      <c r="S250" s="62">
        <f t="shared" si="212"/>
        <v>610000</v>
      </c>
      <c r="T250" s="62">
        <f t="shared" si="213"/>
        <v>610000</v>
      </c>
      <c r="U250" s="62">
        <f t="shared" si="214"/>
        <v>610000</v>
      </c>
      <c r="V250" s="62">
        <f t="shared" si="215"/>
        <v>610000</v>
      </c>
      <c r="W250" s="62">
        <f t="shared" si="216"/>
        <v>610000</v>
      </c>
      <c r="X250" s="62">
        <f t="shared" si="217"/>
        <v>610000</v>
      </c>
      <c r="Y250" s="62">
        <f t="shared" si="218"/>
        <v>610000</v>
      </c>
      <c r="Z250" s="62">
        <f t="shared" si="219"/>
        <v>610000</v>
      </c>
      <c r="AA250" s="62">
        <f t="shared" si="220"/>
        <v>610000</v>
      </c>
      <c r="AB250" s="62">
        <f t="shared" si="221"/>
        <v>610000</v>
      </c>
      <c r="AC250" s="62">
        <f t="shared" si="222"/>
        <v>610000</v>
      </c>
    </row>
    <row r="251" spans="1:44" x14ac:dyDescent="0.25">
      <c r="A251" s="30" t="str">
        <f t="shared" si="194"/>
        <v>Opex maintenance &amp; repair</v>
      </c>
      <c r="B251" s="62">
        <f t="shared" si="195"/>
        <v>650000</v>
      </c>
      <c r="C251" s="62">
        <f t="shared" si="196"/>
        <v>650000</v>
      </c>
      <c r="D251" s="62">
        <f t="shared" si="197"/>
        <v>650000</v>
      </c>
      <c r="E251" s="62">
        <f t="shared" si="198"/>
        <v>650000</v>
      </c>
      <c r="F251" s="62">
        <f t="shared" si="199"/>
        <v>650000</v>
      </c>
      <c r="G251" s="62">
        <f t="shared" si="200"/>
        <v>650000</v>
      </c>
      <c r="H251" s="62">
        <f t="shared" si="201"/>
        <v>650000</v>
      </c>
      <c r="I251" s="62">
        <f t="shared" si="202"/>
        <v>650000</v>
      </c>
      <c r="J251" s="62">
        <f t="shared" si="203"/>
        <v>650000</v>
      </c>
      <c r="K251" s="62">
        <f t="shared" si="204"/>
        <v>650000</v>
      </c>
      <c r="L251" s="62">
        <f t="shared" si="205"/>
        <v>650000</v>
      </c>
      <c r="M251" s="62">
        <f t="shared" si="206"/>
        <v>650000</v>
      </c>
      <c r="N251" s="62">
        <f t="shared" si="207"/>
        <v>650000</v>
      </c>
      <c r="O251" s="62">
        <f t="shared" si="208"/>
        <v>650000</v>
      </c>
      <c r="P251" s="62">
        <f t="shared" si="209"/>
        <v>650000</v>
      </c>
      <c r="Q251" s="62">
        <f t="shared" si="210"/>
        <v>650000</v>
      </c>
      <c r="R251" s="62">
        <f t="shared" si="211"/>
        <v>650000</v>
      </c>
      <c r="S251" s="62">
        <f t="shared" si="212"/>
        <v>650000</v>
      </c>
      <c r="T251" s="62">
        <f t="shared" si="213"/>
        <v>650000</v>
      </c>
      <c r="U251" s="62">
        <f t="shared" si="214"/>
        <v>650000</v>
      </c>
      <c r="V251" s="62">
        <f t="shared" si="215"/>
        <v>650000</v>
      </c>
      <c r="W251" s="62">
        <f t="shared" si="216"/>
        <v>650000</v>
      </c>
      <c r="X251" s="62">
        <f t="shared" si="217"/>
        <v>650000</v>
      </c>
      <c r="Y251" s="62">
        <f t="shared" si="218"/>
        <v>650000</v>
      </c>
      <c r="Z251" s="62">
        <f t="shared" si="219"/>
        <v>650000</v>
      </c>
      <c r="AA251" s="62">
        <f t="shared" si="220"/>
        <v>650000</v>
      </c>
      <c r="AB251" s="62">
        <f t="shared" si="221"/>
        <v>650000</v>
      </c>
      <c r="AC251" s="62">
        <f t="shared" si="222"/>
        <v>650000</v>
      </c>
    </row>
    <row r="252" spans="1:44" x14ac:dyDescent="0.25">
      <c r="A252" s="30" t="str">
        <f t="shared" si="194"/>
        <v>Opex var (mode-fees, shunting)</v>
      </c>
      <c r="B252" s="62">
        <f t="shared" si="195"/>
        <v>3.6414565826330532</v>
      </c>
      <c r="C252" s="62">
        <f t="shared" si="196"/>
        <v>3.6414565826330532</v>
      </c>
      <c r="D252" s="62">
        <f t="shared" si="197"/>
        <v>3.6414565826330532</v>
      </c>
      <c r="E252" s="62">
        <f t="shared" si="198"/>
        <v>3.6414565826330532</v>
      </c>
      <c r="F252" s="62">
        <f t="shared" si="199"/>
        <v>3.6414565826330532</v>
      </c>
      <c r="G252" s="62">
        <f t="shared" si="200"/>
        <v>3.6414565826330532</v>
      </c>
      <c r="H252" s="62">
        <f t="shared" si="201"/>
        <v>3.6414565826330532</v>
      </c>
      <c r="I252" s="62">
        <f t="shared" si="202"/>
        <v>3.6414565826330532</v>
      </c>
      <c r="J252" s="62">
        <f t="shared" si="203"/>
        <v>3.6414565826330532</v>
      </c>
      <c r="K252" s="62">
        <f t="shared" si="204"/>
        <v>3.6414565826330532</v>
      </c>
      <c r="L252" s="62">
        <f t="shared" si="205"/>
        <v>3.6414565826330532</v>
      </c>
      <c r="M252" s="62">
        <f t="shared" si="206"/>
        <v>3.6414565826330532</v>
      </c>
      <c r="N252" s="62">
        <f t="shared" si="207"/>
        <v>3.6414565826330532</v>
      </c>
      <c r="O252" s="62">
        <f t="shared" si="208"/>
        <v>3.6414565826330532</v>
      </c>
      <c r="P252" s="62">
        <f t="shared" si="209"/>
        <v>3.6414565826330532</v>
      </c>
      <c r="Q252" s="62">
        <f t="shared" si="210"/>
        <v>3.6414565826330532</v>
      </c>
      <c r="R252" s="62">
        <f t="shared" si="211"/>
        <v>3.6414565826330532</v>
      </c>
      <c r="S252" s="62">
        <f t="shared" si="212"/>
        <v>3.6414565826330532</v>
      </c>
      <c r="T252" s="62">
        <f t="shared" si="213"/>
        <v>3.6414565826330532</v>
      </c>
      <c r="U252" s="62">
        <f t="shared" si="214"/>
        <v>3.6414565826330532</v>
      </c>
      <c r="V252" s="62">
        <f t="shared" si="215"/>
        <v>3.6414565826330532</v>
      </c>
      <c r="W252" s="62">
        <f t="shared" si="216"/>
        <v>3.6414565826330532</v>
      </c>
      <c r="X252" s="62">
        <f t="shared" si="217"/>
        <v>3.6414565826330532</v>
      </c>
      <c r="Y252" s="62">
        <f t="shared" si="218"/>
        <v>3.6414565826330532</v>
      </c>
      <c r="Z252" s="62">
        <f t="shared" si="219"/>
        <v>3.6414565826330532</v>
      </c>
      <c r="AA252" s="62">
        <f t="shared" si="220"/>
        <v>3.6414565826330532</v>
      </c>
      <c r="AB252" s="62">
        <f t="shared" si="221"/>
        <v>3.6414565826330532</v>
      </c>
      <c r="AC252" s="62">
        <f t="shared" si="222"/>
        <v>3.6414565826330532</v>
      </c>
    </row>
    <row r="253" spans="1:44" x14ac:dyDescent="0.25">
      <c r="A253" s="30" t="str">
        <f t="shared" si="194"/>
        <v>Fuel Economy</v>
      </c>
      <c r="B253" s="62">
        <f t="shared" si="195"/>
        <v>31.614305882352937</v>
      </c>
      <c r="C253" s="62">
        <f t="shared" si="196"/>
        <v>31.614305882352937</v>
      </c>
      <c r="D253" s="62">
        <f t="shared" si="197"/>
        <v>31.614305882352937</v>
      </c>
      <c r="E253" s="62">
        <f t="shared" si="198"/>
        <v>31.614305882352937</v>
      </c>
      <c r="F253" s="62">
        <f t="shared" si="199"/>
        <v>31.614305882352937</v>
      </c>
      <c r="G253" s="62">
        <f t="shared" si="200"/>
        <v>31.614305882352937</v>
      </c>
      <c r="H253" s="62">
        <f t="shared" si="201"/>
        <v>31.614305882352937</v>
      </c>
      <c r="I253" s="62">
        <f t="shared" si="202"/>
        <v>31.614305882352937</v>
      </c>
      <c r="J253" s="62">
        <f t="shared" si="203"/>
        <v>31.614305882352937</v>
      </c>
      <c r="K253" s="62">
        <f t="shared" si="204"/>
        <v>31.614305882352937</v>
      </c>
      <c r="L253" s="62">
        <f t="shared" si="205"/>
        <v>31.614305882352937</v>
      </c>
      <c r="M253" s="62">
        <f t="shared" si="206"/>
        <v>31.614305882352937</v>
      </c>
      <c r="N253" s="62">
        <f t="shared" si="207"/>
        <v>31.614305882352937</v>
      </c>
      <c r="O253" s="62">
        <f t="shared" si="208"/>
        <v>31.614305882352937</v>
      </c>
      <c r="P253" s="62">
        <f t="shared" si="209"/>
        <v>31.614305882352937</v>
      </c>
      <c r="Q253" s="62">
        <f t="shared" si="210"/>
        <v>31.614305882352937</v>
      </c>
      <c r="R253" s="62">
        <f t="shared" si="211"/>
        <v>31.614305882352937</v>
      </c>
      <c r="S253" s="62">
        <f t="shared" si="212"/>
        <v>31.614305882352937</v>
      </c>
      <c r="T253" s="62">
        <f t="shared" si="213"/>
        <v>31.614305882352937</v>
      </c>
      <c r="U253" s="62">
        <f t="shared" si="214"/>
        <v>31.614305882352937</v>
      </c>
      <c r="V253" s="62">
        <f t="shared" si="215"/>
        <v>31.614305882352937</v>
      </c>
      <c r="W253" s="62">
        <f t="shared" si="216"/>
        <v>31.614305882352937</v>
      </c>
      <c r="X253" s="62">
        <f t="shared" si="217"/>
        <v>31.614305882352937</v>
      </c>
      <c r="Y253" s="62">
        <f t="shared" si="218"/>
        <v>31.614305882352937</v>
      </c>
      <c r="Z253" s="62">
        <f t="shared" si="219"/>
        <v>31.614305882352937</v>
      </c>
      <c r="AA253" s="62">
        <f t="shared" si="220"/>
        <v>31.614305882352937</v>
      </c>
      <c r="AB253" s="62">
        <f t="shared" si="221"/>
        <v>31.614305882352937</v>
      </c>
      <c r="AC253" s="62">
        <f t="shared" si="222"/>
        <v>31.614305882352937</v>
      </c>
    </row>
    <row r="254" spans="1:44" x14ac:dyDescent="0.25">
      <c r="A254" s="30" t="str">
        <f t="shared" si="194"/>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223">A235</f>
        <v>Emission Cost</v>
      </c>
      <c r="B255" s="66">
        <f>$B235+($C235-$B235)*(1-Q235)</f>
        <v>0</v>
      </c>
      <c r="C255" s="66">
        <f t="shared" ref="C255" si="224">$B235+($C235-$B235)*(1-R235)</f>
        <v>0</v>
      </c>
      <c r="D255" s="66">
        <f t="shared" ref="D255" si="225">$B235+($C235-$B235)*(1-S235)</f>
        <v>0</v>
      </c>
      <c r="E255" s="66">
        <f t="shared" ref="E255" si="226">$B235+($C235-$B235)*(1-T235)</f>
        <v>0</v>
      </c>
      <c r="F255" s="66">
        <f t="shared" ref="F255" si="227">$B235+($C235-$B235)*(1-U235)</f>
        <v>0</v>
      </c>
      <c r="G255" s="66">
        <f t="shared" ref="G255" si="228">$B235+($C235-$B235)*(1-V235)</f>
        <v>0</v>
      </c>
      <c r="H255" s="66">
        <f t="shared" ref="H255" si="229">$B235+($C235-$B235)*(1-W235)</f>
        <v>0</v>
      </c>
      <c r="I255" s="66">
        <f t="shared" ref="I255" si="230">$B235+($C235-$B235)*(1-X235)</f>
        <v>0</v>
      </c>
      <c r="J255" s="66">
        <f t="shared" ref="J255" si="231">$B235+($C235-$B235)*(1-Y235)</f>
        <v>0</v>
      </c>
      <c r="K255" s="66">
        <f t="shared" ref="K255" si="232">$B235+($C235-$B235)*(1-Z235)</f>
        <v>0</v>
      </c>
      <c r="L255" s="66">
        <f t="shared" ref="L255" si="233">$B235+($C235-$B235)*(1-AA235)</f>
        <v>0</v>
      </c>
      <c r="M255" s="66">
        <f t="shared" ref="M255" si="234">$B235+($C235-$B235)*(1-AB235)</f>
        <v>0</v>
      </c>
      <c r="N255" s="66">
        <f t="shared" ref="N255" si="235">$B235+($C235-$B235)*(1-AC235)</f>
        <v>0</v>
      </c>
      <c r="O255" s="66">
        <f t="shared" ref="O255" si="236">$B235+($C235-$B235)*(1-AD235)</f>
        <v>0</v>
      </c>
      <c r="P255" s="66">
        <f t="shared" ref="P255" si="237">$B235+($C235-$B235)*(1-AE235)</f>
        <v>0</v>
      </c>
      <c r="Q255" s="66">
        <f t="shared" ref="Q255" si="238">$B235+($C235-$B235)*(1-AF235)</f>
        <v>0</v>
      </c>
      <c r="R255" s="66">
        <f t="shared" ref="R255" si="239">$B235+($C235-$B235)*(1-AG235)</f>
        <v>0</v>
      </c>
      <c r="S255" s="66">
        <f t="shared" ref="S255" si="240">$B235+($C235-$B235)*(1-AH235)</f>
        <v>0</v>
      </c>
      <c r="T255" s="66">
        <f t="shared" ref="T255" si="241">$B235+($C235-$B235)*(1-AI235)</f>
        <v>0</v>
      </c>
      <c r="U255" s="66">
        <f t="shared" ref="U255" si="242">$B235+($C235-$B235)*(1-AJ235)</f>
        <v>0</v>
      </c>
      <c r="V255" s="66">
        <f t="shared" ref="V255" si="243">$B235+($C235-$B235)*(1-AK235)</f>
        <v>0</v>
      </c>
      <c r="W255" s="66">
        <f t="shared" ref="W255" si="244">$B235+($C235-$B235)*(1-AL235)</f>
        <v>0</v>
      </c>
      <c r="X255" s="66">
        <f t="shared" ref="X255" si="245">$B235+($C235-$B235)*(1-AM235)</f>
        <v>0</v>
      </c>
      <c r="Y255" s="66">
        <f t="shared" ref="Y255" si="246">$B235+($C235-$B235)*(1-AN235)</f>
        <v>0</v>
      </c>
      <c r="Z255" s="66">
        <f t="shared" ref="Z255" si="247">$B235+($C235-$B235)*(1-AO235)</f>
        <v>0</v>
      </c>
      <c r="AA255" s="66">
        <f t="shared" ref="AA255" si="248">$B235+($C235-$B235)*(1-AP235)</f>
        <v>0</v>
      </c>
      <c r="AB255" s="66">
        <f t="shared" ref="AB255" si="249">$B235+($C235-$B235)*(1-AQ235)</f>
        <v>0</v>
      </c>
      <c r="AC255" s="66">
        <f t="shared" ref="AC255" si="250">$B235+($C235-$B235)*(1-AR235)</f>
        <v>0</v>
      </c>
    </row>
    <row r="256" spans="1:44" x14ac:dyDescent="0.25">
      <c r="A256" s="30" t="str">
        <f>A236</f>
        <v>Lifetime vehicle</v>
      </c>
      <c r="B256" s="62">
        <f>$B236+($C236-$B236)*(1-Q236)</f>
        <v>20</v>
      </c>
      <c r="C256" s="62">
        <f t="shared" ref="C256:L258" si="251">$B236+($C236-$B236)*(1-R236)</f>
        <v>20</v>
      </c>
      <c r="D256" s="62">
        <f t="shared" si="251"/>
        <v>20</v>
      </c>
      <c r="E256" s="62">
        <f t="shared" si="251"/>
        <v>20</v>
      </c>
      <c r="F256" s="62">
        <f t="shared" si="251"/>
        <v>20</v>
      </c>
      <c r="G256" s="62">
        <f t="shared" si="251"/>
        <v>20</v>
      </c>
      <c r="H256" s="62">
        <f t="shared" si="251"/>
        <v>20</v>
      </c>
      <c r="I256" s="62">
        <f t="shared" si="251"/>
        <v>20</v>
      </c>
      <c r="J256" s="62">
        <f t="shared" si="251"/>
        <v>20</v>
      </c>
      <c r="K256" s="62">
        <f t="shared" si="251"/>
        <v>20</v>
      </c>
      <c r="L256" s="62">
        <f t="shared" si="251"/>
        <v>20</v>
      </c>
      <c r="M256" s="62">
        <f t="shared" ref="M256:V258" si="252">$B236+($C236-$B236)*(1-AB236)</f>
        <v>20</v>
      </c>
      <c r="N256" s="62">
        <f t="shared" si="252"/>
        <v>20</v>
      </c>
      <c r="O256" s="62">
        <f t="shared" si="252"/>
        <v>20</v>
      </c>
      <c r="P256" s="62">
        <f t="shared" si="252"/>
        <v>20</v>
      </c>
      <c r="Q256" s="62">
        <f t="shared" si="252"/>
        <v>20</v>
      </c>
      <c r="R256" s="62">
        <f t="shared" si="252"/>
        <v>20</v>
      </c>
      <c r="S256" s="62">
        <f t="shared" si="252"/>
        <v>20</v>
      </c>
      <c r="T256" s="62">
        <f t="shared" si="252"/>
        <v>20</v>
      </c>
      <c r="U256" s="62">
        <f t="shared" si="252"/>
        <v>20</v>
      </c>
      <c r="V256" s="62">
        <f t="shared" si="252"/>
        <v>20</v>
      </c>
      <c r="W256" s="62">
        <f t="shared" ref="W256:AC258" si="253">$B236+($C236-$B236)*(1-AL236)</f>
        <v>20</v>
      </c>
      <c r="X256" s="62">
        <f t="shared" si="253"/>
        <v>20</v>
      </c>
      <c r="Y256" s="62">
        <f t="shared" si="253"/>
        <v>20</v>
      </c>
      <c r="Z256" s="62">
        <f t="shared" si="253"/>
        <v>20</v>
      </c>
      <c r="AA256" s="62">
        <f t="shared" si="253"/>
        <v>20</v>
      </c>
      <c r="AB256" s="62">
        <f t="shared" si="253"/>
        <v>20</v>
      </c>
      <c r="AC256" s="62">
        <f t="shared" si="253"/>
        <v>20</v>
      </c>
    </row>
    <row r="257" spans="1:29" x14ac:dyDescent="0.25">
      <c r="A257" s="30" t="str">
        <f>A237</f>
        <v>Lifetime costumization</v>
      </c>
      <c r="B257" s="62">
        <f>$B237+($C237-$B237)*(1-Q237)</f>
        <v>30</v>
      </c>
      <c r="C257" s="62">
        <f t="shared" si="251"/>
        <v>30</v>
      </c>
      <c r="D257" s="62">
        <f t="shared" si="251"/>
        <v>30</v>
      </c>
      <c r="E257" s="62">
        <f t="shared" si="251"/>
        <v>30</v>
      </c>
      <c r="F257" s="62">
        <f t="shared" si="251"/>
        <v>30</v>
      </c>
      <c r="G257" s="62">
        <f t="shared" si="251"/>
        <v>30</v>
      </c>
      <c r="H257" s="62">
        <f t="shared" si="251"/>
        <v>30</v>
      </c>
      <c r="I257" s="62">
        <f t="shared" si="251"/>
        <v>30</v>
      </c>
      <c r="J257" s="62">
        <f t="shared" si="251"/>
        <v>30</v>
      </c>
      <c r="K257" s="62">
        <f t="shared" si="251"/>
        <v>30</v>
      </c>
      <c r="L257" s="62">
        <f t="shared" si="251"/>
        <v>30</v>
      </c>
      <c r="M257" s="62">
        <f t="shared" si="252"/>
        <v>30</v>
      </c>
      <c r="N257" s="62">
        <f t="shared" si="252"/>
        <v>30</v>
      </c>
      <c r="O257" s="62">
        <f t="shared" si="252"/>
        <v>30</v>
      </c>
      <c r="P257" s="62">
        <f t="shared" si="252"/>
        <v>30</v>
      </c>
      <c r="Q257" s="62">
        <f t="shared" si="252"/>
        <v>30</v>
      </c>
      <c r="R257" s="62">
        <f t="shared" si="252"/>
        <v>30</v>
      </c>
      <c r="S257" s="62">
        <f t="shared" si="252"/>
        <v>30</v>
      </c>
      <c r="T257" s="62">
        <f t="shared" si="252"/>
        <v>30</v>
      </c>
      <c r="U257" s="62">
        <f t="shared" si="252"/>
        <v>30</v>
      </c>
      <c r="V257" s="62">
        <f t="shared" si="252"/>
        <v>30</v>
      </c>
      <c r="W257" s="62">
        <f t="shared" si="253"/>
        <v>30</v>
      </c>
      <c r="X257" s="62">
        <f t="shared" si="253"/>
        <v>30</v>
      </c>
      <c r="Y257" s="62">
        <f t="shared" si="253"/>
        <v>30</v>
      </c>
      <c r="Z257" s="62">
        <f t="shared" si="253"/>
        <v>30</v>
      </c>
      <c r="AA257" s="62">
        <f t="shared" si="253"/>
        <v>30</v>
      </c>
      <c r="AB257" s="62">
        <f t="shared" si="253"/>
        <v>30</v>
      </c>
      <c r="AC257" s="62">
        <f t="shared" si="253"/>
        <v>30</v>
      </c>
    </row>
    <row r="258" spans="1:29" x14ac:dyDescent="0.25">
      <c r="A258" s="30" t="str">
        <f>A238</f>
        <v>Tonnage .</v>
      </c>
      <c r="B258" s="62">
        <f>$B238+($C238-$B238)*(1-Q238)</f>
        <v>2240</v>
      </c>
      <c r="C258" s="62">
        <f t="shared" si="251"/>
        <v>2240</v>
      </c>
      <c r="D258" s="62">
        <f t="shared" si="251"/>
        <v>2240</v>
      </c>
      <c r="E258" s="62">
        <f t="shared" si="251"/>
        <v>2240</v>
      </c>
      <c r="F258" s="62">
        <f t="shared" si="251"/>
        <v>2240</v>
      </c>
      <c r="G258" s="62">
        <f t="shared" si="251"/>
        <v>2240</v>
      </c>
      <c r="H258" s="62">
        <f t="shared" si="251"/>
        <v>2240</v>
      </c>
      <c r="I258" s="62">
        <f t="shared" si="251"/>
        <v>2240</v>
      </c>
      <c r="J258" s="62">
        <f t="shared" si="251"/>
        <v>2240</v>
      </c>
      <c r="K258" s="62">
        <f t="shared" si="251"/>
        <v>2240</v>
      </c>
      <c r="L258" s="62">
        <f t="shared" si="251"/>
        <v>2240</v>
      </c>
      <c r="M258" s="62">
        <f t="shared" si="252"/>
        <v>2240</v>
      </c>
      <c r="N258" s="62">
        <f t="shared" si="252"/>
        <v>2240</v>
      </c>
      <c r="O258" s="62">
        <f t="shared" si="252"/>
        <v>2240</v>
      </c>
      <c r="P258" s="62">
        <f t="shared" si="252"/>
        <v>2240</v>
      </c>
      <c r="Q258" s="62">
        <f t="shared" si="252"/>
        <v>2240</v>
      </c>
      <c r="R258" s="62">
        <f t="shared" si="252"/>
        <v>2240</v>
      </c>
      <c r="S258" s="62">
        <f t="shared" si="252"/>
        <v>2240</v>
      </c>
      <c r="T258" s="62">
        <f t="shared" si="252"/>
        <v>2240</v>
      </c>
      <c r="U258" s="62">
        <f t="shared" si="252"/>
        <v>2240</v>
      </c>
      <c r="V258" s="62">
        <f t="shared" si="252"/>
        <v>2240</v>
      </c>
      <c r="W258" s="62">
        <f t="shared" si="253"/>
        <v>2240</v>
      </c>
      <c r="X258" s="62">
        <f t="shared" si="253"/>
        <v>2240</v>
      </c>
      <c r="Y258" s="62">
        <f t="shared" si="253"/>
        <v>2240</v>
      </c>
      <c r="Z258" s="62">
        <f t="shared" si="253"/>
        <v>2240</v>
      </c>
      <c r="AA258" s="62">
        <f t="shared" si="253"/>
        <v>2240</v>
      </c>
      <c r="AB258" s="62">
        <f t="shared" si="253"/>
        <v>2240</v>
      </c>
      <c r="AC258" s="62">
        <f t="shared" si="253"/>
        <v>2240</v>
      </c>
    </row>
    <row r="259" spans="1:29" x14ac:dyDescent="0.25">
      <c r="A259" s="30" t="str">
        <f>A239</f>
        <v>Market failure (av. utilization)</v>
      </c>
      <c r="B259" s="62">
        <f t="shared" ref="B259:K260" si="254">($B239+($C239-$B239)*(1-Q239))*B$44</f>
        <v>955.73333333333335</v>
      </c>
      <c r="C259" s="62">
        <f t="shared" si="254"/>
        <v>955.73333333333335</v>
      </c>
      <c r="D259" s="62">
        <f t="shared" si="254"/>
        <v>955.73333333333335</v>
      </c>
      <c r="E259" s="62">
        <f t="shared" si="254"/>
        <v>955.73333333333335</v>
      </c>
      <c r="F259" s="62">
        <f t="shared" si="254"/>
        <v>955.73333333333335</v>
      </c>
      <c r="G259" s="62">
        <f t="shared" si="254"/>
        <v>955.73333333333335</v>
      </c>
      <c r="H259" s="62">
        <f t="shared" si="254"/>
        <v>955.73333333333335</v>
      </c>
      <c r="I259" s="62">
        <f t="shared" si="254"/>
        <v>955.73333333333335</v>
      </c>
      <c r="J259" s="62">
        <f t="shared" si="254"/>
        <v>955.73333333333335</v>
      </c>
      <c r="K259" s="62">
        <f t="shared" si="254"/>
        <v>955.73333333333335</v>
      </c>
      <c r="L259" s="62">
        <f t="shared" ref="L259:U260" si="255">($B239+($C239-$B239)*(1-AA239))*L$44</f>
        <v>955.73333333333335</v>
      </c>
      <c r="M259" s="62">
        <f t="shared" si="255"/>
        <v>955.73333333333335</v>
      </c>
      <c r="N259" s="62">
        <f t="shared" si="255"/>
        <v>955.73333333333335</v>
      </c>
      <c r="O259" s="62">
        <f t="shared" si="255"/>
        <v>955.73333333333335</v>
      </c>
      <c r="P259" s="62">
        <f t="shared" si="255"/>
        <v>955.73333333333335</v>
      </c>
      <c r="Q259" s="62">
        <f t="shared" si="255"/>
        <v>955.73333333333335</v>
      </c>
      <c r="R259" s="62">
        <f t="shared" si="255"/>
        <v>955.73333333333335</v>
      </c>
      <c r="S259" s="62">
        <f t="shared" si="255"/>
        <v>955.73333333333335</v>
      </c>
      <c r="T259" s="62">
        <f t="shared" si="255"/>
        <v>955.73333333333335</v>
      </c>
      <c r="U259" s="62">
        <f t="shared" si="255"/>
        <v>955.73333333333335</v>
      </c>
      <c r="V259" s="62">
        <f t="shared" ref="V259:AC260" si="256">($B239+($C239-$B239)*(1-AK239))*V$44</f>
        <v>955.73333333333335</v>
      </c>
      <c r="W259" s="62">
        <f t="shared" si="256"/>
        <v>955.73333333333335</v>
      </c>
      <c r="X259" s="62">
        <f t="shared" si="256"/>
        <v>955.73333333333335</v>
      </c>
      <c r="Y259" s="62">
        <f t="shared" si="256"/>
        <v>955.73333333333335</v>
      </c>
      <c r="Z259" s="62">
        <f t="shared" si="256"/>
        <v>955.73333333333335</v>
      </c>
      <c r="AA259" s="62">
        <f t="shared" si="256"/>
        <v>955.73333333333335</v>
      </c>
      <c r="AB259" s="62">
        <f t="shared" si="256"/>
        <v>955.73333333333335</v>
      </c>
      <c r="AC259" s="62">
        <f t="shared" si="256"/>
        <v>955.73333333333335</v>
      </c>
    </row>
    <row r="260" spans="1:29" x14ac:dyDescent="0.25">
      <c r="A260" s="30" t="s">
        <v>73</v>
      </c>
      <c r="B260" s="62">
        <f t="shared" si="254"/>
        <v>0</v>
      </c>
      <c r="C260" s="62">
        <f t="shared" si="254"/>
        <v>0</v>
      </c>
      <c r="D260" s="62">
        <f t="shared" si="254"/>
        <v>0</v>
      </c>
      <c r="E260" s="62">
        <f t="shared" si="254"/>
        <v>0</v>
      </c>
      <c r="F260" s="62">
        <f t="shared" si="254"/>
        <v>0</v>
      </c>
      <c r="G260" s="62">
        <f t="shared" si="254"/>
        <v>0</v>
      </c>
      <c r="H260" s="62">
        <f t="shared" si="254"/>
        <v>0</v>
      </c>
      <c r="I260" s="62">
        <f t="shared" si="254"/>
        <v>0</v>
      </c>
      <c r="J260" s="62">
        <f t="shared" si="254"/>
        <v>0</v>
      </c>
      <c r="K260" s="62">
        <f t="shared" si="254"/>
        <v>0</v>
      </c>
      <c r="L260" s="62">
        <f t="shared" si="255"/>
        <v>0</v>
      </c>
      <c r="M260" s="62">
        <f t="shared" si="255"/>
        <v>0</v>
      </c>
      <c r="N260" s="62">
        <f t="shared" si="255"/>
        <v>0</v>
      </c>
      <c r="O260" s="62">
        <f t="shared" si="255"/>
        <v>0</v>
      </c>
      <c r="P260" s="62">
        <f t="shared" si="255"/>
        <v>0</v>
      </c>
      <c r="Q260" s="62">
        <f t="shared" si="255"/>
        <v>0</v>
      </c>
      <c r="R260" s="62">
        <f t="shared" si="255"/>
        <v>0</v>
      </c>
      <c r="S260" s="62">
        <f t="shared" si="255"/>
        <v>0</v>
      </c>
      <c r="T260" s="62">
        <f t="shared" si="255"/>
        <v>0</v>
      </c>
      <c r="U260" s="62">
        <f t="shared" si="255"/>
        <v>0</v>
      </c>
      <c r="V260" s="62">
        <f t="shared" si="256"/>
        <v>0</v>
      </c>
      <c r="W260" s="62">
        <f t="shared" si="256"/>
        <v>0</v>
      </c>
      <c r="X260" s="62">
        <f t="shared" si="256"/>
        <v>0</v>
      </c>
      <c r="Y260" s="62">
        <f t="shared" si="256"/>
        <v>0</v>
      </c>
      <c r="Z260" s="62">
        <f t="shared" si="256"/>
        <v>0</v>
      </c>
      <c r="AA260" s="62">
        <f t="shared" si="256"/>
        <v>0</v>
      </c>
      <c r="AB260" s="62">
        <f t="shared" si="256"/>
        <v>0</v>
      </c>
      <c r="AC260" s="62">
        <f t="shared" si="256"/>
        <v>0</v>
      </c>
    </row>
    <row r="261" spans="1:29" x14ac:dyDescent="0.25">
      <c r="A261" s="30" t="str">
        <f>A241</f>
        <v>Annual Mileage</v>
      </c>
      <c r="B261" s="62">
        <f t="shared" ref="B261:AC261" si="257">$B241+($C241-$B241)*(1-Q241)</f>
        <v>178500</v>
      </c>
      <c r="C261" s="62">
        <f t="shared" si="257"/>
        <v>178500</v>
      </c>
      <c r="D261" s="62">
        <f t="shared" si="257"/>
        <v>178500</v>
      </c>
      <c r="E261" s="62">
        <f t="shared" si="257"/>
        <v>178500</v>
      </c>
      <c r="F261" s="62">
        <f t="shared" si="257"/>
        <v>178500</v>
      </c>
      <c r="G261" s="62">
        <f t="shared" si="257"/>
        <v>178500</v>
      </c>
      <c r="H261" s="62">
        <f t="shared" si="257"/>
        <v>178500</v>
      </c>
      <c r="I261" s="62">
        <f t="shared" si="257"/>
        <v>178500</v>
      </c>
      <c r="J261" s="62">
        <f t="shared" si="257"/>
        <v>178500</v>
      </c>
      <c r="K261" s="62">
        <f t="shared" si="257"/>
        <v>178500</v>
      </c>
      <c r="L261" s="62">
        <f t="shared" si="257"/>
        <v>178500</v>
      </c>
      <c r="M261" s="62">
        <f t="shared" si="257"/>
        <v>178500</v>
      </c>
      <c r="N261" s="62">
        <f t="shared" si="257"/>
        <v>178500</v>
      </c>
      <c r="O261" s="62">
        <f t="shared" si="257"/>
        <v>178500</v>
      </c>
      <c r="P261" s="62">
        <f t="shared" si="257"/>
        <v>178500</v>
      </c>
      <c r="Q261" s="62">
        <f t="shared" si="257"/>
        <v>178500</v>
      </c>
      <c r="R261" s="62">
        <f t="shared" si="257"/>
        <v>178500</v>
      </c>
      <c r="S261" s="62">
        <f t="shared" si="257"/>
        <v>178500</v>
      </c>
      <c r="T261" s="62">
        <f t="shared" si="257"/>
        <v>178500</v>
      </c>
      <c r="U261" s="62">
        <f t="shared" si="257"/>
        <v>178500</v>
      </c>
      <c r="V261" s="62">
        <f t="shared" si="257"/>
        <v>178500</v>
      </c>
      <c r="W261" s="62">
        <f t="shared" si="257"/>
        <v>178500</v>
      </c>
      <c r="X261" s="62">
        <f t="shared" si="257"/>
        <v>178500</v>
      </c>
      <c r="Y261" s="62">
        <f t="shared" si="257"/>
        <v>178500</v>
      </c>
      <c r="Z261" s="62">
        <f t="shared" si="257"/>
        <v>178500</v>
      </c>
      <c r="AA261" s="62">
        <f t="shared" si="257"/>
        <v>178500</v>
      </c>
      <c r="AB261" s="62">
        <f t="shared" si="257"/>
        <v>178500</v>
      </c>
      <c r="AC261" s="62">
        <f t="shared" si="257"/>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8">((1+C249)^C256)*C249/(((1+C249)^C256)-1)*(C245)</f>
        <v>435922.78488425701</v>
      </c>
      <c r="D264" s="63">
        <f t="shared" si="258"/>
        <v>435922.78488425701</v>
      </c>
      <c r="E264" s="63">
        <f t="shared" si="258"/>
        <v>435922.78488425701</v>
      </c>
      <c r="F264" s="63">
        <f t="shared" si="258"/>
        <v>435922.78488425701</v>
      </c>
      <c r="G264" s="63">
        <f t="shared" si="258"/>
        <v>435922.78488425701</v>
      </c>
      <c r="H264" s="63">
        <f t="shared" si="258"/>
        <v>435922.78488425701</v>
      </c>
      <c r="I264" s="63">
        <f t="shared" si="258"/>
        <v>435922.78488425701</v>
      </c>
      <c r="J264" s="63">
        <f t="shared" si="258"/>
        <v>435922.78488425701</v>
      </c>
      <c r="K264" s="63">
        <f t="shared" si="258"/>
        <v>435922.78488425701</v>
      </c>
      <c r="L264" s="63">
        <f t="shared" si="258"/>
        <v>435922.78488425701</v>
      </c>
      <c r="M264" s="63">
        <f t="shared" si="258"/>
        <v>435922.78488425701</v>
      </c>
      <c r="N264" s="63">
        <f t="shared" si="258"/>
        <v>435922.78488425701</v>
      </c>
      <c r="O264" s="63">
        <f t="shared" si="258"/>
        <v>435922.78488425701</v>
      </c>
      <c r="P264" s="63">
        <f t="shared" si="258"/>
        <v>435922.78488425701</v>
      </c>
      <c r="Q264" s="63">
        <f t="shared" si="258"/>
        <v>435922.78488425701</v>
      </c>
      <c r="R264" s="63">
        <f t="shared" si="258"/>
        <v>435922.78488425701</v>
      </c>
      <c r="S264" s="63">
        <f t="shared" si="258"/>
        <v>435922.78488425701</v>
      </c>
      <c r="T264" s="63">
        <f t="shared" si="258"/>
        <v>435922.78488425701</v>
      </c>
      <c r="U264" s="63">
        <f t="shared" si="258"/>
        <v>435922.78488425701</v>
      </c>
      <c r="V264" s="63">
        <f t="shared" si="258"/>
        <v>435922.78488425701</v>
      </c>
      <c r="W264" s="63">
        <f t="shared" si="258"/>
        <v>435922.78488425701</v>
      </c>
      <c r="X264" s="63">
        <f t="shared" si="258"/>
        <v>435922.78488425701</v>
      </c>
      <c r="Y264" s="63">
        <f t="shared" si="258"/>
        <v>435922.78488425701</v>
      </c>
      <c r="Z264" s="63">
        <f t="shared" si="258"/>
        <v>435922.78488425701</v>
      </c>
      <c r="AA264" s="63">
        <f t="shared" si="258"/>
        <v>435922.78488425701</v>
      </c>
      <c r="AB264" s="63">
        <f t="shared" si="258"/>
        <v>435922.78488425701</v>
      </c>
      <c r="AC264" s="63">
        <f t="shared" si="258"/>
        <v>435922.78488425701</v>
      </c>
    </row>
    <row r="265" spans="1:29" x14ac:dyDescent="0.25">
      <c r="A265" s="30" t="str">
        <f>A246</f>
        <v>Residual value (vehicle)</v>
      </c>
      <c r="B265" s="62">
        <f>((1+B249)^B256)*B249/(((1+B249)^B256)-1)*(B246)</f>
        <v>-65388.417732638554</v>
      </c>
      <c r="C265" s="62">
        <f t="shared" ref="C265:AC265" si="259">((1+C249)^C256)*C249/(((1+C249)^C256)-1)*(C246)</f>
        <v>-65388.417732638554</v>
      </c>
      <c r="D265" s="62">
        <f t="shared" si="259"/>
        <v>-65388.417732638554</v>
      </c>
      <c r="E265" s="62">
        <f t="shared" si="259"/>
        <v>-65388.417732638554</v>
      </c>
      <c r="F265" s="62">
        <f t="shared" si="259"/>
        <v>-65388.417732638554</v>
      </c>
      <c r="G265" s="62">
        <f t="shared" si="259"/>
        <v>-65388.417732638554</v>
      </c>
      <c r="H265" s="62">
        <f t="shared" si="259"/>
        <v>-65388.417732638554</v>
      </c>
      <c r="I265" s="62">
        <f t="shared" si="259"/>
        <v>-65388.417732638554</v>
      </c>
      <c r="J265" s="62">
        <f t="shared" si="259"/>
        <v>-65388.417732638554</v>
      </c>
      <c r="K265" s="62">
        <f t="shared" si="259"/>
        <v>-65388.417732638554</v>
      </c>
      <c r="L265" s="62">
        <f t="shared" si="259"/>
        <v>-65388.417732638554</v>
      </c>
      <c r="M265" s="62">
        <f t="shared" si="259"/>
        <v>-65388.417732638554</v>
      </c>
      <c r="N265" s="62">
        <f t="shared" si="259"/>
        <v>-65388.417732638554</v>
      </c>
      <c r="O265" s="62">
        <f t="shared" si="259"/>
        <v>-65388.417732638554</v>
      </c>
      <c r="P265" s="62">
        <f t="shared" si="259"/>
        <v>-65388.417732638554</v>
      </c>
      <c r="Q265" s="62">
        <f t="shared" si="259"/>
        <v>-65388.417732638554</v>
      </c>
      <c r="R265" s="62">
        <f t="shared" si="259"/>
        <v>-65388.417732638554</v>
      </c>
      <c r="S265" s="62">
        <f t="shared" si="259"/>
        <v>-65388.417732638554</v>
      </c>
      <c r="T265" s="62">
        <f t="shared" si="259"/>
        <v>-65388.417732638554</v>
      </c>
      <c r="U265" s="62">
        <f t="shared" si="259"/>
        <v>-65388.417732638554</v>
      </c>
      <c r="V265" s="62">
        <f t="shared" si="259"/>
        <v>-65388.417732638554</v>
      </c>
      <c r="W265" s="62">
        <f t="shared" si="259"/>
        <v>-65388.417732638554</v>
      </c>
      <c r="X265" s="62">
        <f t="shared" si="259"/>
        <v>-65388.417732638554</v>
      </c>
      <c r="Y265" s="62">
        <f t="shared" si="259"/>
        <v>-65388.417732638554</v>
      </c>
      <c r="Z265" s="62">
        <f t="shared" si="259"/>
        <v>-65388.417732638554</v>
      </c>
      <c r="AA265" s="62">
        <f t="shared" si="259"/>
        <v>-65388.417732638554</v>
      </c>
      <c r="AB265" s="62">
        <f t="shared" si="259"/>
        <v>-65388.417732638554</v>
      </c>
      <c r="AC265" s="62">
        <f t="shared" si="259"/>
        <v>-65388.417732638554</v>
      </c>
    </row>
    <row r="266" spans="1:29" x14ac:dyDescent="0.25">
      <c r="A266" s="30" t="str">
        <f>A247</f>
        <v>Capex costumization</v>
      </c>
      <c r="B266" s="62">
        <f>((1+B249)^B257)*B249/(((1+B249)^B257)-1)*(B247)</f>
        <v>203416.95217213215</v>
      </c>
      <c r="C266" s="62">
        <f t="shared" ref="C266:AC266" si="260">((1+C249)^C257)*C249/(((1+C249)^C257)-1)*(C247)</f>
        <v>203416.95217213215</v>
      </c>
      <c r="D266" s="62">
        <f t="shared" si="260"/>
        <v>203416.95217213215</v>
      </c>
      <c r="E266" s="62">
        <f t="shared" si="260"/>
        <v>203416.95217213215</v>
      </c>
      <c r="F266" s="62">
        <f t="shared" si="260"/>
        <v>203416.95217213215</v>
      </c>
      <c r="G266" s="62">
        <f t="shared" si="260"/>
        <v>203416.95217213215</v>
      </c>
      <c r="H266" s="62">
        <f t="shared" si="260"/>
        <v>203416.95217213215</v>
      </c>
      <c r="I266" s="62">
        <f t="shared" si="260"/>
        <v>203416.95217213215</v>
      </c>
      <c r="J266" s="62">
        <f t="shared" si="260"/>
        <v>203416.95217213215</v>
      </c>
      <c r="K266" s="62">
        <f t="shared" si="260"/>
        <v>203416.95217213215</v>
      </c>
      <c r="L266" s="62">
        <f t="shared" si="260"/>
        <v>203416.95217213215</v>
      </c>
      <c r="M266" s="62">
        <f t="shared" si="260"/>
        <v>203416.95217213215</v>
      </c>
      <c r="N266" s="62">
        <f t="shared" si="260"/>
        <v>203416.95217213215</v>
      </c>
      <c r="O266" s="62">
        <f t="shared" si="260"/>
        <v>203416.95217213215</v>
      </c>
      <c r="P266" s="62">
        <f t="shared" si="260"/>
        <v>203416.95217213215</v>
      </c>
      <c r="Q266" s="62">
        <f t="shared" si="260"/>
        <v>203416.95217213215</v>
      </c>
      <c r="R266" s="62">
        <f t="shared" si="260"/>
        <v>203416.95217213215</v>
      </c>
      <c r="S266" s="62">
        <f t="shared" si="260"/>
        <v>203416.95217213215</v>
      </c>
      <c r="T266" s="62">
        <f t="shared" si="260"/>
        <v>203416.95217213215</v>
      </c>
      <c r="U266" s="62">
        <f t="shared" si="260"/>
        <v>203416.95217213215</v>
      </c>
      <c r="V266" s="62">
        <f t="shared" si="260"/>
        <v>203416.95217213215</v>
      </c>
      <c r="W266" s="62">
        <f t="shared" si="260"/>
        <v>203416.95217213215</v>
      </c>
      <c r="X266" s="62">
        <f t="shared" si="260"/>
        <v>203416.95217213215</v>
      </c>
      <c r="Y266" s="62">
        <f t="shared" si="260"/>
        <v>203416.95217213215</v>
      </c>
      <c r="Z266" s="62">
        <f t="shared" si="260"/>
        <v>203416.95217213215</v>
      </c>
      <c r="AA266" s="62">
        <f t="shared" si="260"/>
        <v>203416.95217213215</v>
      </c>
      <c r="AB266" s="62">
        <f t="shared" si="260"/>
        <v>203416.95217213215</v>
      </c>
      <c r="AC266" s="62">
        <f t="shared" si="260"/>
        <v>203416.95217213215</v>
      </c>
    </row>
    <row r="267" spans="1:29" x14ac:dyDescent="0.25">
      <c r="A267" s="30" t="str">
        <f>A248</f>
        <v>Residual value (costumization)</v>
      </c>
      <c r="B267" s="62">
        <f>((1+B249)^B257)*B249/(((1+B249)^B257)-1)*(B248)</f>
        <v>-10170.847608606608</v>
      </c>
      <c r="C267" s="62">
        <f t="shared" ref="C267:AC267" si="261">((1+C249)^C257)*C249/(((1+C249)^C257)-1)*(C248)</f>
        <v>-10170.847608606608</v>
      </c>
      <c r="D267" s="62">
        <f t="shared" si="261"/>
        <v>-10170.847608606608</v>
      </c>
      <c r="E267" s="62">
        <f t="shared" si="261"/>
        <v>-10170.847608606608</v>
      </c>
      <c r="F267" s="62">
        <f t="shared" si="261"/>
        <v>-10170.847608606608</v>
      </c>
      <c r="G267" s="62">
        <f t="shared" si="261"/>
        <v>-10170.847608606608</v>
      </c>
      <c r="H267" s="62">
        <f t="shared" si="261"/>
        <v>-10170.847608606608</v>
      </c>
      <c r="I267" s="62">
        <f t="shared" si="261"/>
        <v>-10170.847608606608</v>
      </c>
      <c r="J267" s="62">
        <f t="shared" si="261"/>
        <v>-10170.847608606608</v>
      </c>
      <c r="K267" s="62">
        <f t="shared" si="261"/>
        <v>-10170.847608606608</v>
      </c>
      <c r="L267" s="62">
        <f t="shared" si="261"/>
        <v>-10170.847608606608</v>
      </c>
      <c r="M267" s="62">
        <f t="shared" si="261"/>
        <v>-10170.847608606608</v>
      </c>
      <c r="N267" s="62">
        <f t="shared" si="261"/>
        <v>-10170.847608606608</v>
      </c>
      <c r="O267" s="62">
        <f t="shared" si="261"/>
        <v>-10170.847608606608</v>
      </c>
      <c r="P267" s="62">
        <f t="shared" si="261"/>
        <v>-10170.847608606608</v>
      </c>
      <c r="Q267" s="62">
        <f t="shared" si="261"/>
        <v>-10170.847608606608</v>
      </c>
      <c r="R267" s="62">
        <f t="shared" si="261"/>
        <v>-10170.847608606608</v>
      </c>
      <c r="S267" s="62">
        <f t="shared" si="261"/>
        <v>-10170.847608606608</v>
      </c>
      <c r="T267" s="62">
        <f t="shared" si="261"/>
        <v>-10170.847608606608</v>
      </c>
      <c r="U267" s="62">
        <f t="shared" si="261"/>
        <v>-10170.847608606608</v>
      </c>
      <c r="V267" s="62">
        <f t="shared" si="261"/>
        <v>-10170.847608606608</v>
      </c>
      <c r="W267" s="62">
        <f t="shared" si="261"/>
        <v>-10170.847608606608</v>
      </c>
      <c r="X267" s="62">
        <f t="shared" si="261"/>
        <v>-10170.847608606608</v>
      </c>
      <c r="Y267" s="62">
        <f t="shared" si="261"/>
        <v>-10170.847608606608</v>
      </c>
      <c r="Z267" s="62">
        <f t="shared" si="261"/>
        <v>-10170.847608606608</v>
      </c>
      <c r="AA267" s="62">
        <f t="shared" si="261"/>
        <v>-10170.847608606608</v>
      </c>
      <c r="AB267" s="62">
        <f t="shared" si="261"/>
        <v>-10170.847608606608</v>
      </c>
      <c r="AC267" s="62">
        <f t="shared" si="261"/>
        <v>-10170.847608606608</v>
      </c>
    </row>
    <row r="268" spans="1:29" x14ac:dyDescent="0.25">
      <c r="A268" s="30" t="str">
        <f t="shared" ref="A268:AC268" si="262">A250</f>
        <v>Opex fix (admin, crew, insurance)</v>
      </c>
      <c r="B268" s="62">
        <f t="shared" si="262"/>
        <v>610000</v>
      </c>
      <c r="C268" s="62">
        <f t="shared" si="262"/>
        <v>610000</v>
      </c>
      <c r="D268" s="62">
        <f t="shared" si="262"/>
        <v>610000</v>
      </c>
      <c r="E268" s="62">
        <f t="shared" si="262"/>
        <v>610000</v>
      </c>
      <c r="F268" s="62">
        <f t="shared" si="262"/>
        <v>610000</v>
      </c>
      <c r="G268" s="62">
        <f t="shared" si="262"/>
        <v>610000</v>
      </c>
      <c r="H268" s="62">
        <f t="shared" si="262"/>
        <v>610000</v>
      </c>
      <c r="I268" s="62">
        <f t="shared" si="262"/>
        <v>610000</v>
      </c>
      <c r="J268" s="62">
        <f t="shared" si="262"/>
        <v>610000</v>
      </c>
      <c r="K268" s="62">
        <f t="shared" si="262"/>
        <v>610000</v>
      </c>
      <c r="L268" s="62">
        <f t="shared" si="262"/>
        <v>610000</v>
      </c>
      <c r="M268" s="62">
        <f t="shared" si="262"/>
        <v>610000</v>
      </c>
      <c r="N268" s="62">
        <f t="shared" si="262"/>
        <v>610000</v>
      </c>
      <c r="O268" s="62">
        <f t="shared" si="262"/>
        <v>610000</v>
      </c>
      <c r="P268" s="62">
        <f t="shared" si="262"/>
        <v>610000</v>
      </c>
      <c r="Q268" s="62">
        <f t="shared" si="262"/>
        <v>610000</v>
      </c>
      <c r="R268" s="62">
        <f t="shared" si="262"/>
        <v>610000</v>
      </c>
      <c r="S268" s="62">
        <f t="shared" si="262"/>
        <v>610000</v>
      </c>
      <c r="T268" s="62">
        <f t="shared" si="262"/>
        <v>610000</v>
      </c>
      <c r="U268" s="62">
        <f t="shared" si="262"/>
        <v>610000</v>
      </c>
      <c r="V268" s="62">
        <f t="shared" si="262"/>
        <v>610000</v>
      </c>
      <c r="W268" s="62">
        <f t="shared" si="262"/>
        <v>610000</v>
      </c>
      <c r="X268" s="62">
        <f t="shared" si="262"/>
        <v>610000</v>
      </c>
      <c r="Y268" s="62">
        <f t="shared" si="262"/>
        <v>610000</v>
      </c>
      <c r="Z268" s="62">
        <f t="shared" si="262"/>
        <v>610000</v>
      </c>
      <c r="AA268" s="62">
        <f t="shared" si="262"/>
        <v>610000</v>
      </c>
      <c r="AB268" s="62">
        <f t="shared" si="262"/>
        <v>610000</v>
      </c>
      <c r="AC268" s="62">
        <f t="shared" si="262"/>
        <v>610000</v>
      </c>
    </row>
    <row r="269" spans="1:29" x14ac:dyDescent="0.25">
      <c r="A269" s="30" t="str">
        <f t="shared" ref="A269:AC269" si="263">A251</f>
        <v>Opex maintenance &amp; repair</v>
      </c>
      <c r="B269" s="62">
        <f t="shared" si="263"/>
        <v>650000</v>
      </c>
      <c r="C269" s="62">
        <f t="shared" si="263"/>
        <v>650000</v>
      </c>
      <c r="D269" s="62">
        <f t="shared" si="263"/>
        <v>650000</v>
      </c>
      <c r="E269" s="62">
        <f t="shared" si="263"/>
        <v>650000</v>
      </c>
      <c r="F269" s="62">
        <f t="shared" si="263"/>
        <v>650000</v>
      </c>
      <c r="G269" s="62">
        <f t="shared" si="263"/>
        <v>650000</v>
      </c>
      <c r="H269" s="62">
        <f t="shared" si="263"/>
        <v>650000</v>
      </c>
      <c r="I269" s="62">
        <f t="shared" si="263"/>
        <v>650000</v>
      </c>
      <c r="J269" s="62">
        <f t="shared" si="263"/>
        <v>650000</v>
      </c>
      <c r="K269" s="62">
        <f t="shared" si="263"/>
        <v>650000</v>
      </c>
      <c r="L269" s="62">
        <f t="shared" si="263"/>
        <v>650000</v>
      </c>
      <c r="M269" s="62">
        <f t="shared" si="263"/>
        <v>650000</v>
      </c>
      <c r="N269" s="62">
        <f t="shared" si="263"/>
        <v>650000</v>
      </c>
      <c r="O269" s="62">
        <f t="shared" si="263"/>
        <v>650000</v>
      </c>
      <c r="P269" s="62">
        <f t="shared" si="263"/>
        <v>650000</v>
      </c>
      <c r="Q269" s="62">
        <f t="shared" si="263"/>
        <v>650000</v>
      </c>
      <c r="R269" s="62">
        <f t="shared" si="263"/>
        <v>650000</v>
      </c>
      <c r="S269" s="62">
        <f t="shared" si="263"/>
        <v>650000</v>
      </c>
      <c r="T269" s="62">
        <f t="shared" si="263"/>
        <v>650000</v>
      </c>
      <c r="U269" s="62">
        <f t="shared" si="263"/>
        <v>650000</v>
      </c>
      <c r="V269" s="62">
        <f t="shared" si="263"/>
        <v>650000</v>
      </c>
      <c r="W269" s="62">
        <f t="shared" si="263"/>
        <v>650000</v>
      </c>
      <c r="X269" s="62">
        <f t="shared" si="263"/>
        <v>650000</v>
      </c>
      <c r="Y269" s="62">
        <f t="shared" si="263"/>
        <v>650000</v>
      </c>
      <c r="Z269" s="62">
        <f t="shared" si="263"/>
        <v>650000</v>
      </c>
      <c r="AA269" s="62">
        <f t="shared" si="263"/>
        <v>650000</v>
      </c>
      <c r="AB269" s="62">
        <f t="shared" si="263"/>
        <v>650000</v>
      </c>
      <c r="AC269" s="62">
        <f t="shared" si="263"/>
        <v>650000</v>
      </c>
    </row>
    <row r="270" spans="1:29" x14ac:dyDescent="0.25">
      <c r="A270" s="30" t="str">
        <f>A252</f>
        <v>Opex var (mode-fees, shunting)</v>
      </c>
      <c r="B270" s="62">
        <f>B252*B261</f>
        <v>650000</v>
      </c>
      <c r="C270" s="62">
        <f t="shared" ref="C270:AC270" si="264">C252*C261</f>
        <v>650000</v>
      </c>
      <c r="D270" s="62">
        <f t="shared" si="264"/>
        <v>650000</v>
      </c>
      <c r="E270" s="62">
        <f t="shared" si="264"/>
        <v>650000</v>
      </c>
      <c r="F270" s="62">
        <f t="shared" si="264"/>
        <v>650000</v>
      </c>
      <c r="G270" s="62">
        <f t="shared" si="264"/>
        <v>650000</v>
      </c>
      <c r="H270" s="62">
        <f t="shared" si="264"/>
        <v>650000</v>
      </c>
      <c r="I270" s="62">
        <f t="shared" si="264"/>
        <v>650000</v>
      </c>
      <c r="J270" s="62">
        <f t="shared" si="264"/>
        <v>650000</v>
      </c>
      <c r="K270" s="62">
        <f t="shared" si="264"/>
        <v>650000</v>
      </c>
      <c r="L270" s="62">
        <f t="shared" si="264"/>
        <v>650000</v>
      </c>
      <c r="M270" s="62">
        <f t="shared" si="264"/>
        <v>650000</v>
      </c>
      <c r="N270" s="62">
        <f t="shared" si="264"/>
        <v>650000</v>
      </c>
      <c r="O270" s="62">
        <f t="shared" si="264"/>
        <v>650000</v>
      </c>
      <c r="P270" s="62">
        <f t="shared" si="264"/>
        <v>650000</v>
      </c>
      <c r="Q270" s="62">
        <f t="shared" si="264"/>
        <v>650000</v>
      </c>
      <c r="R270" s="62">
        <f t="shared" si="264"/>
        <v>650000</v>
      </c>
      <c r="S270" s="62">
        <f t="shared" si="264"/>
        <v>650000</v>
      </c>
      <c r="T270" s="62">
        <f t="shared" si="264"/>
        <v>650000</v>
      </c>
      <c r="U270" s="62">
        <f t="shared" si="264"/>
        <v>650000</v>
      </c>
      <c r="V270" s="62">
        <f t="shared" si="264"/>
        <v>650000</v>
      </c>
      <c r="W270" s="62">
        <f t="shared" si="264"/>
        <v>650000</v>
      </c>
      <c r="X270" s="62">
        <f t="shared" si="264"/>
        <v>650000</v>
      </c>
      <c r="Y270" s="62">
        <f t="shared" si="264"/>
        <v>650000</v>
      </c>
      <c r="Z270" s="62">
        <f t="shared" si="264"/>
        <v>650000</v>
      </c>
      <c r="AA270" s="62">
        <f t="shared" si="264"/>
        <v>650000</v>
      </c>
      <c r="AB270" s="62">
        <f t="shared" si="264"/>
        <v>650000</v>
      </c>
      <c r="AC270" s="62">
        <f t="shared" si="264"/>
        <v>650000</v>
      </c>
    </row>
    <row r="271" spans="1:29" x14ac:dyDescent="0.25">
      <c r="A271" s="30" t="str">
        <f>A254</f>
        <v>Fuel Cost</v>
      </c>
      <c r="B271" s="62">
        <f>B253*B254*B261</f>
        <v>531396.93343291793</v>
      </c>
      <c r="C271" s="62">
        <f t="shared" ref="C271:AC271" si="265">C253*C254*C261</f>
        <v>531396.93343291793</v>
      </c>
      <c r="D271" s="62">
        <f t="shared" si="265"/>
        <v>531396.93343291793</v>
      </c>
      <c r="E271" s="62">
        <f t="shared" si="265"/>
        <v>531396.93343291793</v>
      </c>
      <c r="F271" s="62">
        <f t="shared" si="265"/>
        <v>531396.93343291793</v>
      </c>
      <c r="G271" s="62">
        <f t="shared" si="265"/>
        <v>531396.93343291793</v>
      </c>
      <c r="H271" s="62">
        <f t="shared" si="265"/>
        <v>531396.93343291793</v>
      </c>
      <c r="I271" s="62">
        <f t="shared" si="265"/>
        <v>531396.93343291793</v>
      </c>
      <c r="J271" s="62">
        <f t="shared" si="265"/>
        <v>541742.71399833972</v>
      </c>
      <c r="K271" s="62">
        <f t="shared" si="265"/>
        <v>552088.49456376163</v>
      </c>
      <c r="L271" s="62">
        <f t="shared" si="265"/>
        <v>562434.27512918354</v>
      </c>
      <c r="M271" s="62">
        <f t="shared" si="265"/>
        <v>572780.05569460534</v>
      </c>
      <c r="N271" s="62">
        <f t="shared" si="265"/>
        <v>583125.83626002714</v>
      </c>
      <c r="O271" s="62">
        <f t="shared" si="265"/>
        <v>577482.68322434241</v>
      </c>
      <c r="P271" s="62">
        <f t="shared" si="265"/>
        <v>571839.53018865781</v>
      </c>
      <c r="Q271" s="62">
        <f t="shared" si="265"/>
        <v>566196.37715297309</v>
      </c>
      <c r="R271" s="62">
        <f t="shared" si="265"/>
        <v>560553.22411728848</v>
      </c>
      <c r="S271" s="62">
        <f t="shared" si="265"/>
        <v>554910.07108160388</v>
      </c>
      <c r="T271" s="62">
        <f t="shared" si="265"/>
        <v>549266.91804591927</v>
      </c>
      <c r="U271" s="62">
        <f t="shared" si="265"/>
        <v>543623.76501023455</v>
      </c>
      <c r="V271" s="62">
        <f t="shared" si="265"/>
        <v>537980.61197454983</v>
      </c>
      <c r="W271" s="62">
        <f t="shared" si="265"/>
        <v>532337.45893886534</v>
      </c>
      <c r="X271" s="62">
        <f t="shared" si="265"/>
        <v>526694.30590318074</v>
      </c>
      <c r="Y271" s="62">
        <f t="shared" si="265"/>
        <v>521051.15286749613</v>
      </c>
      <c r="Z271" s="62">
        <f t="shared" si="265"/>
        <v>515407.99983181141</v>
      </c>
      <c r="AA271" s="62">
        <f t="shared" si="265"/>
        <v>509764.84679612675</v>
      </c>
      <c r="AB271" s="62">
        <f t="shared" si="265"/>
        <v>504121.69376044202</v>
      </c>
      <c r="AC271" s="62">
        <f t="shared" si="265"/>
        <v>498478.54072475765</v>
      </c>
    </row>
    <row r="272" spans="1:29" ht="15.75" thickBot="1" x14ac:dyDescent="0.3">
      <c r="A272" s="59" t="str">
        <f>A235</f>
        <v>Emission Cost</v>
      </c>
      <c r="B272" s="62">
        <f>B255*B261</f>
        <v>0</v>
      </c>
      <c r="C272" s="62">
        <f t="shared" ref="C272:AC272" si="266">C255*C261</f>
        <v>0</v>
      </c>
      <c r="D272" s="62">
        <f t="shared" si="266"/>
        <v>0</v>
      </c>
      <c r="E272" s="62">
        <f t="shared" si="266"/>
        <v>0</v>
      </c>
      <c r="F272" s="62">
        <f t="shared" si="266"/>
        <v>0</v>
      </c>
      <c r="G272" s="62">
        <f t="shared" si="266"/>
        <v>0</v>
      </c>
      <c r="H272" s="62">
        <f t="shared" si="266"/>
        <v>0</v>
      </c>
      <c r="I272" s="62">
        <f t="shared" si="266"/>
        <v>0</v>
      </c>
      <c r="J272" s="62">
        <f t="shared" si="266"/>
        <v>0</v>
      </c>
      <c r="K272" s="62">
        <f t="shared" si="266"/>
        <v>0</v>
      </c>
      <c r="L272" s="62">
        <f t="shared" si="266"/>
        <v>0</v>
      </c>
      <c r="M272" s="62">
        <f t="shared" si="266"/>
        <v>0</v>
      </c>
      <c r="N272" s="62">
        <f t="shared" si="266"/>
        <v>0</v>
      </c>
      <c r="O272" s="62">
        <f t="shared" si="266"/>
        <v>0</v>
      </c>
      <c r="P272" s="62">
        <f t="shared" si="266"/>
        <v>0</v>
      </c>
      <c r="Q272" s="62">
        <f t="shared" si="266"/>
        <v>0</v>
      </c>
      <c r="R272" s="62">
        <f t="shared" si="266"/>
        <v>0</v>
      </c>
      <c r="S272" s="62">
        <f t="shared" si="266"/>
        <v>0</v>
      </c>
      <c r="T272" s="62">
        <f t="shared" si="266"/>
        <v>0</v>
      </c>
      <c r="U272" s="62">
        <f t="shared" si="266"/>
        <v>0</v>
      </c>
      <c r="V272" s="62">
        <f t="shared" si="266"/>
        <v>0</v>
      </c>
      <c r="W272" s="62">
        <f t="shared" si="266"/>
        <v>0</v>
      </c>
      <c r="X272" s="62">
        <f t="shared" si="266"/>
        <v>0</v>
      </c>
      <c r="Y272" s="62">
        <f t="shared" si="266"/>
        <v>0</v>
      </c>
      <c r="Z272" s="62">
        <f t="shared" si="266"/>
        <v>0</v>
      </c>
      <c r="AA272" s="62">
        <f t="shared" si="266"/>
        <v>0</v>
      </c>
      <c r="AB272" s="62">
        <f t="shared" si="266"/>
        <v>0</v>
      </c>
      <c r="AC272" s="62">
        <f t="shared" si="266"/>
        <v>0</v>
      </c>
    </row>
    <row r="273" spans="1:29" ht="15.75" thickBot="1" x14ac:dyDescent="0.3">
      <c r="A273" s="31" t="s">
        <v>209</v>
      </c>
      <c r="B273" s="64">
        <f>B264+B265+B266+B267+B268+B269+B270+B271+B272</f>
        <v>3005177.4051480619</v>
      </c>
      <c r="C273" s="64">
        <f t="shared" ref="C273:AC273" si="267">C264+C265+C266+C267+C268+C269+C270+C271+C272</f>
        <v>3005177.4051480619</v>
      </c>
      <c r="D273" s="64">
        <f t="shared" si="267"/>
        <v>3005177.4051480619</v>
      </c>
      <c r="E273" s="64">
        <f t="shared" si="267"/>
        <v>3005177.4051480619</v>
      </c>
      <c r="F273" s="64">
        <f t="shared" si="267"/>
        <v>3005177.4051480619</v>
      </c>
      <c r="G273" s="64">
        <f t="shared" si="267"/>
        <v>3005177.4051480619</v>
      </c>
      <c r="H273" s="64">
        <f t="shared" si="267"/>
        <v>3005177.4051480619</v>
      </c>
      <c r="I273" s="64">
        <f t="shared" si="267"/>
        <v>3005177.4051480619</v>
      </c>
      <c r="J273" s="64">
        <f t="shared" si="267"/>
        <v>3015523.1857134835</v>
      </c>
      <c r="K273" s="64">
        <f t="shared" si="267"/>
        <v>3025868.9662789055</v>
      </c>
      <c r="L273" s="64">
        <f t="shared" si="267"/>
        <v>3036214.7468443275</v>
      </c>
      <c r="M273" s="64">
        <f t="shared" si="267"/>
        <v>3046560.5274097491</v>
      </c>
      <c r="N273" s="64">
        <f t="shared" si="267"/>
        <v>3056906.3079751711</v>
      </c>
      <c r="O273" s="64">
        <f t="shared" si="267"/>
        <v>3051263.1549394862</v>
      </c>
      <c r="P273" s="64">
        <f t="shared" si="267"/>
        <v>3045620.0019038017</v>
      </c>
      <c r="Q273" s="64">
        <f t="shared" si="267"/>
        <v>3039976.8488681167</v>
      </c>
      <c r="R273" s="64">
        <f t="shared" si="267"/>
        <v>3034333.6958324322</v>
      </c>
      <c r="S273" s="64">
        <f t="shared" si="267"/>
        <v>3028690.5427967478</v>
      </c>
      <c r="T273" s="64">
        <f t="shared" si="267"/>
        <v>3023047.3897610633</v>
      </c>
      <c r="U273" s="64">
        <f t="shared" si="267"/>
        <v>3017404.2367253783</v>
      </c>
      <c r="V273" s="64">
        <f t="shared" si="267"/>
        <v>3011761.0836896938</v>
      </c>
      <c r="W273" s="64">
        <f t="shared" si="267"/>
        <v>3006117.9306540093</v>
      </c>
      <c r="X273" s="64">
        <f t="shared" si="267"/>
        <v>3000474.7776183244</v>
      </c>
      <c r="Y273" s="64">
        <f t="shared" si="267"/>
        <v>2994831.6245826399</v>
      </c>
      <c r="Z273" s="64">
        <f t="shared" si="267"/>
        <v>2989188.4715469554</v>
      </c>
      <c r="AA273" s="64">
        <f t="shared" si="267"/>
        <v>2983545.3185112705</v>
      </c>
      <c r="AB273" s="64">
        <f t="shared" si="267"/>
        <v>2977902.165475586</v>
      </c>
      <c r="AC273" s="64">
        <f t="shared" si="267"/>
        <v>2972259.0124399015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8">A264</f>
        <v>Capex vehicle</v>
      </c>
      <c r="B276" s="65">
        <f>((1+B249)^B256)*B249/(((1+B249)^B256)-1)*(B245)/B261</f>
        <v>2.4421444531330927</v>
      </c>
      <c r="C276" s="65">
        <f t="shared" ref="C276:AC276" si="269">((1+C249)^C256)*C249/(((1+C249)^C256)-1)*(C245)/C261</f>
        <v>2.4421444531330927</v>
      </c>
      <c r="D276" s="65">
        <f t="shared" si="269"/>
        <v>2.4421444531330927</v>
      </c>
      <c r="E276" s="65">
        <f t="shared" si="269"/>
        <v>2.4421444531330927</v>
      </c>
      <c r="F276" s="65">
        <f t="shared" si="269"/>
        <v>2.4421444531330927</v>
      </c>
      <c r="G276" s="65">
        <f t="shared" si="269"/>
        <v>2.4421444531330927</v>
      </c>
      <c r="H276" s="65">
        <f t="shared" si="269"/>
        <v>2.4421444531330927</v>
      </c>
      <c r="I276" s="65">
        <f t="shared" si="269"/>
        <v>2.4421444531330927</v>
      </c>
      <c r="J276" s="65">
        <f t="shared" si="269"/>
        <v>2.4421444531330927</v>
      </c>
      <c r="K276" s="65">
        <f t="shared" si="269"/>
        <v>2.4421444531330927</v>
      </c>
      <c r="L276" s="65">
        <f t="shared" si="269"/>
        <v>2.4421444531330927</v>
      </c>
      <c r="M276" s="65">
        <f t="shared" si="269"/>
        <v>2.4421444531330927</v>
      </c>
      <c r="N276" s="65">
        <f t="shared" si="269"/>
        <v>2.4421444531330927</v>
      </c>
      <c r="O276" s="65">
        <f t="shared" si="269"/>
        <v>2.4421444531330927</v>
      </c>
      <c r="P276" s="65">
        <f t="shared" si="269"/>
        <v>2.4421444531330927</v>
      </c>
      <c r="Q276" s="65">
        <f t="shared" si="269"/>
        <v>2.4421444531330927</v>
      </c>
      <c r="R276" s="65">
        <f t="shared" si="269"/>
        <v>2.4421444531330927</v>
      </c>
      <c r="S276" s="65">
        <f t="shared" si="269"/>
        <v>2.4421444531330927</v>
      </c>
      <c r="T276" s="65">
        <f t="shared" si="269"/>
        <v>2.4421444531330927</v>
      </c>
      <c r="U276" s="65">
        <f t="shared" si="269"/>
        <v>2.4421444531330927</v>
      </c>
      <c r="V276" s="65">
        <f t="shared" si="269"/>
        <v>2.4421444531330927</v>
      </c>
      <c r="W276" s="65">
        <f t="shared" si="269"/>
        <v>2.4421444531330927</v>
      </c>
      <c r="X276" s="65">
        <f t="shared" si="269"/>
        <v>2.4421444531330927</v>
      </c>
      <c r="Y276" s="65">
        <f t="shared" si="269"/>
        <v>2.4421444531330927</v>
      </c>
      <c r="Z276" s="65">
        <f t="shared" si="269"/>
        <v>2.4421444531330927</v>
      </c>
      <c r="AA276" s="65">
        <f t="shared" si="269"/>
        <v>2.4421444531330927</v>
      </c>
      <c r="AB276" s="65">
        <f t="shared" si="269"/>
        <v>2.4421444531330927</v>
      </c>
      <c r="AC276" s="65">
        <f t="shared" si="269"/>
        <v>2.4421444531330927</v>
      </c>
    </row>
    <row r="277" spans="1:29" x14ac:dyDescent="0.25">
      <c r="A277" s="30" t="str">
        <f t="shared" si="268"/>
        <v>Residual value (vehicle)</v>
      </c>
      <c r="B277" s="66">
        <f>((1+B249)^B256)*B249/(((1+B249)^B256)-1)*(B246)/B261</f>
        <v>-0.3663216679699639</v>
      </c>
      <c r="C277" s="66">
        <f t="shared" ref="C277:AC277" si="270">((1+C249)^C256)*C249/(((1+C249)^C256)-1)*(C246)/C261</f>
        <v>-0.3663216679699639</v>
      </c>
      <c r="D277" s="66">
        <f t="shared" si="270"/>
        <v>-0.3663216679699639</v>
      </c>
      <c r="E277" s="66">
        <f t="shared" si="270"/>
        <v>-0.3663216679699639</v>
      </c>
      <c r="F277" s="66">
        <f t="shared" si="270"/>
        <v>-0.3663216679699639</v>
      </c>
      <c r="G277" s="66">
        <f t="shared" si="270"/>
        <v>-0.3663216679699639</v>
      </c>
      <c r="H277" s="66">
        <f t="shared" si="270"/>
        <v>-0.3663216679699639</v>
      </c>
      <c r="I277" s="66">
        <f t="shared" si="270"/>
        <v>-0.3663216679699639</v>
      </c>
      <c r="J277" s="66">
        <f t="shared" si="270"/>
        <v>-0.3663216679699639</v>
      </c>
      <c r="K277" s="66">
        <f t="shared" si="270"/>
        <v>-0.3663216679699639</v>
      </c>
      <c r="L277" s="66">
        <f t="shared" si="270"/>
        <v>-0.3663216679699639</v>
      </c>
      <c r="M277" s="66">
        <f t="shared" si="270"/>
        <v>-0.3663216679699639</v>
      </c>
      <c r="N277" s="66">
        <f t="shared" si="270"/>
        <v>-0.3663216679699639</v>
      </c>
      <c r="O277" s="66">
        <f t="shared" si="270"/>
        <v>-0.3663216679699639</v>
      </c>
      <c r="P277" s="66">
        <f t="shared" si="270"/>
        <v>-0.3663216679699639</v>
      </c>
      <c r="Q277" s="66">
        <f t="shared" si="270"/>
        <v>-0.3663216679699639</v>
      </c>
      <c r="R277" s="66">
        <f t="shared" si="270"/>
        <v>-0.3663216679699639</v>
      </c>
      <c r="S277" s="66">
        <f t="shared" si="270"/>
        <v>-0.3663216679699639</v>
      </c>
      <c r="T277" s="66">
        <f t="shared" si="270"/>
        <v>-0.3663216679699639</v>
      </c>
      <c r="U277" s="66">
        <f t="shared" si="270"/>
        <v>-0.3663216679699639</v>
      </c>
      <c r="V277" s="66">
        <f t="shared" si="270"/>
        <v>-0.3663216679699639</v>
      </c>
      <c r="W277" s="66">
        <f t="shared" si="270"/>
        <v>-0.3663216679699639</v>
      </c>
      <c r="X277" s="66">
        <f t="shared" si="270"/>
        <v>-0.3663216679699639</v>
      </c>
      <c r="Y277" s="66">
        <f t="shared" si="270"/>
        <v>-0.3663216679699639</v>
      </c>
      <c r="Z277" s="66">
        <f t="shared" si="270"/>
        <v>-0.3663216679699639</v>
      </c>
      <c r="AA277" s="66">
        <f t="shared" si="270"/>
        <v>-0.3663216679699639</v>
      </c>
      <c r="AB277" s="66">
        <f t="shared" si="270"/>
        <v>-0.3663216679699639</v>
      </c>
      <c r="AC277" s="66">
        <f t="shared" si="270"/>
        <v>-0.3663216679699639</v>
      </c>
    </row>
    <row r="278" spans="1:29" x14ac:dyDescent="0.25">
      <c r="A278" s="30" t="str">
        <f t="shared" si="268"/>
        <v>Capex costumization</v>
      </c>
      <c r="B278" s="66">
        <f>((1+B249)^B257)*B249/(((1+B249)^B257)-1)*(B247)/B261</f>
        <v>1.1395907684713287</v>
      </c>
      <c r="C278" s="66">
        <f t="shared" ref="C278:AC278" si="271">((1+C249)^C257)*C249/(((1+C249)^C257)-1)*(C247)/C261</f>
        <v>1.1395907684713287</v>
      </c>
      <c r="D278" s="66">
        <f t="shared" si="271"/>
        <v>1.1395907684713287</v>
      </c>
      <c r="E278" s="66">
        <f t="shared" si="271"/>
        <v>1.1395907684713287</v>
      </c>
      <c r="F278" s="66">
        <f t="shared" si="271"/>
        <v>1.1395907684713287</v>
      </c>
      <c r="G278" s="66">
        <f t="shared" si="271"/>
        <v>1.1395907684713287</v>
      </c>
      <c r="H278" s="66">
        <f t="shared" si="271"/>
        <v>1.1395907684713287</v>
      </c>
      <c r="I278" s="66">
        <f t="shared" si="271"/>
        <v>1.1395907684713287</v>
      </c>
      <c r="J278" s="66">
        <f t="shared" si="271"/>
        <v>1.1395907684713287</v>
      </c>
      <c r="K278" s="66">
        <f t="shared" si="271"/>
        <v>1.1395907684713287</v>
      </c>
      <c r="L278" s="66">
        <f t="shared" si="271"/>
        <v>1.1395907684713287</v>
      </c>
      <c r="M278" s="66">
        <f t="shared" si="271"/>
        <v>1.1395907684713287</v>
      </c>
      <c r="N278" s="66">
        <f t="shared" si="271"/>
        <v>1.1395907684713287</v>
      </c>
      <c r="O278" s="66">
        <f t="shared" si="271"/>
        <v>1.1395907684713287</v>
      </c>
      <c r="P278" s="66">
        <f t="shared" si="271"/>
        <v>1.1395907684713287</v>
      </c>
      <c r="Q278" s="66">
        <f t="shared" si="271"/>
        <v>1.1395907684713287</v>
      </c>
      <c r="R278" s="66">
        <f t="shared" si="271"/>
        <v>1.1395907684713287</v>
      </c>
      <c r="S278" s="66">
        <f t="shared" si="271"/>
        <v>1.1395907684713287</v>
      </c>
      <c r="T278" s="66">
        <f t="shared" si="271"/>
        <v>1.1395907684713287</v>
      </c>
      <c r="U278" s="66">
        <f t="shared" si="271"/>
        <v>1.1395907684713287</v>
      </c>
      <c r="V278" s="66">
        <f t="shared" si="271"/>
        <v>1.1395907684713287</v>
      </c>
      <c r="W278" s="66">
        <f t="shared" si="271"/>
        <v>1.1395907684713287</v>
      </c>
      <c r="X278" s="66">
        <f t="shared" si="271"/>
        <v>1.1395907684713287</v>
      </c>
      <c r="Y278" s="66">
        <f t="shared" si="271"/>
        <v>1.1395907684713287</v>
      </c>
      <c r="Z278" s="66">
        <f t="shared" si="271"/>
        <v>1.1395907684713287</v>
      </c>
      <c r="AA278" s="66">
        <f t="shared" si="271"/>
        <v>1.1395907684713287</v>
      </c>
      <c r="AB278" s="66">
        <f t="shared" si="271"/>
        <v>1.1395907684713287</v>
      </c>
      <c r="AC278" s="66">
        <f t="shared" si="271"/>
        <v>1.1395907684713287</v>
      </c>
    </row>
    <row r="279" spans="1:29" x14ac:dyDescent="0.25">
      <c r="A279" s="30" t="str">
        <f t="shared" si="268"/>
        <v>Residual value (costumization)</v>
      </c>
      <c r="B279" s="66">
        <f>((1+B249)^B257)*B249/(((1+B249)^B257)-1)*(B248)/B261</f>
        <v>-5.6979538423566428E-2</v>
      </c>
      <c r="C279" s="66">
        <f t="shared" ref="C279:AC279" si="272">((1+C249)^C257)*C249/(((1+C249)^C257)-1)*(C248)/C261</f>
        <v>-5.6979538423566428E-2</v>
      </c>
      <c r="D279" s="66">
        <f t="shared" si="272"/>
        <v>-5.6979538423566428E-2</v>
      </c>
      <c r="E279" s="66">
        <f t="shared" si="272"/>
        <v>-5.6979538423566428E-2</v>
      </c>
      <c r="F279" s="66">
        <f t="shared" si="272"/>
        <v>-5.6979538423566428E-2</v>
      </c>
      <c r="G279" s="66">
        <f t="shared" si="272"/>
        <v>-5.6979538423566428E-2</v>
      </c>
      <c r="H279" s="66">
        <f t="shared" si="272"/>
        <v>-5.6979538423566428E-2</v>
      </c>
      <c r="I279" s="66">
        <f t="shared" si="272"/>
        <v>-5.6979538423566428E-2</v>
      </c>
      <c r="J279" s="66">
        <f t="shared" si="272"/>
        <v>-5.6979538423566428E-2</v>
      </c>
      <c r="K279" s="66">
        <f t="shared" si="272"/>
        <v>-5.6979538423566428E-2</v>
      </c>
      <c r="L279" s="66">
        <f t="shared" si="272"/>
        <v>-5.6979538423566428E-2</v>
      </c>
      <c r="M279" s="66">
        <f t="shared" si="272"/>
        <v>-5.6979538423566428E-2</v>
      </c>
      <c r="N279" s="66">
        <f t="shared" si="272"/>
        <v>-5.6979538423566428E-2</v>
      </c>
      <c r="O279" s="66">
        <f t="shared" si="272"/>
        <v>-5.6979538423566428E-2</v>
      </c>
      <c r="P279" s="66">
        <f t="shared" si="272"/>
        <v>-5.6979538423566428E-2</v>
      </c>
      <c r="Q279" s="66">
        <f t="shared" si="272"/>
        <v>-5.6979538423566428E-2</v>
      </c>
      <c r="R279" s="66">
        <f t="shared" si="272"/>
        <v>-5.6979538423566428E-2</v>
      </c>
      <c r="S279" s="66">
        <f t="shared" si="272"/>
        <v>-5.6979538423566428E-2</v>
      </c>
      <c r="T279" s="66">
        <f t="shared" si="272"/>
        <v>-5.6979538423566428E-2</v>
      </c>
      <c r="U279" s="66">
        <f t="shared" si="272"/>
        <v>-5.6979538423566428E-2</v>
      </c>
      <c r="V279" s="66">
        <f t="shared" si="272"/>
        <v>-5.6979538423566428E-2</v>
      </c>
      <c r="W279" s="66">
        <f t="shared" si="272"/>
        <v>-5.6979538423566428E-2</v>
      </c>
      <c r="X279" s="66">
        <f t="shared" si="272"/>
        <v>-5.6979538423566428E-2</v>
      </c>
      <c r="Y279" s="66">
        <f t="shared" si="272"/>
        <v>-5.6979538423566428E-2</v>
      </c>
      <c r="Z279" s="66">
        <f t="shared" si="272"/>
        <v>-5.6979538423566428E-2</v>
      </c>
      <c r="AA279" s="66">
        <f t="shared" si="272"/>
        <v>-5.6979538423566428E-2</v>
      </c>
      <c r="AB279" s="66">
        <f t="shared" si="272"/>
        <v>-5.6979538423566428E-2</v>
      </c>
      <c r="AC279" s="66">
        <f t="shared" si="272"/>
        <v>-5.6979538423566428E-2</v>
      </c>
    </row>
    <row r="280" spans="1:29" x14ac:dyDescent="0.25">
      <c r="A280" s="30" t="str">
        <f t="shared" si="268"/>
        <v>Opex fix (admin, crew, insurance)</v>
      </c>
      <c r="B280" s="66">
        <f>B250/B261</f>
        <v>3.4173669467787113</v>
      </c>
      <c r="C280" s="66">
        <f t="shared" ref="C280:AC280" si="273">C250/C261</f>
        <v>3.4173669467787113</v>
      </c>
      <c r="D280" s="66">
        <f t="shared" si="273"/>
        <v>3.4173669467787113</v>
      </c>
      <c r="E280" s="66">
        <f t="shared" si="273"/>
        <v>3.4173669467787113</v>
      </c>
      <c r="F280" s="66">
        <f t="shared" si="273"/>
        <v>3.4173669467787113</v>
      </c>
      <c r="G280" s="66">
        <f t="shared" si="273"/>
        <v>3.4173669467787113</v>
      </c>
      <c r="H280" s="66">
        <f t="shared" si="273"/>
        <v>3.4173669467787113</v>
      </c>
      <c r="I280" s="66">
        <f t="shared" si="273"/>
        <v>3.4173669467787113</v>
      </c>
      <c r="J280" s="66">
        <f t="shared" si="273"/>
        <v>3.4173669467787113</v>
      </c>
      <c r="K280" s="66">
        <f t="shared" si="273"/>
        <v>3.4173669467787113</v>
      </c>
      <c r="L280" s="66">
        <f t="shared" si="273"/>
        <v>3.4173669467787113</v>
      </c>
      <c r="M280" s="66">
        <f t="shared" si="273"/>
        <v>3.4173669467787113</v>
      </c>
      <c r="N280" s="66">
        <f t="shared" si="273"/>
        <v>3.4173669467787113</v>
      </c>
      <c r="O280" s="66">
        <f t="shared" si="273"/>
        <v>3.4173669467787113</v>
      </c>
      <c r="P280" s="66">
        <f t="shared" si="273"/>
        <v>3.4173669467787113</v>
      </c>
      <c r="Q280" s="66">
        <f t="shared" si="273"/>
        <v>3.4173669467787113</v>
      </c>
      <c r="R280" s="66">
        <f t="shared" si="273"/>
        <v>3.4173669467787113</v>
      </c>
      <c r="S280" s="66">
        <f t="shared" si="273"/>
        <v>3.4173669467787113</v>
      </c>
      <c r="T280" s="66">
        <f t="shared" si="273"/>
        <v>3.4173669467787113</v>
      </c>
      <c r="U280" s="66">
        <f t="shared" si="273"/>
        <v>3.4173669467787113</v>
      </c>
      <c r="V280" s="66">
        <f t="shared" si="273"/>
        <v>3.4173669467787113</v>
      </c>
      <c r="W280" s="66">
        <f t="shared" si="273"/>
        <v>3.4173669467787113</v>
      </c>
      <c r="X280" s="66">
        <f t="shared" si="273"/>
        <v>3.4173669467787113</v>
      </c>
      <c r="Y280" s="66">
        <f t="shared" si="273"/>
        <v>3.4173669467787113</v>
      </c>
      <c r="Z280" s="66">
        <f t="shared" si="273"/>
        <v>3.4173669467787113</v>
      </c>
      <c r="AA280" s="66">
        <f t="shared" si="273"/>
        <v>3.4173669467787113</v>
      </c>
      <c r="AB280" s="66">
        <f t="shared" si="273"/>
        <v>3.4173669467787113</v>
      </c>
      <c r="AC280" s="66">
        <f t="shared" si="273"/>
        <v>3.4173669467787113</v>
      </c>
    </row>
    <row r="281" spans="1:29" x14ac:dyDescent="0.25">
      <c r="A281" s="30" t="str">
        <f t="shared" si="268"/>
        <v>Opex maintenance &amp; repair</v>
      </c>
      <c r="B281" s="66">
        <f>B251/B261</f>
        <v>3.6414565826330532</v>
      </c>
      <c r="C281" s="66">
        <f t="shared" ref="C281:AC281" si="274">C251/C261</f>
        <v>3.6414565826330532</v>
      </c>
      <c r="D281" s="66">
        <f t="shared" si="274"/>
        <v>3.6414565826330532</v>
      </c>
      <c r="E281" s="66">
        <f t="shared" si="274"/>
        <v>3.6414565826330532</v>
      </c>
      <c r="F281" s="66">
        <f t="shared" si="274"/>
        <v>3.6414565826330532</v>
      </c>
      <c r="G281" s="66">
        <f t="shared" si="274"/>
        <v>3.6414565826330532</v>
      </c>
      <c r="H281" s="66">
        <f t="shared" si="274"/>
        <v>3.6414565826330532</v>
      </c>
      <c r="I281" s="66">
        <f t="shared" si="274"/>
        <v>3.6414565826330532</v>
      </c>
      <c r="J281" s="66">
        <f t="shared" si="274"/>
        <v>3.6414565826330532</v>
      </c>
      <c r="K281" s="66">
        <f t="shared" si="274"/>
        <v>3.6414565826330532</v>
      </c>
      <c r="L281" s="66">
        <f t="shared" si="274"/>
        <v>3.6414565826330532</v>
      </c>
      <c r="M281" s="66">
        <f t="shared" si="274"/>
        <v>3.6414565826330532</v>
      </c>
      <c r="N281" s="66">
        <f t="shared" si="274"/>
        <v>3.6414565826330532</v>
      </c>
      <c r="O281" s="66">
        <f t="shared" si="274"/>
        <v>3.6414565826330532</v>
      </c>
      <c r="P281" s="66">
        <f t="shared" si="274"/>
        <v>3.6414565826330532</v>
      </c>
      <c r="Q281" s="66">
        <f t="shared" si="274"/>
        <v>3.6414565826330532</v>
      </c>
      <c r="R281" s="66">
        <f t="shared" si="274"/>
        <v>3.6414565826330532</v>
      </c>
      <c r="S281" s="66">
        <f t="shared" si="274"/>
        <v>3.6414565826330532</v>
      </c>
      <c r="T281" s="66">
        <f t="shared" si="274"/>
        <v>3.6414565826330532</v>
      </c>
      <c r="U281" s="66">
        <f t="shared" si="274"/>
        <v>3.6414565826330532</v>
      </c>
      <c r="V281" s="66">
        <f t="shared" si="274"/>
        <v>3.6414565826330532</v>
      </c>
      <c r="W281" s="66">
        <f t="shared" si="274"/>
        <v>3.6414565826330532</v>
      </c>
      <c r="X281" s="66">
        <f t="shared" si="274"/>
        <v>3.6414565826330532</v>
      </c>
      <c r="Y281" s="66">
        <f t="shared" si="274"/>
        <v>3.6414565826330532</v>
      </c>
      <c r="Z281" s="66">
        <f t="shared" si="274"/>
        <v>3.6414565826330532</v>
      </c>
      <c r="AA281" s="66">
        <f t="shared" si="274"/>
        <v>3.6414565826330532</v>
      </c>
      <c r="AB281" s="66">
        <f t="shared" si="274"/>
        <v>3.6414565826330532</v>
      </c>
      <c r="AC281" s="66">
        <f t="shared" si="274"/>
        <v>3.6414565826330532</v>
      </c>
    </row>
    <row r="282" spans="1:29" x14ac:dyDescent="0.25">
      <c r="A282" s="30" t="str">
        <f t="shared" si="268"/>
        <v>Opex var (mode-fees, shunting)</v>
      </c>
      <c r="B282" s="66">
        <f>B252*B261/B261</f>
        <v>3.6414565826330532</v>
      </c>
      <c r="C282" s="66">
        <f t="shared" ref="C282:AC282" si="275">C252*C261/C261</f>
        <v>3.6414565826330532</v>
      </c>
      <c r="D282" s="66">
        <f t="shared" si="275"/>
        <v>3.6414565826330532</v>
      </c>
      <c r="E282" s="66">
        <f t="shared" si="275"/>
        <v>3.6414565826330532</v>
      </c>
      <c r="F282" s="66">
        <f t="shared" si="275"/>
        <v>3.6414565826330532</v>
      </c>
      <c r="G282" s="66">
        <f t="shared" si="275"/>
        <v>3.6414565826330532</v>
      </c>
      <c r="H282" s="66">
        <f t="shared" si="275"/>
        <v>3.6414565826330532</v>
      </c>
      <c r="I282" s="66">
        <f t="shared" si="275"/>
        <v>3.6414565826330532</v>
      </c>
      <c r="J282" s="66">
        <f t="shared" si="275"/>
        <v>3.6414565826330532</v>
      </c>
      <c r="K282" s="66">
        <f t="shared" si="275"/>
        <v>3.6414565826330532</v>
      </c>
      <c r="L282" s="66">
        <f t="shared" si="275"/>
        <v>3.6414565826330532</v>
      </c>
      <c r="M282" s="66">
        <f t="shared" si="275"/>
        <v>3.6414565826330532</v>
      </c>
      <c r="N282" s="66">
        <f t="shared" si="275"/>
        <v>3.6414565826330532</v>
      </c>
      <c r="O282" s="66">
        <f t="shared" si="275"/>
        <v>3.6414565826330532</v>
      </c>
      <c r="P282" s="66">
        <f t="shared" si="275"/>
        <v>3.6414565826330532</v>
      </c>
      <c r="Q282" s="66">
        <f t="shared" si="275"/>
        <v>3.6414565826330532</v>
      </c>
      <c r="R282" s="66">
        <f t="shared" si="275"/>
        <v>3.6414565826330532</v>
      </c>
      <c r="S282" s="66">
        <f t="shared" si="275"/>
        <v>3.6414565826330532</v>
      </c>
      <c r="T282" s="66">
        <f t="shared" si="275"/>
        <v>3.6414565826330532</v>
      </c>
      <c r="U282" s="66">
        <f t="shared" si="275"/>
        <v>3.6414565826330532</v>
      </c>
      <c r="V282" s="66">
        <f t="shared" si="275"/>
        <v>3.6414565826330532</v>
      </c>
      <c r="W282" s="66">
        <f t="shared" si="275"/>
        <v>3.6414565826330532</v>
      </c>
      <c r="X282" s="66">
        <f t="shared" si="275"/>
        <v>3.6414565826330532</v>
      </c>
      <c r="Y282" s="66">
        <f t="shared" si="275"/>
        <v>3.6414565826330532</v>
      </c>
      <c r="Z282" s="66">
        <f t="shared" si="275"/>
        <v>3.6414565826330532</v>
      </c>
      <c r="AA282" s="66">
        <f t="shared" si="275"/>
        <v>3.6414565826330532</v>
      </c>
      <c r="AB282" s="66">
        <f t="shared" si="275"/>
        <v>3.6414565826330532</v>
      </c>
      <c r="AC282" s="66">
        <f t="shared" si="275"/>
        <v>3.6414565826330532</v>
      </c>
    </row>
    <row r="283" spans="1:29" x14ac:dyDescent="0.25">
      <c r="A283" s="30" t="str">
        <f t="shared" si="268"/>
        <v>Fuel Cost</v>
      </c>
      <c r="B283" s="66">
        <f>B253*B254*B261/B261</f>
        <v>2.9770136326774113</v>
      </c>
      <c r="C283" s="66">
        <f t="shared" ref="C283:AC283" si="276">C253*C254*C261/C261</f>
        <v>2.9770136326774113</v>
      </c>
      <c r="D283" s="66">
        <f t="shared" si="276"/>
        <v>2.9770136326774113</v>
      </c>
      <c r="E283" s="66">
        <f t="shared" si="276"/>
        <v>2.9770136326774113</v>
      </c>
      <c r="F283" s="66">
        <f t="shared" si="276"/>
        <v>2.9770136326774113</v>
      </c>
      <c r="G283" s="66">
        <f t="shared" si="276"/>
        <v>2.9770136326774113</v>
      </c>
      <c r="H283" s="66">
        <f t="shared" si="276"/>
        <v>2.9770136326774113</v>
      </c>
      <c r="I283" s="66">
        <f t="shared" si="276"/>
        <v>2.9770136326774113</v>
      </c>
      <c r="J283" s="66">
        <f t="shared" si="276"/>
        <v>3.0349731876657686</v>
      </c>
      <c r="K283" s="66">
        <f t="shared" si="276"/>
        <v>3.0929327426541269</v>
      </c>
      <c r="L283" s="66">
        <f t="shared" si="276"/>
        <v>3.1508922976424847</v>
      </c>
      <c r="M283" s="66">
        <f t="shared" si="276"/>
        <v>3.208851852630842</v>
      </c>
      <c r="N283" s="66">
        <f t="shared" si="276"/>
        <v>3.2668114076191999</v>
      </c>
      <c r="O283" s="66">
        <f t="shared" si="276"/>
        <v>3.2351971048982766</v>
      </c>
      <c r="P283" s="66">
        <f t="shared" si="276"/>
        <v>3.2035828021773547</v>
      </c>
      <c r="Q283" s="66">
        <f t="shared" si="276"/>
        <v>3.1719684994564319</v>
      </c>
      <c r="R283" s="66">
        <f t="shared" si="276"/>
        <v>3.1403541967355095</v>
      </c>
      <c r="S283" s="66">
        <f t="shared" si="276"/>
        <v>3.1087398940145876</v>
      </c>
      <c r="T283" s="66">
        <f t="shared" si="276"/>
        <v>3.0771255912936653</v>
      </c>
      <c r="U283" s="66">
        <f t="shared" si="276"/>
        <v>3.0455112885727424</v>
      </c>
      <c r="V283" s="66">
        <f t="shared" si="276"/>
        <v>3.0138969858518196</v>
      </c>
      <c r="W283" s="66">
        <f t="shared" si="276"/>
        <v>2.9822826831308982</v>
      </c>
      <c r="X283" s="66">
        <f t="shared" si="276"/>
        <v>2.9506683804099763</v>
      </c>
      <c r="Y283" s="66">
        <f t="shared" si="276"/>
        <v>2.9190540776890539</v>
      </c>
      <c r="Z283" s="66">
        <f t="shared" si="276"/>
        <v>2.8874397749681311</v>
      </c>
      <c r="AA283" s="66">
        <f t="shared" si="276"/>
        <v>2.8558254722472087</v>
      </c>
      <c r="AB283" s="66">
        <f t="shared" si="276"/>
        <v>2.8242111695262859</v>
      </c>
      <c r="AC283" s="66">
        <f t="shared" si="276"/>
        <v>2.7925968668053649</v>
      </c>
    </row>
    <row r="284" spans="1:29" ht="15.75" thickBot="1" x14ac:dyDescent="0.3">
      <c r="A284" s="59" t="str">
        <f t="shared" ref="A284" si="277">A272</f>
        <v>Emission Cost</v>
      </c>
      <c r="B284" s="66">
        <f>B255</f>
        <v>0</v>
      </c>
      <c r="C284" s="66">
        <f t="shared" ref="C284:AC284" si="278">C255</f>
        <v>0</v>
      </c>
      <c r="D284" s="66">
        <f t="shared" si="278"/>
        <v>0</v>
      </c>
      <c r="E284" s="66">
        <f t="shared" si="278"/>
        <v>0</v>
      </c>
      <c r="F284" s="66">
        <f t="shared" si="278"/>
        <v>0</v>
      </c>
      <c r="G284" s="66">
        <f t="shared" si="278"/>
        <v>0</v>
      </c>
      <c r="H284" s="66">
        <f t="shared" si="278"/>
        <v>0</v>
      </c>
      <c r="I284" s="66">
        <f t="shared" si="278"/>
        <v>0</v>
      </c>
      <c r="J284" s="66">
        <f t="shared" si="278"/>
        <v>0</v>
      </c>
      <c r="K284" s="66">
        <f t="shared" si="278"/>
        <v>0</v>
      </c>
      <c r="L284" s="66">
        <f t="shared" si="278"/>
        <v>0</v>
      </c>
      <c r="M284" s="66">
        <f t="shared" si="278"/>
        <v>0</v>
      </c>
      <c r="N284" s="66">
        <f t="shared" si="278"/>
        <v>0</v>
      </c>
      <c r="O284" s="66">
        <f t="shared" si="278"/>
        <v>0</v>
      </c>
      <c r="P284" s="66">
        <f t="shared" si="278"/>
        <v>0</v>
      </c>
      <c r="Q284" s="66">
        <f t="shared" si="278"/>
        <v>0</v>
      </c>
      <c r="R284" s="66">
        <f t="shared" si="278"/>
        <v>0</v>
      </c>
      <c r="S284" s="66">
        <f t="shared" si="278"/>
        <v>0</v>
      </c>
      <c r="T284" s="66">
        <f t="shared" si="278"/>
        <v>0</v>
      </c>
      <c r="U284" s="66">
        <f t="shared" si="278"/>
        <v>0</v>
      </c>
      <c r="V284" s="66">
        <f t="shared" si="278"/>
        <v>0</v>
      </c>
      <c r="W284" s="66">
        <f t="shared" si="278"/>
        <v>0</v>
      </c>
      <c r="X284" s="66">
        <f t="shared" si="278"/>
        <v>0</v>
      </c>
      <c r="Y284" s="66">
        <f t="shared" si="278"/>
        <v>0</v>
      </c>
      <c r="Z284" s="66">
        <f t="shared" si="278"/>
        <v>0</v>
      </c>
      <c r="AA284" s="66">
        <f t="shared" si="278"/>
        <v>0</v>
      </c>
      <c r="AB284" s="66">
        <f t="shared" si="278"/>
        <v>0</v>
      </c>
      <c r="AC284" s="66">
        <f t="shared" si="278"/>
        <v>0</v>
      </c>
    </row>
    <row r="285" spans="1:29" ht="15.75" thickBot="1" x14ac:dyDescent="0.3">
      <c r="A285" s="31" t="s">
        <v>63</v>
      </c>
      <c r="B285" s="76">
        <f>B276+B277+B278-B279+B280+B281+B282+B283+B284</f>
        <v>16.949686836780252</v>
      </c>
      <c r="C285" s="76">
        <f t="shared" ref="C285:AC285" si="279">C276+C277+C278-C279+C280+C281+C282+C283+C284</f>
        <v>16.949686836780252</v>
      </c>
      <c r="D285" s="76">
        <f t="shared" si="279"/>
        <v>16.949686836780252</v>
      </c>
      <c r="E285" s="76">
        <f t="shared" si="279"/>
        <v>16.949686836780252</v>
      </c>
      <c r="F285" s="76">
        <f t="shared" si="279"/>
        <v>16.949686836780252</v>
      </c>
      <c r="G285" s="76">
        <f t="shared" si="279"/>
        <v>16.949686836780252</v>
      </c>
      <c r="H285" s="76">
        <f t="shared" si="279"/>
        <v>16.949686836780252</v>
      </c>
      <c r="I285" s="76">
        <f t="shared" si="279"/>
        <v>16.949686836780252</v>
      </c>
      <c r="J285" s="76">
        <f t="shared" si="279"/>
        <v>17.00764639176861</v>
      </c>
      <c r="K285" s="76">
        <f t="shared" si="279"/>
        <v>17.065605946756968</v>
      </c>
      <c r="L285" s="76">
        <f t="shared" si="279"/>
        <v>17.123565501745325</v>
      </c>
      <c r="M285" s="76">
        <f t="shared" si="279"/>
        <v>17.181525056733683</v>
      </c>
      <c r="N285" s="76">
        <f t="shared" si="279"/>
        <v>17.239484611722041</v>
      </c>
      <c r="O285" s="76">
        <f t="shared" si="279"/>
        <v>17.207870309001116</v>
      </c>
      <c r="P285" s="76">
        <f t="shared" si="279"/>
        <v>17.176256006280195</v>
      </c>
      <c r="Q285" s="76">
        <f t="shared" si="279"/>
        <v>17.144641703559273</v>
      </c>
      <c r="R285" s="76">
        <f t="shared" si="279"/>
        <v>17.113027400838348</v>
      </c>
      <c r="S285" s="76">
        <f t="shared" si="279"/>
        <v>17.081413098117427</v>
      </c>
      <c r="T285" s="76">
        <f t="shared" si="279"/>
        <v>17.049798795396505</v>
      </c>
      <c r="U285" s="76">
        <f t="shared" si="279"/>
        <v>17.018184492675584</v>
      </c>
      <c r="V285" s="76">
        <f t="shared" si="279"/>
        <v>16.986570189954659</v>
      </c>
      <c r="W285" s="76">
        <f t="shared" si="279"/>
        <v>16.954955887233737</v>
      </c>
      <c r="X285" s="76">
        <f t="shared" si="279"/>
        <v>16.923341584512816</v>
      </c>
      <c r="Y285" s="76">
        <f t="shared" si="279"/>
        <v>16.891727281791894</v>
      </c>
      <c r="Z285" s="76">
        <f t="shared" si="279"/>
        <v>16.860112979070969</v>
      </c>
      <c r="AA285" s="76">
        <f t="shared" si="279"/>
        <v>16.828498676350048</v>
      </c>
      <c r="AB285" s="76">
        <f t="shared" si="279"/>
        <v>16.796884373629126</v>
      </c>
      <c r="AC285" s="76">
        <f t="shared" si="279"/>
        <v>16.765270070908205</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0">A264</f>
        <v>Capex vehicle</v>
      </c>
      <c r="B288" s="65">
        <f>((1+B249)^B256)*B249/(((1+B249)^B256)-1)*(B245)/B261/(B258)</f>
        <v>1.0902430594344164E-3</v>
      </c>
      <c r="C288" s="65">
        <f t="shared" ref="C288:AC288" si="281">((1+C249)^C256)*C249/(((1+C249)^C256)-1)*(C245)/C261/(C258)</f>
        <v>1.0902430594344164E-3</v>
      </c>
      <c r="D288" s="65">
        <f t="shared" si="281"/>
        <v>1.0902430594344164E-3</v>
      </c>
      <c r="E288" s="65">
        <f t="shared" si="281"/>
        <v>1.0902430594344164E-3</v>
      </c>
      <c r="F288" s="65">
        <f t="shared" si="281"/>
        <v>1.0902430594344164E-3</v>
      </c>
      <c r="G288" s="65">
        <f t="shared" si="281"/>
        <v>1.0902430594344164E-3</v>
      </c>
      <c r="H288" s="65">
        <f t="shared" si="281"/>
        <v>1.0902430594344164E-3</v>
      </c>
      <c r="I288" s="65">
        <f t="shared" si="281"/>
        <v>1.0902430594344164E-3</v>
      </c>
      <c r="J288" s="65">
        <f t="shared" si="281"/>
        <v>1.0902430594344164E-3</v>
      </c>
      <c r="K288" s="65">
        <f t="shared" si="281"/>
        <v>1.0902430594344164E-3</v>
      </c>
      <c r="L288" s="65">
        <f t="shared" si="281"/>
        <v>1.0902430594344164E-3</v>
      </c>
      <c r="M288" s="65">
        <f t="shared" si="281"/>
        <v>1.0902430594344164E-3</v>
      </c>
      <c r="N288" s="65">
        <f t="shared" si="281"/>
        <v>1.0902430594344164E-3</v>
      </c>
      <c r="O288" s="65">
        <f t="shared" si="281"/>
        <v>1.0902430594344164E-3</v>
      </c>
      <c r="P288" s="65">
        <f t="shared" si="281"/>
        <v>1.0902430594344164E-3</v>
      </c>
      <c r="Q288" s="65">
        <f t="shared" si="281"/>
        <v>1.0902430594344164E-3</v>
      </c>
      <c r="R288" s="65">
        <f t="shared" si="281"/>
        <v>1.0902430594344164E-3</v>
      </c>
      <c r="S288" s="65">
        <f t="shared" si="281"/>
        <v>1.0902430594344164E-3</v>
      </c>
      <c r="T288" s="65">
        <f t="shared" si="281"/>
        <v>1.0902430594344164E-3</v>
      </c>
      <c r="U288" s="65">
        <f t="shared" si="281"/>
        <v>1.0902430594344164E-3</v>
      </c>
      <c r="V288" s="65">
        <f t="shared" si="281"/>
        <v>1.0902430594344164E-3</v>
      </c>
      <c r="W288" s="65">
        <f t="shared" si="281"/>
        <v>1.0902430594344164E-3</v>
      </c>
      <c r="X288" s="65">
        <f t="shared" si="281"/>
        <v>1.0902430594344164E-3</v>
      </c>
      <c r="Y288" s="65">
        <f t="shared" si="281"/>
        <v>1.0902430594344164E-3</v>
      </c>
      <c r="Z288" s="65">
        <f t="shared" si="281"/>
        <v>1.0902430594344164E-3</v>
      </c>
      <c r="AA288" s="65">
        <f t="shared" si="281"/>
        <v>1.0902430594344164E-3</v>
      </c>
      <c r="AB288" s="65">
        <f t="shared" si="281"/>
        <v>1.0902430594344164E-3</v>
      </c>
      <c r="AC288" s="65">
        <f t="shared" si="281"/>
        <v>1.0902430594344164E-3</v>
      </c>
    </row>
    <row r="289" spans="1:29" x14ac:dyDescent="0.25">
      <c r="A289" s="30" t="str">
        <f t="shared" si="280"/>
        <v>Residual value (vehicle)</v>
      </c>
      <c r="B289" s="68">
        <f>((1+B249)^B256)*B249/(((1+B249)^B256)-1)*(B246)/B261/(B258)</f>
        <v>-1.6353645891516245E-4</v>
      </c>
      <c r="C289" s="68">
        <f t="shared" ref="C289:AC289" si="282">((1+C249)^C256)*C249/(((1+C249)^C256)-1)*(C246)/C261/(C258)</f>
        <v>-1.6353645891516245E-4</v>
      </c>
      <c r="D289" s="68">
        <f t="shared" si="282"/>
        <v>-1.6353645891516245E-4</v>
      </c>
      <c r="E289" s="68">
        <f t="shared" si="282"/>
        <v>-1.6353645891516245E-4</v>
      </c>
      <c r="F289" s="68">
        <f t="shared" si="282"/>
        <v>-1.6353645891516245E-4</v>
      </c>
      <c r="G289" s="68">
        <f t="shared" si="282"/>
        <v>-1.6353645891516245E-4</v>
      </c>
      <c r="H289" s="68">
        <f t="shared" si="282"/>
        <v>-1.6353645891516245E-4</v>
      </c>
      <c r="I289" s="68">
        <f t="shared" si="282"/>
        <v>-1.6353645891516245E-4</v>
      </c>
      <c r="J289" s="68">
        <f t="shared" si="282"/>
        <v>-1.6353645891516245E-4</v>
      </c>
      <c r="K289" s="68">
        <f t="shared" si="282"/>
        <v>-1.6353645891516245E-4</v>
      </c>
      <c r="L289" s="68">
        <f t="shared" si="282"/>
        <v>-1.6353645891516245E-4</v>
      </c>
      <c r="M289" s="68">
        <f t="shared" si="282"/>
        <v>-1.6353645891516245E-4</v>
      </c>
      <c r="N289" s="68">
        <f t="shared" si="282"/>
        <v>-1.6353645891516245E-4</v>
      </c>
      <c r="O289" s="68">
        <f t="shared" si="282"/>
        <v>-1.6353645891516245E-4</v>
      </c>
      <c r="P289" s="68">
        <f t="shared" si="282"/>
        <v>-1.6353645891516245E-4</v>
      </c>
      <c r="Q289" s="68">
        <f t="shared" si="282"/>
        <v>-1.6353645891516245E-4</v>
      </c>
      <c r="R289" s="68">
        <f t="shared" si="282"/>
        <v>-1.6353645891516245E-4</v>
      </c>
      <c r="S289" s="68">
        <f t="shared" si="282"/>
        <v>-1.6353645891516245E-4</v>
      </c>
      <c r="T289" s="68">
        <f t="shared" si="282"/>
        <v>-1.6353645891516245E-4</v>
      </c>
      <c r="U289" s="68">
        <f t="shared" si="282"/>
        <v>-1.6353645891516245E-4</v>
      </c>
      <c r="V289" s="68">
        <f t="shared" si="282"/>
        <v>-1.6353645891516245E-4</v>
      </c>
      <c r="W289" s="68">
        <f t="shared" si="282"/>
        <v>-1.6353645891516245E-4</v>
      </c>
      <c r="X289" s="68">
        <f t="shared" si="282"/>
        <v>-1.6353645891516245E-4</v>
      </c>
      <c r="Y289" s="68">
        <f t="shared" si="282"/>
        <v>-1.6353645891516245E-4</v>
      </c>
      <c r="Z289" s="68">
        <f t="shared" si="282"/>
        <v>-1.6353645891516245E-4</v>
      </c>
      <c r="AA289" s="68">
        <f t="shared" si="282"/>
        <v>-1.6353645891516245E-4</v>
      </c>
      <c r="AB289" s="68">
        <f t="shared" si="282"/>
        <v>-1.6353645891516245E-4</v>
      </c>
      <c r="AC289" s="68">
        <f t="shared" si="282"/>
        <v>-1.6353645891516245E-4</v>
      </c>
    </row>
    <row r="290" spans="1:29" x14ac:dyDescent="0.25">
      <c r="A290" s="30" t="str">
        <f t="shared" si="280"/>
        <v>Capex costumization</v>
      </c>
      <c r="B290" s="66">
        <f>((1+B249)^B257)*B249/(((1+B249)^B257)-1)*(B247)/B261/(B258)</f>
        <v>5.087458787818432E-4</v>
      </c>
      <c r="C290" s="66">
        <f t="shared" ref="C290:AC290" si="283">((1+C249)^C257)*C249/(((1+C249)^C257)-1)*(C247)/C261/(C258)</f>
        <v>5.087458787818432E-4</v>
      </c>
      <c r="D290" s="66">
        <f t="shared" si="283"/>
        <v>5.087458787818432E-4</v>
      </c>
      <c r="E290" s="66">
        <f t="shared" si="283"/>
        <v>5.087458787818432E-4</v>
      </c>
      <c r="F290" s="66">
        <f t="shared" si="283"/>
        <v>5.087458787818432E-4</v>
      </c>
      <c r="G290" s="66">
        <f t="shared" si="283"/>
        <v>5.087458787818432E-4</v>
      </c>
      <c r="H290" s="66">
        <f t="shared" si="283"/>
        <v>5.087458787818432E-4</v>
      </c>
      <c r="I290" s="66">
        <f t="shared" si="283"/>
        <v>5.087458787818432E-4</v>
      </c>
      <c r="J290" s="66">
        <f t="shared" si="283"/>
        <v>5.087458787818432E-4</v>
      </c>
      <c r="K290" s="66">
        <f t="shared" si="283"/>
        <v>5.087458787818432E-4</v>
      </c>
      <c r="L290" s="66">
        <f t="shared" si="283"/>
        <v>5.087458787818432E-4</v>
      </c>
      <c r="M290" s="66">
        <f t="shared" si="283"/>
        <v>5.087458787818432E-4</v>
      </c>
      <c r="N290" s="66">
        <f t="shared" si="283"/>
        <v>5.087458787818432E-4</v>
      </c>
      <c r="O290" s="66">
        <f t="shared" si="283"/>
        <v>5.087458787818432E-4</v>
      </c>
      <c r="P290" s="66">
        <f t="shared" si="283"/>
        <v>5.087458787818432E-4</v>
      </c>
      <c r="Q290" s="66">
        <f t="shared" si="283"/>
        <v>5.087458787818432E-4</v>
      </c>
      <c r="R290" s="66">
        <f t="shared" si="283"/>
        <v>5.087458787818432E-4</v>
      </c>
      <c r="S290" s="66">
        <f t="shared" si="283"/>
        <v>5.087458787818432E-4</v>
      </c>
      <c r="T290" s="66">
        <f t="shared" si="283"/>
        <v>5.087458787818432E-4</v>
      </c>
      <c r="U290" s="66">
        <f t="shared" si="283"/>
        <v>5.087458787818432E-4</v>
      </c>
      <c r="V290" s="66">
        <f t="shared" si="283"/>
        <v>5.087458787818432E-4</v>
      </c>
      <c r="W290" s="66">
        <f t="shared" si="283"/>
        <v>5.087458787818432E-4</v>
      </c>
      <c r="X290" s="66">
        <f t="shared" si="283"/>
        <v>5.087458787818432E-4</v>
      </c>
      <c r="Y290" s="66">
        <f t="shared" si="283"/>
        <v>5.087458787818432E-4</v>
      </c>
      <c r="Z290" s="66">
        <f t="shared" si="283"/>
        <v>5.087458787818432E-4</v>
      </c>
      <c r="AA290" s="66">
        <f t="shared" si="283"/>
        <v>5.087458787818432E-4</v>
      </c>
      <c r="AB290" s="66">
        <f t="shared" si="283"/>
        <v>5.087458787818432E-4</v>
      </c>
      <c r="AC290" s="66">
        <f t="shared" si="283"/>
        <v>5.087458787818432E-4</v>
      </c>
    </row>
    <row r="291" spans="1:29" x14ac:dyDescent="0.25">
      <c r="A291" s="30" t="str">
        <f t="shared" si="280"/>
        <v>Residual value (costumization)</v>
      </c>
      <c r="B291" s="69">
        <f>((1+B249)^B257)*B249/(((1+B249)^B257)-1)*(B248)/B261/(B258)</f>
        <v>-2.5437293939092156E-5</v>
      </c>
      <c r="C291" s="69">
        <f t="shared" ref="C291:AC291" si="284">((1+C249)^C257)*C249/(((1+C249)^C257)-1)*(C248)/C261/(C258)</f>
        <v>-2.5437293939092156E-5</v>
      </c>
      <c r="D291" s="69">
        <f t="shared" si="284"/>
        <v>-2.5437293939092156E-5</v>
      </c>
      <c r="E291" s="69">
        <f t="shared" si="284"/>
        <v>-2.5437293939092156E-5</v>
      </c>
      <c r="F291" s="69">
        <f t="shared" si="284"/>
        <v>-2.5437293939092156E-5</v>
      </c>
      <c r="G291" s="69">
        <f t="shared" si="284"/>
        <v>-2.5437293939092156E-5</v>
      </c>
      <c r="H291" s="69">
        <f t="shared" si="284"/>
        <v>-2.5437293939092156E-5</v>
      </c>
      <c r="I291" s="69">
        <f t="shared" si="284"/>
        <v>-2.5437293939092156E-5</v>
      </c>
      <c r="J291" s="69">
        <f t="shared" si="284"/>
        <v>-2.5437293939092156E-5</v>
      </c>
      <c r="K291" s="69">
        <f t="shared" si="284"/>
        <v>-2.5437293939092156E-5</v>
      </c>
      <c r="L291" s="69">
        <f t="shared" si="284"/>
        <v>-2.5437293939092156E-5</v>
      </c>
      <c r="M291" s="69">
        <f t="shared" si="284"/>
        <v>-2.5437293939092156E-5</v>
      </c>
      <c r="N291" s="69">
        <f t="shared" si="284"/>
        <v>-2.5437293939092156E-5</v>
      </c>
      <c r="O291" s="69">
        <f t="shared" si="284"/>
        <v>-2.5437293939092156E-5</v>
      </c>
      <c r="P291" s="69">
        <f t="shared" si="284"/>
        <v>-2.5437293939092156E-5</v>
      </c>
      <c r="Q291" s="69">
        <f t="shared" si="284"/>
        <v>-2.5437293939092156E-5</v>
      </c>
      <c r="R291" s="69">
        <f t="shared" si="284"/>
        <v>-2.5437293939092156E-5</v>
      </c>
      <c r="S291" s="69">
        <f t="shared" si="284"/>
        <v>-2.5437293939092156E-5</v>
      </c>
      <c r="T291" s="69">
        <f t="shared" si="284"/>
        <v>-2.5437293939092156E-5</v>
      </c>
      <c r="U291" s="69">
        <f t="shared" si="284"/>
        <v>-2.5437293939092156E-5</v>
      </c>
      <c r="V291" s="69">
        <f t="shared" si="284"/>
        <v>-2.5437293939092156E-5</v>
      </c>
      <c r="W291" s="69">
        <f t="shared" si="284"/>
        <v>-2.5437293939092156E-5</v>
      </c>
      <c r="X291" s="69">
        <f t="shared" si="284"/>
        <v>-2.5437293939092156E-5</v>
      </c>
      <c r="Y291" s="69">
        <f t="shared" si="284"/>
        <v>-2.5437293939092156E-5</v>
      </c>
      <c r="Z291" s="69">
        <f t="shared" si="284"/>
        <v>-2.5437293939092156E-5</v>
      </c>
      <c r="AA291" s="69">
        <f t="shared" si="284"/>
        <v>-2.5437293939092156E-5</v>
      </c>
      <c r="AB291" s="69">
        <f t="shared" si="284"/>
        <v>-2.5437293939092156E-5</v>
      </c>
      <c r="AC291" s="69">
        <f t="shared" si="284"/>
        <v>-2.5437293939092156E-5</v>
      </c>
    </row>
    <row r="292" spans="1:29" x14ac:dyDescent="0.25">
      <c r="A292" s="30" t="str">
        <f t="shared" si="280"/>
        <v>Opex fix (admin, crew, insurance)</v>
      </c>
      <c r="B292" s="66">
        <f>B250/B261/(B258)</f>
        <v>1.525610244097639E-3</v>
      </c>
      <c r="C292" s="66">
        <f t="shared" ref="C292:AC292" si="285">C250/C261/(C258)</f>
        <v>1.525610244097639E-3</v>
      </c>
      <c r="D292" s="66">
        <f t="shared" si="285"/>
        <v>1.525610244097639E-3</v>
      </c>
      <c r="E292" s="66">
        <f t="shared" si="285"/>
        <v>1.525610244097639E-3</v>
      </c>
      <c r="F292" s="66">
        <f t="shared" si="285"/>
        <v>1.525610244097639E-3</v>
      </c>
      <c r="G292" s="66">
        <f t="shared" si="285"/>
        <v>1.525610244097639E-3</v>
      </c>
      <c r="H292" s="66">
        <f t="shared" si="285"/>
        <v>1.525610244097639E-3</v>
      </c>
      <c r="I292" s="66">
        <f t="shared" si="285"/>
        <v>1.525610244097639E-3</v>
      </c>
      <c r="J292" s="66">
        <f t="shared" si="285"/>
        <v>1.525610244097639E-3</v>
      </c>
      <c r="K292" s="66">
        <f t="shared" si="285"/>
        <v>1.525610244097639E-3</v>
      </c>
      <c r="L292" s="66">
        <f t="shared" si="285"/>
        <v>1.525610244097639E-3</v>
      </c>
      <c r="M292" s="66">
        <f t="shared" si="285"/>
        <v>1.525610244097639E-3</v>
      </c>
      <c r="N292" s="66">
        <f t="shared" si="285"/>
        <v>1.525610244097639E-3</v>
      </c>
      <c r="O292" s="66">
        <f t="shared" si="285"/>
        <v>1.525610244097639E-3</v>
      </c>
      <c r="P292" s="66">
        <f t="shared" si="285"/>
        <v>1.525610244097639E-3</v>
      </c>
      <c r="Q292" s="66">
        <f t="shared" si="285"/>
        <v>1.525610244097639E-3</v>
      </c>
      <c r="R292" s="66">
        <f t="shared" si="285"/>
        <v>1.525610244097639E-3</v>
      </c>
      <c r="S292" s="66">
        <f t="shared" si="285"/>
        <v>1.525610244097639E-3</v>
      </c>
      <c r="T292" s="66">
        <f t="shared" si="285"/>
        <v>1.525610244097639E-3</v>
      </c>
      <c r="U292" s="66">
        <f t="shared" si="285"/>
        <v>1.525610244097639E-3</v>
      </c>
      <c r="V292" s="66">
        <f t="shared" si="285"/>
        <v>1.525610244097639E-3</v>
      </c>
      <c r="W292" s="66">
        <f t="shared" si="285"/>
        <v>1.525610244097639E-3</v>
      </c>
      <c r="X292" s="66">
        <f t="shared" si="285"/>
        <v>1.525610244097639E-3</v>
      </c>
      <c r="Y292" s="66">
        <f t="shared" si="285"/>
        <v>1.525610244097639E-3</v>
      </c>
      <c r="Z292" s="66">
        <f t="shared" si="285"/>
        <v>1.525610244097639E-3</v>
      </c>
      <c r="AA292" s="66">
        <f t="shared" si="285"/>
        <v>1.525610244097639E-3</v>
      </c>
      <c r="AB292" s="66">
        <f t="shared" si="285"/>
        <v>1.525610244097639E-3</v>
      </c>
      <c r="AC292" s="66">
        <f t="shared" si="285"/>
        <v>1.525610244097639E-3</v>
      </c>
    </row>
    <row r="293" spans="1:29" x14ac:dyDescent="0.25">
      <c r="A293" s="30" t="str">
        <f t="shared" si="280"/>
        <v>Opex maintenance &amp; repair</v>
      </c>
      <c r="B293" s="66">
        <f>B251/B261/(B258)</f>
        <v>1.6256502601040416E-3</v>
      </c>
      <c r="C293" s="66">
        <f t="shared" ref="C293:AC293" si="286">C251/C261/(C258)</f>
        <v>1.6256502601040416E-3</v>
      </c>
      <c r="D293" s="66">
        <f t="shared" si="286"/>
        <v>1.6256502601040416E-3</v>
      </c>
      <c r="E293" s="66">
        <f t="shared" si="286"/>
        <v>1.6256502601040416E-3</v>
      </c>
      <c r="F293" s="66">
        <f t="shared" si="286"/>
        <v>1.6256502601040416E-3</v>
      </c>
      <c r="G293" s="66">
        <f t="shared" si="286"/>
        <v>1.6256502601040416E-3</v>
      </c>
      <c r="H293" s="66">
        <f t="shared" si="286"/>
        <v>1.6256502601040416E-3</v>
      </c>
      <c r="I293" s="66">
        <f t="shared" si="286"/>
        <v>1.6256502601040416E-3</v>
      </c>
      <c r="J293" s="66">
        <f t="shared" si="286"/>
        <v>1.6256502601040416E-3</v>
      </c>
      <c r="K293" s="66">
        <f t="shared" si="286"/>
        <v>1.6256502601040416E-3</v>
      </c>
      <c r="L293" s="66">
        <f t="shared" si="286"/>
        <v>1.6256502601040416E-3</v>
      </c>
      <c r="M293" s="66">
        <f t="shared" si="286"/>
        <v>1.6256502601040416E-3</v>
      </c>
      <c r="N293" s="66">
        <f t="shared" si="286"/>
        <v>1.6256502601040416E-3</v>
      </c>
      <c r="O293" s="66">
        <f t="shared" si="286"/>
        <v>1.6256502601040416E-3</v>
      </c>
      <c r="P293" s="66">
        <f t="shared" si="286"/>
        <v>1.6256502601040416E-3</v>
      </c>
      <c r="Q293" s="66">
        <f t="shared" si="286"/>
        <v>1.6256502601040416E-3</v>
      </c>
      <c r="R293" s="66">
        <f t="shared" si="286"/>
        <v>1.6256502601040416E-3</v>
      </c>
      <c r="S293" s="66">
        <f t="shared" si="286"/>
        <v>1.6256502601040416E-3</v>
      </c>
      <c r="T293" s="66">
        <f t="shared" si="286"/>
        <v>1.6256502601040416E-3</v>
      </c>
      <c r="U293" s="66">
        <f t="shared" si="286"/>
        <v>1.6256502601040416E-3</v>
      </c>
      <c r="V293" s="66">
        <f t="shared" si="286"/>
        <v>1.6256502601040416E-3</v>
      </c>
      <c r="W293" s="66">
        <f t="shared" si="286"/>
        <v>1.6256502601040416E-3</v>
      </c>
      <c r="X293" s="66">
        <f t="shared" si="286"/>
        <v>1.6256502601040416E-3</v>
      </c>
      <c r="Y293" s="66">
        <f t="shared" si="286"/>
        <v>1.6256502601040416E-3</v>
      </c>
      <c r="Z293" s="66">
        <f t="shared" si="286"/>
        <v>1.6256502601040416E-3</v>
      </c>
      <c r="AA293" s="66">
        <f t="shared" si="286"/>
        <v>1.6256502601040416E-3</v>
      </c>
      <c r="AB293" s="66">
        <f t="shared" si="286"/>
        <v>1.6256502601040416E-3</v>
      </c>
      <c r="AC293" s="66">
        <f t="shared" si="286"/>
        <v>1.6256502601040416E-3</v>
      </c>
    </row>
    <row r="294" spans="1:29" x14ac:dyDescent="0.25">
      <c r="A294" s="30" t="str">
        <f t="shared" si="280"/>
        <v>Opex var (mode-fees, shunting)</v>
      </c>
      <c r="B294" s="66">
        <f>B252*B261/B261/(B258)</f>
        <v>1.6256502601040416E-3</v>
      </c>
      <c r="C294" s="66">
        <f t="shared" ref="C294:AC294" si="287">C252*C261/C261/(C258)</f>
        <v>1.6256502601040416E-3</v>
      </c>
      <c r="D294" s="66">
        <f t="shared" si="287"/>
        <v>1.6256502601040416E-3</v>
      </c>
      <c r="E294" s="66">
        <f t="shared" si="287"/>
        <v>1.6256502601040416E-3</v>
      </c>
      <c r="F294" s="66">
        <f t="shared" si="287"/>
        <v>1.6256502601040416E-3</v>
      </c>
      <c r="G294" s="66">
        <f t="shared" si="287"/>
        <v>1.6256502601040416E-3</v>
      </c>
      <c r="H294" s="66">
        <f t="shared" si="287"/>
        <v>1.6256502601040416E-3</v>
      </c>
      <c r="I294" s="66">
        <f t="shared" si="287"/>
        <v>1.6256502601040416E-3</v>
      </c>
      <c r="J294" s="66">
        <f t="shared" si="287"/>
        <v>1.6256502601040416E-3</v>
      </c>
      <c r="K294" s="66">
        <f t="shared" si="287"/>
        <v>1.6256502601040416E-3</v>
      </c>
      <c r="L294" s="66">
        <f t="shared" si="287"/>
        <v>1.6256502601040416E-3</v>
      </c>
      <c r="M294" s="66">
        <f t="shared" si="287"/>
        <v>1.6256502601040416E-3</v>
      </c>
      <c r="N294" s="66">
        <f t="shared" si="287"/>
        <v>1.6256502601040416E-3</v>
      </c>
      <c r="O294" s="66">
        <f t="shared" si="287"/>
        <v>1.6256502601040416E-3</v>
      </c>
      <c r="P294" s="66">
        <f t="shared" si="287"/>
        <v>1.6256502601040416E-3</v>
      </c>
      <c r="Q294" s="66">
        <f t="shared" si="287"/>
        <v>1.6256502601040416E-3</v>
      </c>
      <c r="R294" s="66">
        <f t="shared" si="287"/>
        <v>1.6256502601040416E-3</v>
      </c>
      <c r="S294" s="66">
        <f t="shared" si="287"/>
        <v>1.6256502601040416E-3</v>
      </c>
      <c r="T294" s="66">
        <f t="shared" si="287"/>
        <v>1.6256502601040416E-3</v>
      </c>
      <c r="U294" s="66">
        <f t="shared" si="287"/>
        <v>1.6256502601040416E-3</v>
      </c>
      <c r="V294" s="66">
        <f t="shared" si="287"/>
        <v>1.6256502601040416E-3</v>
      </c>
      <c r="W294" s="66">
        <f t="shared" si="287"/>
        <v>1.6256502601040416E-3</v>
      </c>
      <c r="X294" s="66">
        <f t="shared" si="287"/>
        <v>1.6256502601040416E-3</v>
      </c>
      <c r="Y294" s="66">
        <f t="shared" si="287"/>
        <v>1.6256502601040416E-3</v>
      </c>
      <c r="Z294" s="66">
        <f t="shared" si="287"/>
        <v>1.6256502601040416E-3</v>
      </c>
      <c r="AA294" s="66">
        <f t="shared" si="287"/>
        <v>1.6256502601040416E-3</v>
      </c>
      <c r="AB294" s="66">
        <f t="shared" si="287"/>
        <v>1.6256502601040416E-3</v>
      </c>
      <c r="AC294" s="66">
        <f t="shared" si="287"/>
        <v>1.6256502601040416E-3</v>
      </c>
    </row>
    <row r="295" spans="1:29" x14ac:dyDescent="0.25">
      <c r="A295" s="30" t="str">
        <f t="shared" si="280"/>
        <v>Fuel Cost</v>
      </c>
      <c r="B295" s="66">
        <f>B253*B254*B261/B261/(B258)</f>
        <v>1.3290239431595586E-3</v>
      </c>
      <c r="C295" s="66">
        <f t="shared" ref="C295:AC295" si="288">C253*C254*C261/C261/(C258)</f>
        <v>1.3290239431595586E-3</v>
      </c>
      <c r="D295" s="66">
        <f t="shared" si="288"/>
        <v>1.3290239431595586E-3</v>
      </c>
      <c r="E295" s="66">
        <f t="shared" si="288"/>
        <v>1.3290239431595586E-3</v>
      </c>
      <c r="F295" s="66">
        <f t="shared" si="288"/>
        <v>1.3290239431595586E-3</v>
      </c>
      <c r="G295" s="66">
        <f t="shared" si="288"/>
        <v>1.3290239431595586E-3</v>
      </c>
      <c r="H295" s="66">
        <f t="shared" si="288"/>
        <v>1.3290239431595586E-3</v>
      </c>
      <c r="I295" s="66">
        <f t="shared" si="288"/>
        <v>1.3290239431595586E-3</v>
      </c>
      <c r="J295" s="66">
        <f t="shared" si="288"/>
        <v>1.3548987444936466E-3</v>
      </c>
      <c r="K295" s="66">
        <f t="shared" si="288"/>
        <v>1.3807735458277353E-3</v>
      </c>
      <c r="L295" s="66">
        <f t="shared" si="288"/>
        <v>1.4066483471618235E-3</v>
      </c>
      <c r="M295" s="66">
        <f t="shared" si="288"/>
        <v>1.4325231484959115E-3</v>
      </c>
      <c r="N295" s="66">
        <f t="shared" si="288"/>
        <v>1.45839794983E-3</v>
      </c>
      <c r="O295" s="66">
        <f t="shared" si="288"/>
        <v>1.4442844218295879E-3</v>
      </c>
      <c r="P295" s="66">
        <f t="shared" si="288"/>
        <v>1.4301708938291762E-3</v>
      </c>
      <c r="Q295" s="66">
        <f t="shared" si="288"/>
        <v>1.4160573658287643E-3</v>
      </c>
      <c r="R295" s="66">
        <f t="shared" si="288"/>
        <v>1.4019438378283524E-3</v>
      </c>
      <c r="S295" s="66">
        <f t="shared" si="288"/>
        <v>1.3878303098279409E-3</v>
      </c>
      <c r="T295" s="66">
        <f t="shared" si="288"/>
        <v>1.3737167818275292E-3</v>
      </c>
      <c r="U295" s="66">
        <f t="shared" si="288"/>
        <v>1.3596032538271171E-3</v>
      </c>
      <c r="V295" s="66">
        <f t="shared" si="288"/>
        <v>1.3454897258267052E-3</v>
      </c>
      <c r="W295" s="66">
        <f t="shared" si="288"/>
        <v>1.3313761978262938E-3</v>
      </c>
      <c r="X295" s="66">
        <f t="shared" si="288"/>
        <v>1.3172626698258823E-3</v>
      </c>
      <c r="Y295" s="66">
        <f t="shared" si="288"/>
        <v>1.3031491418254704E-3</v>
      </c>
      <c r="Z295" s="66">
        <f t="shared" si="288"/>
        <v>1.2890356138250585E-3</v>
      </c>
      <c r="AA295" s="66">
        <f t="shared" si="288"/>
        <v>1.2749220858246468E-3</v>
      </c>
      <c r="AB295" s="66">
        <f t="shared" si="288"/>
        <v>1.2608085578242347E-3</v>
      </c>
      <c r="AC295" s="66">
        <f t="shared" si="288"/>
        <v>1.2466950298238237E-3</v>
      </c>
    </row>
    <row r="296" spans="1:29" x14ac:dyDescent="0.25">
      <c r="A296" s="59" t="str">
        <f>A259</f>
        <v>Market failure (av. utilization)</v>
      </c>
      <c r="B296" s="66">
        <f t="shared" ref="B296:AC296" si="289">B285/B259-B285/B258</f>
        <v>1.0167920395947974E-2</v>
      </c>
      <c r="C296" s="66">
        <f t="shared" si="289"/>
        <v>1.0167920395947974E-2</v>
      </c>
      <c r="D296" s="66">
        <f t="shared" si="289"/>
        <v>1.0167920395947974E-2</v>
      </c>
      <c r="E296" s="66">
        <f t="shared" si="289"/>
        <v>1.0167920395947974E-2</v>
      </c>
      <c r="F296" s="66">
        <f t="shared" si="289"/>
        <v>1.0167920395947974E-2</v>
      </c>
      <c r="G296" s="66">
        <f t="shared" si="289"/>
        <v>1.0167920395947974E-2</v>
      </c>
      <c r="H296" s="66">
        <f t="shared" si="289"/>
        <v>1.0167920395947974E-2</v>
      </c>
      <c r="I296" s="66">
        <f t="shared" si="289"/>
        <v>1.0167920395947974E-2</v>
      </c>
      <c r="J296" s="66">
        <f t="shared" si="289"/>
        <v>1.0202689660240656E-2</v>
      </c>
      <c r="K296" s="66">
        <f t="shared" si="289"/>
        <v>1.0237458924533338E-2</v>
      </c>
      <c r="L296" s="66">
        <f t="shared" si="289"/>
        <v>1.0272228188826015E-2</v>
      </c>
      <c r="M296" s="66">
        <f t="shared" si="289"/>
        <v>1.0306997453118697E-2</v>
      </c>
      <c r="N296" s="66">
        <f t="shared" si="289"/>
        <v>1.0341766717411379E-2</v>
      </c>
      <c r="O296" s="66">
        <f t="shared" si="289"/>
        <v>1.0322801664160827E-2</v>
      </c>
      <c r="P296" s="66">
        <f t="shared" si="289"/>
        <v>1.0303836610910271E-2</v>
      </c>
      <c r="Q296" s="66">
        <f t="shared" si="289"/>
        <v>1.028487155765972E-2</v>
      </c>
      <c r="R296" s="66">
        <f t="shared" si="289"/>
        <v>1.0265906504409165E-2</v>
      </c>
      <c r="S296" s="66">
        <f t="shared" si="289"/>
        <v>1.0246941451158611E-2</v>
      </c>
      <c r="T296" s="66">
        <f t="shared" si="289"/>
        <v>1.022797639790806E-2</v>
      </c>
      <c r="U296" s="66">
        <f t="shared" si="289"/>
        <v>1.0209011344657508E-2</v>
      </c>
      <c r="V296" s="66">
        <f t="shared" si="289"/>
        <v>1.0190046291406952E-2</v>
      </c>
      <c r="W296" s="66">
        <f t="shared" si="289"/>
        <v>1.0171081238156399E-2</v>
      </c>
      <c r="X296" s="66">
        <f t="shared" si="289"/>
        <v>1.0152116184905845E-2</v>
      </c>
      <c r="Y296" s="66">
        <f t="shared" si="289"/>
        <v>1.0133151131655294E-2</v>
      </c>
      <c r="Z296" s="66">
        <f t="shared" si="289"/>
        <v>1.011418607840474E-2</v>
      </c>
      <c r="AA296" s="66">
        <f t="shared" si="289"/>
        <v>1.0095221025154186E-2</v>
      </c>
      <c r="AB296" s="66">
        <f t="shared" si="289"/>
        <v>1.0076255971903633E-2</v>
      </c>
      <c r="AC296" s="66">
        <f t="shared" si="289"/>
        <v>1.0057290918653081E-2</v>
      </c>
    </row>
    <row r="297" spans="1:29" x14ac:dyDescent="0.25">
      <c r="A297" s="59" t="str">
        <f>A260</f>
        <v>Payload loss (fuel)</v>
      </c>
      <c r="B297" s="66">
        <f>B285/(B258-B260)-B285/B258</f>
        <v>0</v>
      </c>
      <c r="C297" s="66">
        <f t="shared" ref="C297:AC297" si="290">C285/(C258-C260)-C285/C258</f>
        <v>0</v>
      </c>
      <c r="D297" s="66">
        <f t="shared" si="290"/>
        <v>0</v>
      </c>
      <c r="E297" s="66">
        <f t="shared" si="290"/>
        <v>0</v>
      </c>
      <c r="F297" s="66">
        <f t="shared" si="290"/>
        <v>0</v>
      </c>
      <c r="G297" s="66">
        <f t="shared" si="290"/>
        <v>0</v>
      </c>
      <c r="H297" s="66">
        <f t="shared" si="290"/>
        <v>0</v>
      </c>
      <c r="I297" s="66">
        <f t="shared" si="290"/>
        <v>0</v>
      </c>
      <c r="J297" s="66">
        <f t="shared" si="290"/>
        <v>0</v>
      </c>
      <c r="K297" s="66">
        <f t="shared" si="290"/>
        <v>0</v>
      </c>
      <c r="L297" s="66">
        <f t="shared" si="290"/>
        <v>0</v>
      </c>
      <c r="M297" s="66">
        <f t="shared" si="290"/>
        <v>0</v>
      </c>
      <c r="N297" s="66">
        <f t="shared" si="290"/>
        <v>0</v>
      </c>
      <c r="O297" s="66">
        <f t="shared" si="290"/>
        <v>0</v>
      </c>
      <c r="P297" s="66">
        <f t="shared" si="290"/>
        <v>0</v>
      </c>
      <c r="Q297" s="66">
        <f t="shared" si="290"/>
        <v>0</v>
      </c>
      <c r="R297" s="66">
        <f t="shared" si="290"/>
        <v>0</v>
      </c>
      <c r="S297" s="66">
        <f t="shared" si="290"/>
        <v>0</v>
      </c>
      <c r="T297" s="66">
        <f t="shared" si="290"/>
        <v>0</v>
      </c>
      <c r="U297" s="66">
        <f t="shared" si="290"/>
        <v>0</v>
      </c>
      <c r="V297" s="66">
        <f t="shared" si="290"/>
        <v>0</v>
      </c>
      <c r="W297" s="66">
        <f t="shared" si="290"/>
        <v>0</v>
      </c>
      <c r="X297" s="66">
        <f t="shared" si="290"/>
        <v>0</v>
      </c>
      <c r="Y297" s="66">
        <f t="shared" si="290"/>
        <v>0</v>
      </c>
      <c r="Z297" s="66">
        <f t="shared" si="290"/>
        <v>0</v>
      </c>
      <c r="AA297" s="66">
        <f t="shared" si="290"/>
        <v>0</v>
      </c>
      <c r="AB297" s="66">
        <f t="shared" si="290"/>
        <v>0</v>
      </c>
      <c r="AC297" s="66">
        <f t="shared" si="290"/>
        <v>0</v>
      </c>
    </row>
    <row r="298" spans="1:29" ht="15.75" thickBot="1" x14ac:dyDescent="0.3">
      <c r="A298" s="59" t="str">
        <f>A235</f>
        <v>Emission Cost</v>
      </c>
      <c r="B298" s="68">
        <f>B255*B261/B261/(B258)</f>
        <v>0</v>
      </c>
      <c r="C298" s="68">
        <f t="shared" ref="C298:AC298" si="291">C255*C261/C261/(C258)</f>
        <v>0</v>
      </c>
      <c r="D298" s="68">
        <f t="shared" si="291"/>
        <v>0</v>
      </c>
      <c r="E298" s="68">
        <f t="shared" si="291"/>
        <v>0</v>
      </c>
      <c r="F298" s="68">
        <f t="shared" si="291"/>
        <v>0</v>
      </c>
      <c r="G298" s="68">
        <f t="shared" si="291"/>
        <v>0</v>
      </c>
      <c r="H298" s="68">
        <f t="shared" si="291"/>
        <v>0</v>
      </c>
      <c r="I298" s="68">
        <f t="shared" si="291"/>
        <v>0</v>
      </c>
      <c r="J298" s="68">
        <f t="shared" si="291"/>
        <v>0</v>
      </c>
      <c r="K298" s="68">
        <f t="shared" si="291"/>
        <v>0</v>
      </c>
      <c r="L298" s="68">
        <f t="shared" si="291"/>
        <v>0</v>
      </c>
      <c r="M298" s="68">
        <f t="shared" si="291"/>
        <v>0</v>
      </c>
      <c r="N298" s="68">
        <f t="shared" si="291"/>
        <v>0</v>
      </c>
      <c r="O298" s="68">
        <f t="shared" si="291"/>
        <v>0</v>
      </c>
      <c r="P298" s="68">
        <f t="shared" si="291"/>
        <v>0</v>
      </c>
      <c r="Q298" s="68">
        <f t="shared" si="291"/>
        <v>0</v>
      </c>
      <c r="R298" s="68">
        <f t="shared" si="291"/>
        <v>0</v>
      </c>
      <c r="S298" s="68">
        <f t="shared" si="291"/>
        <v>0</v>
      </c>
      <c r="T298" s="68">
        <f t="shared" si="291"/>
        <v>0</v>
      </c>
      <c r="U298" s="68">
        <f t="shared" si="291"/>
        <v>0</v>
      </c>
      <c r="V298" s="68">
        <f t="shared" si="291"/>
        <v>0</v>
      </c>
      <c r="W298" s="68">
        <f t="shared" si="291"/>
        <v>0</v>
      </c>
      <c r="X298" s="68">
        <f t="shared" si="291"/>
        <v>0</v>
      </c>
      <c r="Y298" s="68">
        <f t="shared" si="291"/>
        <v>0</v>
      </c>
      <c r="Z298" s="68">
        <f t="shared" si="291"/>
        <v>0</v>
      </c>
      <c r="AA298" s="68">
        <f t="shared" si="291"/>
        <v>0</v>
      </c>
      <c r="AB298" s="68">
        <f t="shared" si="291"/>
        <v>0</v>
      </c>
      <c r="AC298" s="68">
        <f t="shared" si="291"/>
        <v>0</v>
      </c>
    </row>
    <row r="299" spans="1:29" ht="15.75" thickBot="1" x14ac:dyDescent="0.3">
      <c r="A299" s="31" t="s">
        <v>210</v>
      </c>
      <c r="B299" s="77">
        <f>B288+B289+B290+B291+B292+B293+B294+B295+B296+B297+B298</f>
        <v>1.7683870288775261E-2</v>
      </c>
      <c r="C299" s="67">
        <f t="shared" ref="C299:AC299" si="292">C288+C289+C290+C291+C292+C293+C294+C295+C296+C297+C298</f>
        <v>1.7683870288775261E-2</v>
      </c>
      <c r="D299" s="67">
        <f t="shared" si="292"/>
        <v>1.7683870288775261E-2</v>
      </c>
      <c r="E299" s="67">
        <f t="shared" si="292"/>
        <v>1.7683870288775261E-2</v>
      </c>
      <c r="F299" s="67">
        <f t="shared" si="292"/>
        <v>1.7683870288775261E-2</v>
      </c>
      <c r="G299" s="67">
        <f t="shared" si="292"/>
        <v>1.7683870288775261E-2</v>
      </c>
      <c r="H299" s="67">
        <f t="shared" si="292"/>
        <v>1.7683870288775261E-2</v>
      </c>
      <c r="I299" s="67">
        <f t="shared" si="292"/>
        <v>1.7683870288775261E-2</v>
      </c>
      <c r="J299" s="67">
        <f t="shared" si="292"/>
        <v>1.7744514354402031E-2</v>
      </c>
      <c r="K299" s="67">
        <f t="shared" si="292"/>
        <v>1.7805158420028801E-2</v>
      </c>
      <c r="L299" s="67">
        <f t="shared" si="292"/>
        <v>1.7865802485655564E-2</v>
      </c>
      <c r="M299" s="67">
        <f t="shared" si="292"/>
        <v>1.7926446551282338E-2</v>
      </c>
      <c r="N299" s="67">
        <f t="shared" si="292"/>
        <v>1.7987090616909104E-2</v>
      </c>
      <c r="O299" s="67">
        <f t="shared" si="292"/>
        <v>1.7954012035658141E-2</v>
      </c>
      <c r="P299" s="67">
        <f t="shared" si="292"/>
        <v>1.7920933454407175E-2</v>
      </c>
      <c r="Q299" s="67">
        <f t="shared" si="292"/>
        <v>1.7887854873156212E-2</v>
      </c>
      <c r="R299" s="67">
        <f t="shared" si="292"/>
        <v>1.7854776291905246E-2</v>
      </c>
      <c r="S299" s="67">
        <f t="shared" si="292"/>
        <v>1.7821697710654279E-2</v>
      </c>
      <c r="T299" s="67">
        <f t="shared" si="292"/>
        <v>1.7788619129403316E-2</v>
      </c>
      <c r="U299" s="67">
        <f t="shared" si="292"/>
        <v>1.7755540548152354E-2</v>
      </c>
      <c r="V299" s="67">
        <f t="shared" si="292"/>
        <v>1.7722461966901384E-2</v>
      </c>
      <c r="W299" s="67">
        <f t="shared" si="292"/>
        <v>1.7689383385650421E-2</v>
      </c>
      <c r="X299" s="67">
        <f t="shared" si="292"/>
        <v>1.7656304804399454E-2</v>
      </c>
      <c r="Y299" s="67">
        <f t="shared" si="292"/>
        <v>1.7623226223148492E-2</v>
      </c>
      <c r="Z299" s="67">
        <f t="shared" si="292"/>
        <v>1.7590147641897525E-2</v>
      </c>
      <c r="AA299" s="67">
        <f t="shared" si="292"/>
        <v>1.7557069060646559E-2</v>
      </c>
      <c r="AB299" s="67">
        <f t="shared" si="292"/>
        <v>1.7523990479395596E-2</v>
      </c>
      <c r="AC299" s="67">
        <f t="shared" si="292"/>
        <v>1.7490911898144633E-2</v>
      </c>
    </row>
    <row r="301" spans="1:29" x14ac:dyDescent="0.25">
      <c r="B301" s="40"/>
    </row>
    <row r="324" spans="1:44" s="3" customFormat="1" ht="21" x14ac:dyDescent="0.35">
      <c r="A324" s="2" t="str">
        <f>'Parameter Input'!A182</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Input'!$L$159</f>
        <v>5000000</v>
      </c>
      <c r="C334" s="42">
        <f>'Parameter Input'!$M$159</f>
        <v>5000000</v>
      </c>
      <c r="D334" s="1" t="s">
        <v>15</v>
      </c>
      <c r="L334" s="51">
        <f>'Parameter Input'!$O$159</f>
        <v>12</v>
      </c>
      <c r="M334" s="52">
        <v>0</v>
      </c>
      <c r="N334" s="52">
        <v>1</v>
      </c>
      <c r="O334" s="52">
        <f>'Parameter Input'!$P$159</f>
        <v>0.9</v>
      </c>
      <c r="P334" s="53">
        <f>'Parameter Input'!$Q$159</f>
        <v>0.4</v>
      </c>
      <c r="Q334" s="4">
        <f t="shared" ref="Q334:AR343" si="293">$N334+($M334-$N334)*((1/(1+EXP(-$P334*(Q$9-$L334)))^$O334))</f>
        <v>0.9867978615748374</v>
      </c>
      <c r="R334" s="4">
        <f t="shared" si="293"/>
        <v>0.98114509762858249</v>
      </c>
      <c r="S334" s="4">
        <f t="shared" si="293"/>
        <v>0.97311898315872036</v>
      </c>
      <c r="T334" s="4">
        <f t="shared" si="293"/>
        <v>0.96177484161592774</v>
      </c>
      <c r="U334" s="4">
        <f t="shared" si="293"/>
        <v>0.94584787155511363</v>
      </c>
      <c r="V334" s="4">
        <f t="shared" si="293"/>
        <v>0.92370360150141495</v>
      </c>
      <c r="W334" s="4">
        <f t="shared" si="293"/>
        <v>0.89334463567658451</v>
      </c>
      <c r="X334" s="4">
        <f t="shared" si="293"/>
        <v>0.85254543874327005</v>
      </c>
      <c r="Y334" s="4">
        <f t="shared" si="293"/>
        <v>0.79921300652623883</v>
      </c>
      <c r="Z334" s="4">
        <f t="shared" si="293"/>
        <v>0.73204982249993378</v>
      </c>
      <c r="AA334" s="4">
        <f t="shared" si="293"/>
        <v>0.65145592958786691</v>
      </c>
      <c r="AB334" s="4">
        <f t="shared" si="293"/>
        <v>0.56032247880849573</v>
      </c>
      <c r="AC334" s="4">
        <f t="shared" si="293"/>
        <v>0.46411326873185343</v>
      </c>
      <c r="AD334" s="4">
        <f t="shared" si="293"/>
        <v>0.36979727595523937</v>
      </c>
      <c r="AE334" s="4">
        <f t="shared" si="293"/>
        <v>0.28393948637231203</v>
      </c>
      <c r="AF334" s="4">
        <f t="shared" si="293"/>
        <v>0.21097259161117732</v>
      </c>
      <c r="AG334" s="4">
        <f t="shared" si="293"/>
        <v>0.15253917653798199</v>
      </c>
      <c r="AH334" s="4">
        <f t="shared" si="293"/>
        <v>0.10795188737709993</v>
      </c>
      <c r="AI334" s="4">
        <f t="shared" si="293"/>
        <v>7.5176653938091809E-2</v>
      </c>
      <c r="AJ334" s="4">
        <f t="shared" si="293"/>
        <v>5.1742836177502194E-2</v>
      </c>
      <c r="AK334" s="4">
        <f t="shared" si="293"/>
        <v>3.5319190625345942E-2</v>
      </c>
      <c r="AL334" s="4">
        <f t="shared" si="293"/>
        <v>2.3969442072658165E-2</v>
      </c>
      <c r="AM334" s="4">
        <f t="shared" si="293"/>
        <v>1.6202243558389728E-2</v>
      </c>
      <c r="AN334" s="4">
        <f t="shared" si="293"/>
        <v>1.0922240564108399E-2</v>
      </c>
      <c r="AO334" s="4">
        <f t="shared" si="293"/>
        <v>7.3493212906090566E-3</v>
      </c>
      <c r="AP334" s="4">
        <f t="shared" si="293"/>
        <v>4.9390262185057265E-3</v>
      </c>
      <c r="AQ334" s="4">
        <f t="shared" si="293"/>
        <v>3.3164275492956197E-3</v>
      </c>
      <c r="AR334" s="4">
        <f t="shared" si="293"/>
        <v>2.2256362146679809E-3</v>
      </c>
    </row>
    <row r="335" spans="1:44" x14ac:dyDescent="0.25">
      <c r="A335" s="24" t="s">
        <v>28</v>
      </c>
      <c r="B335" s="60">
        <f>'Parameter Input'!$L$160</f>
        <v>-750000</v>
      </c>
      <c r="C335" s="61">
        <f>'Parameter Input'!$M$160</f>
        <v>-750000</v>
      </c>
      <c r="D335" s="1" t="s">
        <v>15</v>
      </c>
      <c r="L335" s="54">
        <f>'Parameter Input'!$O$160</f>
        <v>12</v>
      </c>
      <c r="M335" s="37">
        <v>0</v>
      </c>
      <c r="N335" s="37">
        <v>1</v>
      </c>
      <c r="O335" s="37">
        <f>'Parameter Input'!$P$160</f>
        <v>0.9</v>
      </c>
      <c r="P335" s="55">
        <f>'Parameter Input'!$Q$160</f>
        <v>0.4</v>
      </c>
      <c r="Q335" s="4">
        <f t="shared" si="293"/>
        <v>0.9867978615748374</v>
      </c>
      <c r="R335" s="4">
        <f t="shared" si="293"/>
        <v>0.98114509762858249</v>
      </c>
      <c r="S335" s="4">
        <f t="shared" si="293"/>
        <v>0.97311898315872036</v>
      </c>
      <c r="T335" s="4">
        <f t="shared" si="293"/>
        <v>0.96177484161592774</v>
      </c>
      <c r="U335" s="4">
        <f t="shared" si="293"/>
        <v>0.94584787155511363</v>
      </c>
      <c r="V335" s="4">
        <f t="shared" si="293"/>
        <v>0.92370360150141495</v>
      </c>
      <c r="W335" s="4">
        <f t="shared" si="293"/>
        <v>0.89334463567658451</v>
      </c>
      <c r="X335" s="4">
        <f t="shared" si="293"/>
        <v>0.85254543874327005</v>
      </c>
      <c r="Y335" s="4">
        <f t="shared" si="293"/>
        <v>0.79921300652623883</v>
      </c>
      <c r="Z335" s="4">
        <f t="shared" si="293"/>
        <v>0.73204982249993378</v>
      </c>
      <c r="AA335" s="4">
        <f t="shared" si="293"/>
        <v>0.65145592958786691</v>
      </c>
      <c r="AB335" s="4">
        <f t="shared" si="293"/>
        <v>0.56032247880849573</v>
      </c>
      <c r="AC335" s="4">
        <f t="shared" si="293"/>
        <v>0.46411326873185343</v>
      </c>
      <c r="AD335" s="4">
        <f t="shared" si="293"/>
        <v>0.36979727595523937</v>
      </c>
      <c r="AE335" s="4">
        <f t="shared" si="293"/>
        <v>0.28393948637231203</v>
      </c>
      <c r="AF335" s="4">
        <f t="shared" si="293"/>
        <v>0.21097259161117732</v>
      </c>
      <c r="AG335" s="4">
        <f t="shared" si="293"/>
        <v>0.15253917653798199</v>
      </c>
      <c r="AH335" s="4">
        <f t="shared" si="293"/>
        <v>0.10795188737709993</v>
      </c>
      <c r="AI335" s="4">
        <f t="shared" si="293"/>
        <v>7.5176653938091809E-2</v>
      </c>
      <c r="AJ335" s="4">
        <f t="shared" si="293"/>
        <v>5.1742836177502194E-2</v>
      </c>
      <c r="AK335" s="4">
        <f t="shared" si="293"/>
        <v>3.5319190625345942E-2</v>
      </c>
      <c r="AL335" s="4">
        <f t="shared" si="293"/>
        <v>2.3969442072658165E-2</v>
      </c>
      <c r="AM335" s="4">
        <f t="shared" si="293"/>
        <v>1.6202243558389728E-2</v>
      </c>
      <c r="AN335" s="4">
        <f t="shared" si="293"/>
        <v>1.0922240564108399E-2</v>
      </c>
      <c r="AO335" s="4">
        <f t="shared" si="293"/>
        <v>7.3493212906090566E-3</v>
      </c>
      <c r="AP335" s="4">
        <f t="shared" si="293"/>
        <v>4.9390262185057265E-3</v>
      </c>
      <c r="AQ335" s="4">
        <f t="shared" si="293"/>
        <v>3.3164275492956197E-3</v>
      </c>
      <c r="AR335" s="4">
        <f t="shared" si="293"/>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93"/>
        <v>0.9867978615748374</v>
      </c>
      <c r="R336" s="4">
        <f t="shared" si="293"/>
        <v>0.98114509762858249</v>
      </c>
      <c r="S336" s="4">
        <f t="shared" si="293"/>
        <v>0.97311898315872036</v>
      </c>
      <c r="T336" s="4">
        <f t="shared" si="293"/>
        <v>0.96177484161592774</v>
      </c>
      <c r="U336" s="4">
        <f t="shared" si="293"/>
        <v>0.94584787155511363</v>
      </c>
      <c r="V336" s="4">
        <f t="shared" si="293"/>
        <v>0.92370360150141495</v>
      </c>
      <c r="W336" s="4">
        <f t="shared" si="293"/>
        <v>0.89334463567658451</v>
      </c>
      <c r="X336" s="4">
        <f t="shared" si="293"/>
        <v>0.85254543874327005</v>
      </c>
      <c r="Y336" s="4">
        <f t="shared" si="293"/>
        <v>0.79921300652623883</v>
      </c>
      <c r="Z336" s="4">
        <f t="shared" si="293"/>
        <v>0.73204982249993378</v>
      </c>
      <c r="AA336" s="4">
        <f t="shared" si="293"/>
        <v>0.65145592958786691</v>
      </c>
      <c r="AB336" s="4">
        <f t="shared" si="293"/>
        <v>0.56032247880849573</v>
      </c>
      <c r="AC336" s="4">
        <f t="shared" si="293"/>
        <v>0.46411326873185343</v>
      </c>
      <c r="AD336" s="4">
        <f t="shared" si="293"/>
        <v>0.36979727595523937</v>
      </c>
      <c r="AE336" s="4">
        <f t="shared" si="293"/>
        <v>0.28393948637231203</v>
      </c>
      <c r="AF336" s="4">
        <f t="shared" si="293"/>
        <v>0.21097259161117732</v>
      </c>
      <c r="AG336" s="4">
        <f t="shared" si="293"/>
        <v>0.15253917653798199</v>
      </c>
      <c r="AH336" s="4">
        <f t="shared" si="293"/>
        <v>0.10795188737709993</v>
      </c>
      <c r="AI336" s="4">
        <f t="shared" si="293"/>
        <v>7.5176653938091809E-2</v>
      </c>
      <c r="AJ336" s="4">
        <f t="shared" si="293"/>
        <v>5.1742836177502194E-2</v>
      </c>
      <c r="AK336" s="4">
        <f t="shared" si="293"/>
        <v>3.5319190625345942E-2</v>
      </c>
      <c r="AL336" s="4">
        <f t="shared" si="293"/>
        <v>2.3969442072658165E-2</v>
      </c>
      <c r="AM336" s="4">
        <f t="shared" si="293"/>
        <v>1.6202243558389728E-2</v>
      </c>
      <c r="AN336" s="4">
        <f t="shared" si="293"/>
        <v>1.0922240564108399E-2</v>
      </c>
      <c r="AO336" s="4">
        <f t="shared" si="293"/>
        <v>7.3493212906090566E-3</v>
      </c>
      <c r="AP336" s="4">
        <f t="shared" si="293"/>
        <v>4.9390262185057265E-3</v>
      </c>
      <c r="AQ336" s="4">
        <f t="shared" si="293"/>
        <v>3.3164275492956197E-3</v>
      </c>
      <c r="AR336" s="4">
        <f t="shared" si="293"/>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93"/>
        <v>0.9867978615748374</v>
      </c>
      <c r="R337" s="4">
        <f t="shared" si="293"/>
        <v>0.98114509762858249</v>
      </c>
      <c r="S337" s="4">
        <f t="shared" si="293"/>
        <v>0.97311898315872036</v>
      </c>
      <c r="T337" s="4">
        <f t="shared" si="293"/>
        <v>0.96177484161592774</v>
      </c>
      <c r="U337" s="4">
        <f t="shared" si="293"/>
        <v>0.94584787155511363</v>
      </c>
      <c r="V337" s="4">
        <f t="shared" si="293"/>
        <v>0.92370360150141495</v>
      </c>
      <c r="W337" s="4">
        <f t="shared" si="293"/>
        <v>0.89334463567658451</v>
      </c>
      <c r="X337" s="4">
        <f t="shared" si="293"/>
        <v>0.85254543874327005</v>
      </c>
      <c r="Y337" s="4">
        <f t="shared" si="293"/>
        <v>0.79921300652623883</v>
      </c>
      <c r="Z337" s="4">
        <f t="shared" si="293"/>
        <v>0.73204982249993378</v>
      </c>
      <c r="AA337" s="4">
        <f t="shared" si="293"/>
        <v>0.65145592958786691</v>
      </c>
      <c r="AB337" s="4">
        <f t="shared" si="293"/>
        <v>0.56032247880849573</v>
      </c>
      <c r="AC337" s="4">
        <f t="shared" si="293"/>
        <v>0.46411326873185343</v>
      </c>
      <c r="AD337" s="4">
        <f t="shared" si="293"/>
        <v>0.36979727595523937</v>
      </c>
      <c r="AE337" s="4">
        <f t="shared" si="293"/>
        <v>0.28393948637231203</v>
      </c>
      <c r="AF337" s="4">
        <f t="shared" si="293"/>
        <v>0.21097259161117732</v>
      </c>
      <c r="AG337" s="4">
        <f t="shared" si="293"/>
        <v>0.15253917653798199</v>
      </c>
      <c r="AH337" s="4">
        <f t="shared" si="293"/>
        <v>0.10795188737709993</v>
      </c>
      <c r="AI337" s="4">
        <f t="shared" si="293"/>
        <v>7.5176653938091809E-2</v>
      </c>
      <c r="AJ337" s="4">
        <f t="shared" si="293"/>
        <v>5.1742836177502194E-2</v>
      </c>
      <c r="AK337" s="4">
        <f t="shared" si="293"/>
        <v>3.5319190625345942E-2</v>
      </c>
      <c r="AL337" s="4">
        <f t="shared" si="293"/>
        <v>2.3969442072658165E-2</v>
      </c>
      <c r="AM337" s="4">
        <f t="shared" si="293"/>
        <v>1.6202243558389728E-2</v>
      </c>
      <c r="AN337" s="4">
        <f t="shared" si="293"/>
        <v>1.0922240564108399E-2</v>
      </c>
      <c r="AO337" s="4">
        <f t="shared" si="293"/>
        <v>7.3493212906090566E-3</v>
      </c>
      <c r="AP337" s="4">
        <f t="shared" si="293"/>
        <v>4.9390262185057265E-3</v>
      </c>
      <c r="AQ337" s="4">
        <f t="shared" si="293"/>
        <v>3.3164275492956197E-3</v>
      </c>
      <c r="AR337" s="4">
        <f t="shared" si="293"/>
        <v>2.2256362146679809E-3</v>
      </c>
    </row>
    <row r="338" spans="1:44" x14ac:dyDescent="0.25">
      <c r="A338" s="24" t="s">
        <v>79</v>
      </c>
      <c r="B338" s="45">
        <f>'Parameter Input'!$L$166</f>
        <v>0.06</v>
      </c>
      <c r="C338" s="46">
        <f>'Parameter Input'!$M$166</f>
        <v>0.06</v>
      </c>
      <c r="D338" s="1" t="s">
        <v>57</v>
      </c>
      <c r="L338" s="54">
        <f>'Parameter Input'!$O$166</f>
        <v>12</v>
      </c>
      <c r="M338" s="37">
        <v>0</v>
      </c>
      <c r="N338" s="37">
        <v>1</v>
      </c>
      <c r="O338" s="37">
        <f>'Parameter Input'!$P$166</f>
        <v>0.9</v>
      </c>
      <c r="P338" s="55">
        <f>'Parameter Input'!$Q$166</f>
        <v>0.4</v>
      </c>
      <c r="Q338" s="4">
        <f t="shared" si="293"/>
        <v>0.9867978615748374</v>
      </c>
      <c r="R338" s="4">
        <f t="shared" si="293"/>
        <v>0.98114509762858249</v>
      </c>
      <c r="S338" s="4">
        <f t="shared" si="293"/>
        <v>0.97311898315872036</v>
      </c>
      <c r="T338" s="4">
        <f t="shared" si="293"/>
        <v>0.96177484161592774</v>
      </c>
      <c r="U338" s="4">
        <f t="shared" si="293"/>
        <v>0.94584787155511363</v>
      </c>
      <c r="V338" s="4">
        <f t="shared" si="293"/>
        <v>0.92370360150141495</v>
      </c>
      <c r="W338" s="4">
        <f t="shared" si="293"/>
        <v>0.89334463567658451</v>
      </c>
      <c r="X338" s="4">
        <f t="shared" si="293"/>
        <v>0.85254543874327005</v>
      </c>
      <c r="Y338" s="4">
        <f t="shared" si="293"/>
        <v>0.79921300652623883</v>
      </c>
      <c r="Z338" s="4">
        <f t="shared" si="293"/>
        <v>0.73204982249993378</v>
      </c>
      <c r="AA338" s="4">
        <f t="shared" si="293"/>
        <v>0.65145592958786691</v>
      </c>
      <c r="AB338" s="4">
        <f t="shared" si="293"/>
        <v>0.56032247880849573</v>
      </c>
      <c r="AC338" s="4">
        <f t="shared" si="293"/>
        <v>0.46411326873185343</v>
      </c>
      <c r="AD338" s="4">
        <f t="shared" si="293"/>
        <v>0.36979727595523937</v>
      </c>
      <c r="AE338" s="4">
        <f t="shared" si="293"/>
        <v>0.28393948637231203</v>
      </c>
      <c r="AF338" s="4">
        <f t="shared" si="293"/>
        <v>0.21097259161117732</v>
      </c>
      <c r="AG338" s="4">
        <f t="shared" si="293"/>
        <v>0.15253917653798199</v>
      </c>
      <c r="AH338" s="4">
        <f t="shared" si="293"/>
        <v>0.10795188737709993</v>
      </c>
      <c r="AI338" s="4">
        <f t="shared" si="293"/>
        <v>7.5176653938091809E-2</v>
      </c>
      <c r="AJ338" s="4">
        <f t="shared" si="293"/>
        <v>5.1742836177502194E-2</v>
      </c>
      <c r="AK338" s="4">
        <f t="shared" si="293"/>
        <v>3.5319190625345942E-2</v>
      </c>
      <c r="AL338" s="4">
        <f t="shared" si="293"/>
        <v>2.3969442072658165E-2</v>
      </c>
      <c r="AM338" s="4">
        <f t="shared" si="293"/>
        <v>1.6202243558389728E-2</v>
      </c>
      <c r="AN338" s="4">
        <f t="shared" si="293"/>
        <v>1.0922240564108399E-2</v>
      </c>
      <c r="AO338" s="4">
        <f t="shared" si="293"/>
        <v>7.3493212906090566E-3</v>
      </c>
      <c r="AP338" s="4">
        <f t="shared" si="293"/>
        <v>4.9390262185057265E-3</v>
      </c>
      <c r="AQ338" s="4">
        <f t="shared" si="293"/>
        <v>3.3164275492956197E-3</v>
      </c>
      <c r="AR338" s="4">
        <f t="shared" si="293"/>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93"/>
        <v>0.9867978615748374</v>
      </c>
      <c r="R339" s="4">
        <f t="shared" si="293"/>
        <v>0.98114509762858249</v>
      </c>
      <c r="S339" s="4">
        <f t="shared" si="293"/>
        <v>0.97311898315872036</v>
      </c>
      <c r="T339" s="4">
        <f t="shared" si="293"/>
        <v>0.96177484161592774</v>
      </c>
      <c r="U339" s="4">
        <f t="shared" si="293"/>
        <v>0.94584787155511363</v>
      </c>
      <c r="V339" s="4">
        <f t="shared" si="293"/>
        <v>0.92370360150141495</v>
      </c>
      <c r="W339" s="4">
        <f t="shared" si="293"/>
        <v>0.89334463567658451</v>
      </c>
      <c r="X339" s="4">
        <f t="shared" si="293"/>
        <v>0.85254543874327005</v>
      </c>
      <c r="Y339" s="4">
        <f t="shared" si="293"/>
        <v>0.79921300652623883</v>
      </c>
      <c r="Z339" s="4">
        <f t="shared" si="293"/>
        <v>0.73204982249993378</v>
      </c>
      <c r="AA339" s="4">
        <f t="shared" si="293"/>
        <v>0.65145592958786691</v>
      </c>
      <c r="AB339" s="4">
        <f t="shared" si="293"/>
        <v>0.56032247880849573</v>
      </c>
      <c r="AC339" s="4">
        <f t="shared" si="293"/>
        <v>0.46411326873185343</v>
      </c>
      <c r="AD339" s="4">
        <f t="shared" si="293"/>
        <v>0.36979727595523937</v>
      </c>
      <c r="AE339" s="4">
        <f t="shared" si="293"/>
        <v>0.28393948637231203</v>
      </c>
      <c r="AF339" s="4">
        <f t="shared" si="293"/>
        <v>0.21097259161117732</v>
      </c>
      <c r="AG339" s="4">
        <f t="shared" si="293"/>
        <v>0.15253917653798199</v>
      </c>
      <c r="AH339" s="4">
        <f t="shared" si="293"/>
        <v>0.10795188737709993</v>
      </c>
      <c r="AI339" s="4">
        <f t="shared" si="293"/>
        <v>7.5176653938091809E-2</v>
      </c>
      <c r="AJ339" s="4">
        <f t="shared" si="293"/>
        <v>5.1742836177502194E-2</v>
      </c>
      <c r="AK339" s="4">
        <f t="shared" si="293"/>
        <v>3.5319190625345942E-2</v>
      </c>
      <c r="AL339" s="4">
        <f t="shared" si="293"/>
        <v>2.3969442072658165E-2</v>
      </c>
      <c r="AM339" s="4">
        <f t="shared" si="293"/>
        <v>1.6202243558389728E-2</v>
      </c>
      <c r="AN339" s="4">
        <f t="shared" si="293"/>
        <v>1.0922240564108399E-2</v>
      </c>
      <c r="AO339" s="4">
        <f t="shared" si="293"/>
        <v>7.3493212906090566E-3</v>
      </c>
      <c r="AP339" s="4">
        <f t="shared" si="293"/>
        <v>4.9390262185057265E-3</v>
      </c>
      <c r="AQ339" s="4">
        <f t="shared" si="293"/>
        <v>3.3164275492956197E-3</v>
      </c>
      <c r="AR339" s="4">
        <f t="shared" si="293"/>
        <v>2.2256362146679809E-3</v>
      </c>
    </row>
    <row r="340" spans="1:44" x14ac:dyDescent="0.25">
      <c r="A340" s="24" t="s">
        <v>52</v>
      </c>
      <c r="B340" s="43">
        <f>'Parameter Input'!$L$162</f>
        <v>650000</v>
      </c>
      <c r="C340" s="44">
        <f>'Parameter Input'!$M$162</f>
        <v>650000</v>
      </c>
      <c r="D340" s="1" t="s">
        <v>38</v>
      </c>
      <c r="L340" s="54">
        <f>'Parameter Input'!$O$162</f>
        <v>12</v>
      </c>
      <c r="M340" s="37">
        <v>0</v>
      </c>
      <c r="N340" s="37">
        <v>1</v>
      </c>
      <c r="O340" s="37">
        <f>'Parameter Input'!$P$162</f>
        <v>0.9</v>
      </c>
      <c r="P340" s="55">
        <f>'Parameter Input'!$Q$162</f>
        <v>0.4</v>
      </c>
      <c r="Q340" s="4">
        <f t="shared" si="293"/>
        <v>0.9867978615748374</v>
      </c>
      <c r="R340" s="4">
        <f t="shared" si="293"/>
        <v>0.98114509762858249</v>
      </c>
      <c r="S340" s="4">
        <f t="shared" si="293"/>
        <v>0.97311898315872036</v>
      </c>
      <c r="T340" s="4">
        <f t="shared" si="293"/>
        <v>0.96177484161592774</v>
      </c>
      <c r="U340" s="4">
        <f t="shared" si="293"/>
        <v>0.94584787155511363</v>
      </c>
      <c r="V340" s="4">
        <f t="shared" si="293"/>
        <v>0.92370360150141495</v>
      </c>
      <c r="W340" s="4">
        <f t="shared" si="293"/>
        <v>0.89334463567658451</v>
      </c>
      <c r="X340" s="4">
        <f t="shared" si="293"/>
        <v>0.85254543874327005</v>
      </c>
      <c r="Y340" s="4">
        <f t="shared" si="293"/>
        <v>0.79921300652623883</v>
      </c>
      <c r="Z340" s="4">
        <f t="shared" si="293"/>
        <v>0.73204982249993378</v>
      </c>
      <c r="AA340" s="4">
        <f t="shared" si="293"/>
        <v>0.65145592958786691</v>
      </c>
      <c r="AB340" s="4">
        <f t="shared" si="293"/>
        <v>0.56032247880849573</v>
      </c>
      <c r="AC340" s="4">
        <f t="shared" si="293"/>
        <v>0.46411326873185343</v>
      </c>
      <c r="AD340" s="4">
        <f t="shared" si="293"/>
        <v>0.36979727595523937</v>
      </c>
      <c r="AE340" s="4">
        <f t="shared" si="293"/>
        <v>0.28393948637231203</v>
      </c>
      <c r="AF340" s="4">
        <f t="shared" si="293"/>
        <v>0.21097259161117732</v>
      </c>
      <c r="AG340" s="4">
        <f t="shared" si="293"/>
        <v>0.15253917653798199</v>
      </c>
      <c r="AH340" s="4">
        <f t="shared" si="293"/>
        <v>0.10795188737709993</v>
      </c>
      <c r="AI340" s="4">
        <f t="shared" si="293"/>
        <v>7.5176653938091809E-2</v>
      </c>
      <c r="AJ340" s="4">
        <f t="shared" si="293"/>
        <v>5.1742836177502194E-2</v>
      </c>
      <c r="AK340" s="4">
        <f t="shared" si="293"/>
        <v>3.5319190625345942E-2</v>
      </c>
      <c r="AL340" s="4">
        <f t="shared" si="293"/>
        <v>2.3969442072658165E-2</v>
      </c>
      <c r="AM340" s="4">
        <f t="shared" si="293"/>
        <v>1.6202243558389728E-2</v>
      </c>
      <c r="AN340" s="4">
        <f t="shared" si="293"/>
        <v>1.0922240564108399E-2</v>
      </c>
      <c r="AO340" s="4">
        <f t="shared" si="293"/>
        <v>7.3493212906090566E-3</v>
      </c>
      <c r="AP340" s="4">
        <f t="shared" si="293"/>
        <v>4.9390262185057265E-3</v>
      </c>
      <c r="AQ340" s="4">
        <f t="shared" si="293"/>
        <v>3.3164275492956197E-3</v>
      </c>
      <c r="AR340" s="4">
        <f t="shared" si="293"/>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93"/>
        <v>0.9867978615748374</v>
      </c>
      <c r="R341" s="4">
        <f t="shared" si="293"/>
        <v>0.98114509762858249</v>
      </c>
      <c r="S341" s="4">
        <f t="shared" si="293"/>
        <v>0.97311898315872036</v>
      </c>
      <c r="T341" s="4">
        <f t="shared" si="293"/>
        <v>0.96177484161592774</v>
      </c>
      <c r="U341" s="4">
        <f t="shared" si="293"/>
        <v>0.94584787155511363</v>
      </c>
      <c r="V341" s="4">
        <f t="shared" si="293"/>
        <v>0.92370360150141495</v>
      </c>
      <c r="W341" s="4">
        <f t="shared" si="293"/>
        <v>0.89334463567658451</v>
      </c>
      <c r="X341" s="4">
        <f t="shared" si="293"/>
        <v>0.85254543874327005</v>
      </c>
      <c r="Y341" s="4">
        <f t="shared" si="293"/>
        <v>0.79921300652623883</v>
      </c>
      <c r="Z341" s="4">
        <f t="shared" si="293"/>
        <v>0.73204982249993378</v>
      </c>
      <c r="AA341" s="4">
        <f t="shared" si="293"/>
        <v>0.65145592958786691</v>
      </c>
      <c r="AB341" s="4">
        <f t="shared" si="293"/>
        <v>0.56032247880849573</v>
      </c>
      <c r="AC341" s="4">
        <f t="shared" si="293"/>
        <v>0.46411326873185343</v>
      </c>
      <c r="AD341" s="4">
        <f t="shared" si="293"/>
        <v>0.36979727595523937</v>
      </c>
      <c r="AE341" s="4">
        <f t="shared" si="293"/>
        <v>0.28393948637231203</v>
      </c>
      <c r="AF341" s="4">
        <f t="shared" si="293"/>
        <v>0.21097259161117732</v>
      </c>
      <c r="AG341" s="4">
        <f t="shared" si="293"/>
        <v>0.15253917653798199</v>
      </c>
      <c r="AH341" s="4">
        <f t="shared" si="293"/>
        <v>0.10795188737709993</v>
      </c>
      <c r="AI341" s="4">
        <f t="shared" si="293"/>
        <v>7.5176653938091809E-2</v>
      </c>
      <c r="AJ341" s="4">
        <f t="shared" si="293"/>
        <v>5.1742836177502194E-2</v>
      </c>
      <c r="AK341" s="4">
        <f t="shared" si="293"/>
        <v>3.5319190625345942E-2</v>
      </c>
      <c r="AL341" s="4">
        <f t="shared" si="293"/>
        <v>2.3969442072658165E-2</v>
      </c>
      <c r="AM341" s="4">
        <f t="shared" si="293"/>
        <v>1.6202243558389728E-2</v>
      </c>
      <c r="AN341" s="4">
        <f t="shared" si="293"/>
        <v>1.0922240564108399E-2</v>
      </c>
      <c r="AO341" s="4">
        <f t="shared" si="293"/>
        <v>7.3493212906090566E-3</v>
      </c>
      <c r="AP341" s="4">
        <f t="shared" si="293"/>
        <v>4.9390262185057265E-3</v>
      </c>
      <c r="AQ341" s="4">
        <f t="shared" si="293"/>
        <v>3.3164275492956197E-3</v>
      </c>
      <c r="AR341" s="4">
        <f t="shared" si="293"/>
        <v>2.2256362146679809E-3</v>
      </c>
    </row>
    <row r="342" spans="1:44" x14ac:dyDescent="0.25">
      <c r="A342" s="24" t="s">
        <v>59</v>
      </c>
      <c r="B342" s="47">
        <f>'Parameter Input'!$L$163</f>
        <v>31.614305882352937</v>
      </c>
      <c r="C342" s="48">
        <f>'Parameter Input'!$M$163</f>
        <v>31.614305882352937</v>
      </c>
      <c r="D342" s="1" t="s">
        <v>60</v>
      </c>
      <c r="L342" s="54">
        <f>'Parameter Input'!$O$163</f>
        <v>12</v>
      </c>
      <c r="M342" s="37">
        <v>0</v>
      </c>
      <c r="N342" s="37">
        <v>1</v>
      </c>
      <c r="O342" s="37">
        <f>'Parameter Input'!$P$163</f>
        <v>0.9</v>
      </c>
      <c r="P342" s="55">
        <f>'Parameter Input'!$Q$163</f>
        <v>0.4</v>
      </c>
      <c r="Q342" s="4">
        <f t="shared" si="293"/>
        <v>0.9867978615748374</v>
      </c>
      <c r="R342" s="4">
        <f t="shared" si="293"/>
        <v>0.98114509762858249</v>
      </c>
      <c r="S342" s="4">
        <f t="shared" si="293"/>
        <v>0.97311898315872036</v>
      </c>
      <c r="T342" s="4">
        <f t="shared" si="293"/>
        <v>0.96177484161592774</v>
      </c>
      <c r="U342" s="4">
        <f t="shared" si="293"/>
        <v>0.94584787155511363</v>
      </c>
      <c r="V342" s="4">
        <f t="shared" si="293"/>
        <v>0.92370360150141495</v>
      </c>
      <c r="W342" s="4">
        <f t="shared" si="293"/>
        <v>0.89334463567658451</v>
      </c>
      <c r="X342" s="4">
        <f t="shared" si="293"/>
        <v>0.85254543874327005</v>
      </c>
      <c r="Y342" s="4">
        <f t="shared" si="293"/>
        <v>0.79921300652623883</v>
      </c>
      <c r="Z342" s="4">
        <f t="shared" si="293"/>
        <v>0.73204982249993378</v>
      </c>
      <c r="AA342" s="4">
        <f t="shared" si="293"/>
        <v>0.65145592958786691</v>
      </c>
      <c r="AB342" s="4">
        <f t="shared" si="293"/>
        <v>0.56032247880849573</v>
      </c>
      <c r="AC342" s="4">
        <f t="shared" si="293"/>
        <v>0.46411326873185343</v>
      </c>
      <c r="AD342" s="4">
        <f t="shared" si="293"/>
        <v>0.36979727595523937</v>
      </c>
      <c r="AE342" s="4">
        <f t="shared" si="293"/>
        <v>0.28393948637231203</v>
      </c>
      <c r="AF342" s="4">
        <f t="shared" si="293"/>
        <v>0.21097259161117732</v>
      </c>
      <c r="AG342" s="4">
        <f t="shared" si="293"/>
        <v>0.15253917653798199</v>
      </c>
      <c r="AH342" s="4">
        <f t="shared" si="293"/>
        <v>0.10795188737709993</v>
      </c>
      <c r="AI342" s="4">
        <f t="shared" si="293"/>
        <v>7.5176653938091809E-2</v>
      </c>
      <c r="AJ342" s="4">
        <f t="shared" si="293"/>
        <v>5.1742836177502194E-2</v>
      </c>
      <c r="AK342" s="4">
        <f t="shared" si="293"/>
        <v>3.5319190625345942E-2</v>
      </c>
      <c r="AL342" s="4">
        <f t="shared" si="293"/>
        <v>2.3969442072658165E-2</v>
      </c>
      <c r="AM342" s="4">
        <f t="shared" si="293"/>
        <v>1.6202243558389728E-2</v>
      </c>
      <c r="AN342" s="4">
        <f t="shared" si="293"/>
        <v>1.0922240564108399E-2</v>
      </c>
      <c r="AO342" s="4">
        <f t="shared" si="293"/>
        <v>7.3493212906090566E-3</v>
      </c>
      <c r="AP342" s="4">
        <f t="shared" si="293"/>
        <v>4.9390262185057265E-3</v>
      </c>
      <c r="AQ342" s="4">
        <f t="shared" si="293"/>
        <v>3.3164275492956197E-3</v>
      </c>
      <c r="AR342" s="4">
        <f t="shared" si="293"/>
        <v>2.2256362146679809E-3</v>
      </c>
    </row>
    <row r="343" spans="1:44" x14ac:dyDescent="0.25">
      <c r="A343" s="24" t="s">
        <v>67</v>
      </c>
      <c r="B343" s="45">
        <f>'Parameter Input'!$L$164</f>
        <v>0.13371034051801745</v>
      </c>
      <c r="C343" s="46">
        <f>'Parameter Input'!$M$164</f>
        <v>8.7585019329602734E-2</v>
      </c>
      <c r="D343" s="1" t="s">
        <v>68</v>
      </c>
      <c r="L343" s="54">
        <f>'Parameter Input'!$O$164</f>
        <v>12</v>
      </c>
      <c r="M343" s="37">
        <v>0</v>
      </c>
      <c r="N343" s="37">
        <v>1</v>
      </c>
      <c r="O343" s="37">
        <f>'Parameter Input'!$P$164</f>
        <v>0.9</v>
      </c>
      <c r="P343" s="55">
        <f>'Parameter Input'!$Q$164</f>
        <v>0.4</v>
      </c>
      <c r="Q343" s="4">
        <f t="shared" si="293"/>
        <v>0.9867978615748374</v>
      </c>
      <c r="R343" s="4">
        <f t="shared" si="293"/>
        <v>0.98114509762858249</v>
      </c>
      <c r="S343" s="4">
        <f t="shared" si="293"/>
        <v>0.97311898315872036</v>
      </c>
      <c r="T343" s="4">
        <f t="shared" ref="T343:AI350" si="294">$N343+($M343-$N343)*((1/(1+EXP(-$P343*(T$9-$L343)))^$O343))</f>
        <v>0.96177484161592774</v>
      </c>
      <c r="U343" s="4">
        <f t="shared" si="294"/>
        <v>0.94584787155511363</v>
      </c>
      <c r="V343" s="4">
        <f t="shared" si="294"/>
        <v>0.92370360150141495</v>
      </c>
      <c r="W343" s="4">
        <f t="shared" si="294"/>
        <v>0.89334463567658451</v>
      </c>
      <c r="X343" s="4">
        <f t="shared" si="294"/>
        <v>0.85254543874327005</v>
      </c>
      <c r="Y343" s="4">
        <f t="shared" si="294"/>
        <v>0.79921300652623883</v>
      </c>
      <c r="Z343" s="4">
        <f t="shared" si="294"/>
        <v>0.73204982249993378</v>
      </c>
      <c r="AA343" s="4">
        <f t="shared" si="294"/>
        <v>0.65145592958786691</v>
      </c>
      <c r="AB343" s="4">
        <f t="shared" si="294"/>
        <v>0.56032247880849573</v>
      </c>
      <c r="AC343" s="4">
        <f t="shared" si="294"/>
        <v>0.46411326873185343</v>
      </c>
      <c r="AD343" s="4">
        <f t="shared" si="294"/>
        <v>0.36979727595523937</v>
      </c>
      <c r="AE343" s="4">
        <f t="shared" si="294"/>
        <v>0.28393948637231203</v>
      </c>
      <c r="AF343" s="4">
        <f t="shared" si="294"/>
        <v>0.21097259161117732</v>
      </c>
      <c r="AG343" s="4">
        <f t="shared" si="294"/>
        <v>0.15253917653798199</v>
      </c>
      <c r="AH343" s="4">
        <f t="shared" si="294"/>
        <v>0.10795188737709993</v>
      </c>
      <c r="AI343" s="4">
        <f t="shared" si="294"/>
        <v>7.5176653938091809E-2</v>
      </c>
      <c r="AJ343" s="4">
        <f t="shared" ref="AJ343:AR350" si="295">$N343+($M343-$N343)*((1/(1+EXP(-$P343*(AJ$9-$L343)))^$O343))</f>
        <v>5.1742836177502194E-2</v>
      </c>
      <c r="AK343" s="4">
        <f t="shared" si="295"/>
        <v>3.5319190625345942E-2</v>
      </c>
      <c r="AL343" s="4">
        <f t="shared" si="295"/>
        <v>2.3969442072658165E-2</v>
      </c>
      <c r="AM343" s="4">
        <f t="shared" si="295"/>
        <v>1.6202243558389728E-2</v>
      </c>
      <c r="AN343" s="4">
        <f t="shared" si="295"/>
        <v>1.0922240564108399E-2</v>
      </c>
      <c r="AO343" s="4">
        <f t="shared" si="295"/>
        <v>7.3493212906090566E-3</v>
      </c>
      <c r="AP343" s="4">
        <f t="shared" si="295"/>
        <v>4.9390262185057265E-3</v>
      </c>
      <c r="AQ343" s="4">
        <f t="shared" si="295"/>
        <v>3.3164275492956197E-3</v>
      </c>
      <c r="AR343" s="4">
        <f t="shared" si="295"/>
        <v>2.2256362146679809E-3</v>
      </c>
    </row>
    <row r="344" spans="1:44" x14ac:dyDescent="0.25">
      <c r="A344" s="24" t="s">
        <v>206</v>
      </c>
      <c r="B344" s="115">
        <f>'Parameter Input'!$L$167</f>
        <v>0</v>
      </c>
      <c r="C344" s="116">
        <f>'Parameter Input'!$M$167</f>
        <v>0</v>
      </c>
      <c r="D344" s="1" t="s">
        <v>76</v>
      </c>
      <c r="L344" s="54">
        <f>'Parameter Input'!$O$167</f>
        <v>17</v>
      </c>
      <c r="M344" s="37">
        <v>0</v>
      </c>
      <c r="N344" s="37">
        <v>1</v>
      </c>
      <c r="O344" s="37">
        <f>'Parameter Input'!$P$167</f>
        <v>0.9</v>
      </c>
      <c r="P344" s="55">
        <f>'Parameter Input'!$Q$167</f>
        <v>0.4</v>
      </c>
      <c r="Q344" s="4">
        <f t="shared" ref="Q344:AR344" si="296">$N344+($M344-$N344)*((1/(1+EXP(-$P344*(Q$9-$L344)))^$O344))</f>
        <v>0.99780374543478534</v>
      </c>
      <c r="R344" s="4">
        <f t="shared" si="296"/>
        <v>0.99685359315256394</v>
      </c>
      <c r="S344" s="4">
        <f t="shared" si="296"/>
        <v>0.99549347132349975</v>
      </c>
      <c r="T344" s="4">
        <f t="shared" si="296"/>
        <v>0.99354772139898062</v>
      </c>
      <c r="U344" s="4">
        <f t="shared" si="296"/>
        <v>0.99076681540580536</v>
      </c>
      <c r="V344" s="4">
        <f t="shared" si="296"/>
        <v>0.9867978615748374</v>
      </c>
      <c r="W344" s="4">
        <f t="shared" si="296"/>
        <v>0.98114509762858249</v>
      </c>
      <c r="X344" s="4">
        <f t="shared" si="296"/>
        <v>0.97311898315872036</v>
      </c>
      <c r="Y344" s="4">
        <f t="shared" si="296"/>
        <v>0.96177484161592774</v>
      </c>
      <c r="Z344" s="4">
        <f t="shared" si="296"/>
        <v>0.94584787155511363</v>
      </c>
      <c r="AA344" s="4">
        <f t="shared" si="296"/>
        <v>0.92370360150141495</v>
      </c>
      <c r="AB344" s="4">
        <f t="shared" si="296"/>
        <v>0.89334463567658451</v>
      </c>
      <c r="AC344" s="4">
        <f t="shared" si="296"/>
        <v>0.85254543874327005</v>
      </c>
      <c r="AD344" s="4">
        <f t="shared" si="296"/>
        <v>0.79921300652623883</v>
      </c>
      <c r="AE344" s="4">
        <f t="shared" si="296"/>
        <v>0.73204982249993378</v>
      </c>
      <c r="AF344" s="4">
        <f t="shared" si="296"/>
        <v>0.65145592958786691</v>
      </c>
      <c r="AG344" s="4">
        <f t="shared" si="296"/>
        <v>0.56032247880849573</v>
      </c>
      <c r="AH344" s="4">
        <f t="shared" si="296"/>
        <v>0.46411326873185343</v>
      </c>
      <c r="AI344" s="4">
        <f t="shared" si="296"/>
        <v>0.36979727595523937</v>
      </c>
      <c r="AJ344" s="4">
        <f t="shared" si="296"/>
        <v>0.28393948637231203</v>
      </c>
      <c r="AK344" s="4">
        <f t="shared" si="296"/>
        <v>0.21097259161117732</v>
      </c>
      <c r="AL344" s="4">
        <f t="shared" si="296"/>
        <v>0.15253917653798199</v>
      </c>
      <c r="AM344" s="4">
        <f t="shared" si="296"/>
        <v>0.10795188737709993</v>
      </c>
      <c r="AN344" s="4">
        <f t="shared" si="296"/>
        <v>7.5176653938091809E-2</v>
      </c>
      <c r="AO344" s="4">
        <f t="shared" si="296"/>
        <v>5.1742836177502194E-2</v>
      </c>
      <c r="AP344" s="4">
        <f t="shared" si="296"/>
        <v>3.5319190625345942E-2</v>
      </c>
      <c r="AQ344" s="4">
        <f t="shared" si="296"/>
        <v>2.3969442072658165E-2</v>
      </c>
      <c r="AR344" s="4">
        <f t="shared" si="296"/>
        <v>1.6202243558389728E-2</v>
      </c>
    </row>
    <row r="345" spans="1:44" x14ac:dyDescent="0.25">
      <c r="A345" s="24" t="s">
        <v>41</v>
      </c>
      <c r="B345" s="43">
        <f>'Parameter Input'!$L$161</f>
        <v>20</v>
      </c>
      <c r="C345" s="44">
        <f>'Parameter Input'!$M$161</f>
        <v>20</v>
      </c>
      <c r="D345" s="1" t="s">
        <v>42</v>
      </c>
      <c r="L345" s="54">
        <f>'Parameter Input'!$O$161</f>
        <v>12</v>
      </c>
      <c r="M345" s="37">
        <v>0</v>
      </c>
      <c r="N345" s="37">
        <v>1</v>
      </c>
      <c r="O345" s="37">
        <f>'Parameter Input'!$P$161</f>
        <v>0.9</v>
      </c>
      <c r="P345" s="55">
        <f>'Parameter Input'!$Q$161</f>
        <v>0.4</v>
      </c>
      <c r="Q345" s="4">
        <f t="shared" ref="Q345:AF350" si="297">$N345+($M345-$N345)*((1/(1+EXP(-$P345*(Q$9-$L345)))^$O345))</f>
        <v>0.9867978615748374</v>
      </c>
      <c r="R345" s="4">
        <f t="shared" si="297"/>
        <v>0.98114509762858249</v>
      </c>
      <c r="S345" s="4">
        <f t="shared" si="297"/>
        <v>0.97311898315872036</v>
      </c>
      <c r="T345" s="4">
        <f t="shared" si="297"/>
        <v>0.96177484161592774</v>
      </c>
      <c r="U345" s="4">
        <f t="shared" si="297"/>
        <v>0.94584787155511363</v>
      </c>
      <c r="V345" s="4">
        <f t="shared" si="297"/>
        <v>0.92370360150141495</v>
      </c>
      <c r="W345" s="4">
        <f t="shared" si="297"/>
        <v>0.89334463567658451</v>
      </c>
      <c r="X345" s="4">
        <f t="shared" si="297"/>
        <v>0.85254543874327005</v>
      </c>
      <c r="Y345" s="4">
        <f t="shared" si="297"/>
        <v>0.79921300652623883</v>
      </c>
      <c r="Z345" s="4">
        <f t="shared" si="297"/>
        <v>0.73204982249993378</v>
      </c>
      <c r="AA345" s="4">
        <f t="shared" si="297"/>
        <v>0.65145592958786691</v>
      </c>
      <c r="AB345" s="4">
        <f t="shared" si="297"/>
        <v>0.56032247880849573</v>
      </c>
      <c r="AC345" s="4">
        <f t="shared" si="297"/>
        <v>0.46411326873185343</v>
      </c>
      <c r="AD345" s="4">
        <f t="shared" si="297"/>
        <v>0.36979727595523937</v>
      </c>
      <c r="AE345" s="4">
        <f t="shared" si="297"/>
        <v>0.28393948637231203</v>
      </c>
      <c r="AF345" s="4">
        <f t="shared" si="297"/>
        <v>0.21097259161117732</v>
      </c>
      <c r="AG345" s="4">
        <f t="shared" si="294"/>
        <v>0.15253917653798199</v>
      </c>
      <c r="AH345" s="4">
        <f t="shared" si="294"/>
        <v>0.10795188737709993</v>
      </c>
      <c r="AI345" s="4">
        <f t="shared" si="294"/>
        <v>7.5176653938091809E-2</v>
      </c>
      <c r="AJ345" s="4">
        <f t="shared" si="295"/>
        <v>5.1742836177502194E-2</v>
      </c>
      <c r="AK345" s="4">
        <f t="shared" si="295"/>
        <v>3.5319190625345942E-2</v>
      </c>
      <c r="AL345" s="4">
        <f t="shared" si="295"/>
        <v>2.3969442072658165E-2</v>
      </c>
      <c r="AM345" s="4">
        <f t="shared" si="295"/>
        <v>1.6202243558389728E-2</v>
      </c>
      <c r="AN345" s="4">
        <f t="shared" si="295"/>
        <v>1.0922240564108399E-2</v>
      </c>
      <c r="AO345" s="4">
        <f t="shared" si="295"/>
        <v>7.3493212906090566E-3</v>
      </c>
      <c r="AP345" s="4">
        <f t="shared" si="295"/>
        <v>4.9390262185057265E-3</v>
      </c>
      <c r="AQ345" s="4">
        <f t="shared" si="295"/>
        <v>3.3164275492956197E-3</v>
      </c>
      <c r="AR345" s="4">
        <f t="shared" si="295"/>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97"/>
        <v>0.9867978615748374</v>
      </c>
      <c r="R346" s="4">
        <f t="shared" si="297"/>
        <v>0.98114509762858249</v>
      </c>
      <c r="S346" s="4">
        <f t="shared" si="297"/>
        <v>0.97311898315872036</v>
      </c>
      <c r="T346" s="4">
        <f t="shared" si="297"/>
        <v>0.96177484161592774</v>
      </c>
      <c r="U346" s="4">
        <f t="shared" si="297"/>
        <v>0.94584787155511363</v>
      </c>
      <c r="V346" s="4">
        <f t="shared" si="297"/>
        <v>0.92370360150141495</v>
      </c>
      <c r="W346" s="4">
        <f t="shared" si="297"/>
        <v>0.89334463567658451</v>
      </c>
      <c r="X346" s="4">
        <f t="shared" si="297"/>
        <v>0.85254543874327005</v>
      </c>
      <c r="Y346" s="4">
        <f t="shared" si="297"/>
        <v>0.79921300652623883</v>
      </c>
      <c r="Z346" s="4">
        <f t="shared" si="297"/>
        <v>0.73204982249993378</v>
      </c>
      <c r="AA346" s="4">
        <f t="shared" si="297"/>
        <v>0.65145592958786691</v>
      </c>
      <c r="AB346" s="4">
        <f t="shared" si="297"/>
        <v>0.56032247880849573</v>
      </c>
      <c r="AC346" s="4">
        <f t="shared" si="297"/>
        <v>0.46411326873185343</v>
      </c>
      <c r="AD346" s="4">
        <f t="shared" si="297"/>
        <v>0.36979727595523937</v>
      </c>
      <c r="AE346" s="4">
        <f t="shared" si="297"/>
        <v>0.28393948637231203</v>
      </c>
      <c r="AF346" s="4">
        <f t="shared" si="297"/>
        <v>0.21097259161117732</v>
      </c>
      <c r="AG346" s="4">
        <f t="shared" si="294"/>
        <v>0.15253917653798199</v>
      </c>
      <c r="AH346" s="4">
        <f t="shared" si="294"/>
        <v>0.10795188737709993</v>
      </c>
      <c r="AI346" s="4">
        <f t="shared" si="294"/>
        <v>7.5176653938091809E-2</v>
      </c>
      <c r="AJ346" s="4">
        <f t="shared" si="295"/>
        <v>5.1742836177502194E-2</v>
      </c>
      <c r="AK346" s="4">
        <f t="shared" si="295"/>
        <v>3.5319190625345942E-2</v>
      </c>
      <c r="AL346" s="4">
        <f t="shared" si="295"/>
        <v>2.3969442072658165E-2</v>
      </c>
      <c r="AM346" s="4">
        <f t="shared" si="295"/>
        <v>1.6202243558389728E-2</v>
      </c>
      <c r="AN346" s="4">
        <f t="shared" si="295"/>
        <v>1.0922240564108399E-2</v>
      </c>
      <c r="AO346" s="4">
        <f t="shared" si="295"/>
        <v>7.3493212906090566E-3</v>
      </c>
      <c r="AP346" s="4">
        <f t="shared" si="295"/>
        <v>4.9390262185057265E-3</v>
      </c>
      <c r="AQ346" s="4">
        <f t="shared" si="295"/>
        <v>3.3164275492956197E-3</v>
      </c>
      <c r="AR346" s="4">
        <f t="shared" si="295"/>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97"/>
        <v>0.9867978615748374</v>
      </c>
      <c r="R347" s="4">
        <f t="shared" si="297"/>
        <v>0.98114509762858249</v>
      </c>
      <c r="S347" s="4">
        <f t="shared" si="297"/>
        <v>0.97311898315872036</v>
      </c>
      <c r="T347" s="4">
        <f t="shared" si="297"/>
        <v>0.96177484161592774</v>
      </c>
      <c r="U347" s="4">
        <f t="shared" si="297"/>
        <v>0.94584787155511363</v>
      </c>
      <c r="V347" s="4">
        <f t="shared" si="297"/>
        <v>0.92370360150141495</v>
      </c>
      <c r="W347" s="4">
        <f t="shared" si="297"/>
        <v>0.89334463567658451</v>
      </c>
      <c r="X347" s="4">
        <f t="shared" si="297"/>
        <v>0.85254543874327005</v>
      </c>
      <c r="Y347" s="4">
        <f t="shared" si="297"/>
        <v>0.79921300652623883</v>
      </c>
      <c r="Z347" s="4">
        <f t="shared" si="297"/>
        <v>0.73204982249993378</v>
      </c>
      <c r="AA347" s="4">
        <f t="shared" si="297"/>
        <v>0.65145592958786691</v>
      </c>
      <c r="AB347" s="4">
        <f t="shared" si="297"/>
        <v>0.56032247880849573</v>
      </c>
      <c r="AC347" s="4">
        <f t="shared" si="297"/>
        <v>0.46411326873185343</v>
      </c>
      <c r="AD347" s="4">
        <f t="shared" si="297"/>
        <v>0.36979727595523937</v>
      </c>
      <c r="AE347" s="4">
        <f t="shared" si="297"/>
        <v>0.28393948637231203</v>
      </c>
      <c r="AF347" s="4">
        <f t="shared" si="297"/>
        <v>0.21097259161117732</v>
      </c>
      <c r="AG347" s="4">
        <f t="shared" si="294"/>
        <v>0.15253917653798199</v>
      </c>
      <c r="AH347" s="4">
        <f t="shared" si="294"/>
        <v>0.10795188737709993</v>
      </c>
      <c r="AI347" s="4">
        <f t="shared" si="294"/>
        <v>7.5176653938091809E-2</v>
      </c>
      <c r="AJ347" s="4">
        <f t="shared" si="295"/>
        <v>5.1742836177502194E-2</v>
      </c>
      <c r="AK347" s="4">
        <f t="shared" si="295"/>
        <v>3.5319190625345942E-2</v>
      </c>
      <c r="AL347" s="4">
        <f t="shared" si="295"/>
        <v>2.3969442072658165E-2</v>
      </c>
      <c r="AM347" s="4">
        <f t="shared" si="295"/>
        <v>1.6202243558389728E-2</v>
      </c>
      <c r="AN347" s="4">
        <f t="shared" si="295"/>
        <v>1.0922240564108399E-2</v>
      </c>
      <c r="AO347" s="4">
        <f t="shared" si="295"/>
        <v>7.3493212906090566E-3</v>
      </c>
      <c r="AP347" s="4">
        <f t="shared" si="295"/>
        <v>4.9390262185057265E-3</v>
      </c>
      <c r="AQ347" s="4">
        <f t="shared" si="295"/>
        <v>3.3164275492956197E-3</v>
      </c>
      <c r="AR347" s="4">
        <f t="shared" si="295"/>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97"/>
        <v>0.9867978615748374</v>
      </c>
      <c r="R348" s="4">
        <f t="shared" si="297"/>
        <v>0.98114509762858249</v>
      </c>
      <c r="S348" s="4">
        <f t="shared" si="297"/>
        <v>0.97311898315872036</v>
      </c>
      <c r="T348" s="4">
        <f t="shared" si="297"/>
        <v>0.96177484161592774</v>
      </c>
      <c r="U348" s="4">
        <f t="shared" si="297"/>
        <v>0.94584787155511363</v>
      </c>
      <c r="V348" s="4">
        <f t="shared" si="297"/>
        <v>0.92370360150141495</v>
      </c>
      <c r="W348" s="4">
        <f t="shared" si="297"/>
        <v>0.89334463567658451</v>
      </c>
      <c r="X348" s="4">
        <f t="shared" si="297"/>
        <v>0.85254543874327005</v>
      </c>
      <c r="Y348" s="4">
        <f t="shared" si="297"/>
        <v>0.79921300652623883</v>
      </c>
      <c r="Z348" s="4">
        <f t="shared" si="297"/>
        <v>0.73204982249993378</v>
      </c>
      <c r="AA348" s="4">
        <f t="shared" si="297"/>
        <v>0.65145592958786691</v>
      </c>
      <c r="AB348" s="4">
        <f t="shared" si="297"/>
        <v>0.56032247880849573</v>
      </c>
      <c r="AC348" s="4">
        <f t="shared" si="297"/>
        <v>0.46411326873185343</v>
      </c>
      <c r="AD348" s="4">
        <f t="shared" si="297"/>
        <v>0.36979727595523937</v>
      </c>
      <c r="AE348" s="4">
        <f t="shared" si="297"/>
        <v>0.28393948637231203</v>
      </c>
      <c r="AF348" s="4">
        <f t="shared" si="297"/>
        <v>0.21097259161117732</v>
      </c>
      <c r="AG348" s="4">
        <f t="shared" si="294"/>
        <v>0.15253917653798199</v>
      </c>
      <c r="AH348" s="4">
        <f t="shared" si="294"/>
        <v>0.10795188737709993</v>
      </c>
      <c r="AI348" s="4">
        <f t="shared" si="294"/>
        <v>7.5176653938091809E-2</v>
      </c>
      <c r="AJ348" s="4">
        <f t="shared" si="295"/>
        <v>5.1742836177502194E-2</v>
      </c>
      <c r="AK348" s="4">
        <f t="shared" si="295"/>
        <v>3.5319190625345942E-2</v>
      </c>
      <c r="AL348" s="4">
        <f t="shared" si="295"/>
        <v>2.3969442072658165E-2</v>
      </c>
      <c r="AM348" s="4">
        <f t="shared" si="295"/>
        <v>1.6202243558389728E-2</v>
      </c>
      <c r="AN348" s="4">
        <f t="shared" si="295"/>
        <v>1.0922240564108399E-2</v>
      </c>
      <c r="AO348" s="4">
        <f t="shared" si="295"/>
        <v>7.3493212906090566E-3</v>
      </c>
      <c r="AP348" s="4">
        <f t="shared" si="295"/>
        <v>4.9390262185057265E-3</v>
      </c>
      <c r="AQ348" s="4">
        <f t="shared" si="295"/>
        <v>3.3164275492956197E-3</v>
      </c>
      <c r="AR348" s="4">
        <f t="shared" si="295"/>
        <v>2.2256362146679809E-3</v>
      </c>
    </row>
    <row r="349" spans="1:44" x14ac:dyDescent="0.25">
      <c r="A349" s="24" t="s">
        <v>73</v>
      </c>
      <c r="B349" s="72">
        <f>'Parameter Input'!$L$165</f>
        <v>0</v>
      </c>
      <c r="C349" s="73">
        <f>'Parameter Input'!$M$165</f>
        <v>0</v>
      </c>
      <c r="D349" s="1" t="s">
        <v>57</v>
      </c>
      <c r="L349" s="54">
        <f>'Parameter Input'!$O$165</f>
        <v>12</v>
      </c>
      <c r="M349" s="37">
        <v>0</v>
      </c>
      <c r="N349" s="37">
        <v>1</v>
      </c>
      <c r="O349" s="37">
        <f>'Parameter Input'!$P$165</f>
        <v>0.9</v>
      </c>
      <c r="P349" s="55">
        <f>'Parameter Input'!$Q$165</f>
        <v>0.4</v>
      </c>
      <c r="Q349" s="4">
        <f t="shared" si="297"/>
        <v>0.9867978615748374</v>
      </c>
      <c r="R349" s="4">
        <f t="shared" si="297"/>
        <v>0.98114509762858249</v>
      </c>
      <c r="S349" s="4">
        <f t="shared" si="297"/>
        <v>0.97311898315872036</v>
      </c>
      <c r="T349" s="4">
        <f t="shared" si="297"/>
        <v>0.96177484161592774</v>
      </c>
      <c r="U349" s="4">
        <f t="shared" si="297"/>
        <v>0.94584787155511363</v>
      </c>
      <c r="V349" s="4">
        <f t="shared" si="297"/>
        <v>0.92370360150141495</v>
      </c>
      <c r="W349" s="4">
        <f t="shared" si="297"/>
        <v>0.89334463567658451</v>
      </c>
      <c r="X349" s="4">
        <f t="shared" si="297"/>
        <v>0.85254543874327005</v>
      </c>
      <c r="Y349" s="4">
        <f t="shared" si="297"/>
        <v>0.79921300652623883</v>
      </c>
      <c r="Z349" s="4">
        <f t="shared" si="297"/>
        <v>0.73204982249993378</v>
      </c>
      <c r="AA349" s="4">
        <f t="shared" si="297"/>
        <v>0.65145592958786691</v>
      </c>
      <c r="AB349" s="4">
        <f t="shared" si="297"/>
        <v>0.56032247880849573</v>
      </c>
      <c r="AC349" s="4">
        <f t="shared" si="297"/>
        <v>0.46411326873185343</v>
      </c>
      <c r="AD349" s="4">
        <f t="shared" si="297"/>
        <v>0.36979727595523937</v>
      </c>
      <c r="AE349" s="4">
        <f t="shared" si="297"/>
        <v>0.28393948637231203</v>
      </c>
      <c r="AF349" s="4">
        <f t="shared" si="297"/>
        <v>0.21097259161117732</v>
      </c>
      <c r="AG349" s="4">
        <f t="shared" si="294"/>
        <v>0.15253917653798199</v>
      </c>
      <c r="AH349" s="4">
        <f t="shared" si="294"/>
        <v>0.10795188737709993</v>
      </c>
      <c r="AI349" s="4">
        <f t="shared" si="294"/>
        <v>7.5176653938091809E-2</v>
      </c>
      <c r="AJ349" s="4">
        <f t="shared" si="295"/>
        <v>5.1742836177502194E-2</v>
      </c>
      <c r="AK349" s="4">
        <f t="shared" si="295"/>
        <v>3.5319190625345942E-2</v>
      </c>
      <c r="AL349" s="4">
        <f t="shared" si="295"/>
        <v>2.3969442072658165E-2</v>
      </c>
      <c r="AM349" s="4">
        <f t="shared" si="295"/>
        <v>1.6202243558389728E-2</v>
      </c>
      <c r="AN349" s="4">
        <f t="shared" si="295"/>
        <v>1.0922240564108399E-2</v>
      </c>
      <c r="AO349" s="4">
        <f t="shared" si="295"/>
        <v>7.3493212906090566E-3</v>
      </c>
      <c r="AP349" s="4">
        <f t="shared" si="295"/>
        <v>4.9390262185057265E-3</v>
      </c>
      <c r="AQ349" s="4">
        <f t="shared" si="295"/>
        <v>3.3164275492956197E-3</v>
      </c>
      <c r="AR349" s="4">
        <f t="shared" si="295"/>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97"/>
        <v>0.9867978615748374</v>
      </c>
      <c r="R350" s="4">
        <f t="shared" si="297"/>
        <v>0.98114509762858249</v>
      </c>
      <c r="S350" s="4">
        <f t="shared" si="297"/>
        <v>0.97311898315872036</v>
      </c>
      <c r="T350" s="4">
        <f t="shared" si="297"/>
        <v>0.96177484161592774</v>
      </c>
      <c r="U350" s="4">
        <f t="shared" si="297"/>
        <v>0.94584787155511363</v>
      </c>
      <c r="V350" s="4">
        <f t="shared" si="297"/>
        <v>0.92370360150141495</v>
      </c>
      <c r="W350" s="4">
        <f t="shared" si="297"/>
        <v>0.89334463567658451</v>
      </c>
      <c r="X350" s="4">
        <f t="shared" si="297"/>
        <v>0.85254543874327005</v>
      </c>
      <c r="Y350" s="4">
        <f t="shared" si="297"/>
        <v>0.79921300652623883</v>
      </c>
      <c r="Z350" s="4">
        <f t="shared" si="297"/>
        <v>0.73204982249993378</v>
      </c>
      <c r="AA350" s="4">
        <f t="shared" si="297"/>
        <v>0.65145592958786691</v>
      </c>
      <c r="AB350" s="4">
        <f t="shared" si="297"/>
        <v>0.56032247880849573</v>
      </c>
      <c r="AC350" s="4">
        <f t="shared" si="297"/>
        <v>0.46411326873185343</v>
      </c>
      <c r="AD350" s="4">
        <f t="shared" si="297"/>
        <v>0.36979727595523937</v>
      </c>
      <c r="AE350" s="4">
        <f t="shared" si="297"/>
        <v>0.28393948637231203</v>
      </c>
      <c r="AF350" s="4">
        <f t="shared" si="297"/>
        <v>0.21097259161117732</v>
      </c>
      <c r="AG350" s="4">
        <f t="shared" si="294"/>
        <v>0.15253917653798199</v>
      </c>
      <c r="AH350" s="4">
        <f t="shared" si="294"/>
        <v>0.10795188737709993</v>
      </c>
      <c r="AI350" s="4">
        <f t="shared" si="294"/>
        <v>7.5176653938091809E-2</v>
      </c>
      <c r="AJ350" s="4">
        <f t="shared" si="295"/>
        <v>5.1742836177502194E-2</v>
      </c>
      <c r="AK350" s="4">
        <f t="shared" si="295"/>
        <v>3.5319190625345942E-2</v>
      </c>
      <c r="AL350" s="4">
        <f t="shared" si="295"/>
        <v>2.3969442072658165E-2</v>
      </c>
      <c r="AM350" s="4">
        <f t="shared" si="295"/>
        <v>1.6202243558389728E-2</v>
      </c>
      <c r="AN350" s="4">
        <f t="shared" si="295"/>
        <v>1.0922240564108399E-2</v>
      </c>
      <c r="AO350" s="4">
        <f t="shared" si="295"/>
        <v>7.3493212906090566E-3</v>
      </c>
      <c r="AP350" s="4">
        <f t="shared" si="295"/>
        <v>4.9390262185057265E-3</v>
      </c>
      <c r="AQ350" s="4">
        <f t="shared" si="295"/>
        <v>3.3164275492956197E-3</v>
      </c>
      <c r="AR350" s="4">
        <f t="shared" si="295"/>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8">A334</f>
        <v>Capex vehicle</v>
      </c>
      <c r="B354" s="62">
        <f t="shared" ref="B354:B362" si="299">$B334+($C334-$B334)*(1-Q334)</f>
        <v>5000000</v>
      </c>
      <c r="C354" s="62">
        <f t="shared" ref="C354:C362" si="300">$B334+($C334-$B334)*(1-R334)</f>
        <v>5000000</v>
      </c>
      <c r="D354" s="62">
        <f t="shared" ref="D354:D362" si="301">$B334+($C334-$B334)*(1-S334)</f>
        <v>5000000</v>
      </c>
      <c r="E354" s="62">
        <f t="shared" ref="E354:E362" si="302">$B334+($C334-$B334)*(1-T334)</f>
        <v>5000000</v>
      </c>
      <c r="F354" s="62">
        <f t="shared" ref="F354:F362" si="303">$B334+($C334-$B334)*(1-U334)</f>
        <v>5000000</v>
      </c>
      <c r="G354" s="62">
        <f t="shared" ref="G354:G362" si="304">$B334+($C334-$B334)*(1-V334)</f>
        <v>5000000</v>
      </c>
      <c r="H354" s="62">
        <f t="shared" ref="H354:H362" si="305">$B334+($C334-$B334)*(1-W334)</f>
        <v>5000000</v>
      </c>
      <c r="I354" s="62">
        <f t="shared" ref="I354:I362" si="306">$B334+($C334-$B334)*(1-X334)</f>
        <v>5000000</v>
      </c>
      <c r="J354" s="62">
        <f t="shared" ref="J354:J362" si="307">$B334+($C334-$B334)*(1-Y334)</f>
        <v>5000000</v>
      </c>
      <c r="K354" s="62">
        <f t="shared" ref="K354:K362" si="308">$B334+($C334-$B334)*(1-Z334)</f>
        <v>5000000</v>
      </c>
      <c r="L354" s="62">
        <f t="shared" ref="L354:L362" si="309">$B334+($C334-$B334)*(1-AA334)</f>
        <v>5000000</v>
      </c>
      <c r="M354" s="62">
        <f t="shared" ref="M354:M362" si="310">$B334+($C334-$B334)*(1-AB334)</f>
        <v>5000000</v>
      </c>
      <c r="N354" s="62">
        <f t="shared" ref="N354:N362" si="311">$B334+($C334-$B334)*(1-AC334)</f>
        <v>5000000</v>
      </c>
      <c r="O354" s="62">
        <f t="shared" ref="O354:O362" si="312">$B334+($C334-$B334)*(1-AD334)</f>
        <v>5000000</v>
      </c>
      <c r="P354" s="62">
        <f t="shared" ref="P354:P362" si="313">$B334+($C334-$B334)*(1-AE334)</f>
        <v>5000000</v>
      </c>
      <c r="Q354" s="62">
        <f t="shared" ref="Q354:Q362" si="314">$B334+($C334-$B334)*(1-AF334)</f>
        <v>5000000</v>
      </c>
      <c r="R354" s="62">
        <f t="shared" ref="R354:R362" si="315">$B334+($C334-$B334)*(1-AG334)</f>
        <v>5000000</v>
      </c>
      <c r="S354" s="62">
        <f t="shared" ref="S354:S362" si="316">$B334+($C334-$B334)*(1-AH334)</f>
        <v>5000000</v>
      </c>
      <c r="T354" s="62">
        <f t="shared" ref="T354:T362" si="317">$B334+($C334-$B334)*(1-AI334)</f>
        <v>5000000</v>
      </c>
      <c r="U354" s="62">
        <f t="shared" ref="U354:U362" si="318">$B334+($C334-$B334)*(1-AJ334)</f>
        <v>5000000</v>
      </c>
      <c r="V354" s="62">
        <f t="shared" ref="V354:V362" si="319">$B334+($C334-$B334)*(1-AK334)</f>
        <v>5000000</v>
      </c>
      <c r="W354" s="62">
        <f t="shared" ref="W354:W362" si="320">$B334+($C334-$B334)*(1-AL334)</f>
        <v>5000000</v>
      </c>
      <c r="X354" s="62">
        <f t="shared" ref="X354:X362" si="321">$B334+($C334-$B334)*(1-AM334)</f>
        <v>5000000</v>
      </c>
      <c r="Y354" s="62">
        <f t="shared" ref="Y354:Y362" si="322">$B334+($C334-$B334)*(1-AN334)</f>
        <v>5000000</v>
      </c>
      <c r="Z354" s="62">
        <f t="shared" ref="Z354:Z362" si="323">$B334+($C334-$B334)*(1-AO334)</f>
        <v>5000000</v>
      </c>
      <c r="AA354" s="62">
        <f t="shared" ref="AA354:AA362" si="324">$B334+($C334-$B334)*(1-AP334)</f>
        <v>5000000</v>
      </c>
      <c r="AB354" s="62">
        <f t="shared" ref="AB354:AB362" si="325">$B334+($C334-$B334)*(1-AQ334)</f>
        <v>5000000</v>
      </c>
      <c r="AC354" s="62">
        <f t="shared" ref="AC354:AC362" si="326">$B334+($C334-$B334)*(1-AR334)</f>
        <v>5000000</v>
      </c>
    </row>
    <row r="355" spans="1:29" x14ac:dyDescent="0.25">
      <c r="A355" s="30" t="str">
        <f t="shared" si="298"/>
        <v>Residual value (vehicle)</v>
      </c>
      <c r="B355" s="62">
        <f t="shared" si="299"/>
        <v>-750000</v>
      </c>
      <c r="C355" s="62">
        <f t="shared" si="300"/>
        <v>-750000</v>
      </c>
      <c r="D355" s="62">
        <f t="shared" si="301"/>
        <v>-750000</v>
      </c>
      <c r="E355" s="62">
        <f t="shared" si="302"/>
        <v>-750000</v>
      </c>
      <c r="F355" s="62">
        <f t="shared" si="303"/>
        <v>-750000</v>
      </c>
      <c r="G355" s="62">
        <f t="shared" si="304"/>
        <v>-750000</v>
      </c>
      <c r="H355" s="62">
        <f t="shared" si="305"/>
        <v>-750000</v>
      </c>
      <c r="I355" s="62">
        <f t="shared" si="306"/>
        <v>-750000</v>
      </c>
      <c r="J355" s="62">
        <f t="shared" si="307"/>
        <v>-750000</v>
      </c>
      <c r="K355" s="62">
        <f t="shared" si="308"/>
        <v>-750000</v>
      </c>
      <c r="L355" s="62">
        <f t="shared" si="309"/>
        <v>-750000</v>
      </c>
      <c r="M355" s="62">
        <f t="shared" si="310"/>
        <v>-750000</v>
      </c>
      <c r="N355" s="62">
        <f t="shared" si="311"/>
        <v>-750000</v>
      </c>
      <c r="O355" s="62">
        <f t="shared" si="312"/>
        <v>-750000</v>
      </c>
      <c r="P355" s="62">
        <f t="shared" si="313"/>
        <v>-750000</v>
      </c>
      <c r="Q355" s="62">
        <f t="shared" si="314"/>
        <v>-750000</v>
      </c>
      <c r="R355" s="62">
        <f t="shared" si="315"/>
        <v>-750000</v>
      </c>
      <c r="S355" s="62">
        <f t="shared" si="316"/>
        <v>-750000</v>
      </c>
      <c r="T355" s="62">
        <f t="shared" si="317"/>
        <v>-750000</v>
      </c>
      <c r="U355" s="62">
        <f t="shared" si="318"/>
        <v>-750000</v>
      </c>
      <c r="V355" s="62">
        <f t="shared" si="319"/>
        <v>-750000</v>
      </c>
      <c r="W355" s="62">
        <f t="shared" si="320"/>
        <v>-750000</v>
      </c>
      <c r="X355" s="62">
        <f t="shared" si="321"/>
        <v>-750000</v>
      </c>
      <c r="Y355" s="62">
        <f t="shared" si="322"/>
        <v>-750000</v>
      </c>
      <c r="Z355" s="62">
        <f t="shared" si="323"/>
        <v>-750000</v>
      </c>
      <c r="AA355" s="62">
        <f t="shared" si="324"/>
        <v>-750000</v>
      </c>
      <c r="AB355" s="62">
        <f t="shared" si="325"/>
        <v>-750000</v>
      </c>
      <c r="AC355" s="62">
        <f t="shared" si="326"/>
        <v>-750000</v>
      </c>
    </row>
    <row r="356" spans="1:29" x14ac:dyDescent="0.25">
      <c r="A356" s="30" t="str">
        <f t="shared" si="298"/>
        <v>Capex costumization</v>
      </c>
      <c r="B356" s="62">
        <f t="shared" si="299"/>
        <v>4200000</v>
      </c>
      <c r="C356" s="62">
        <f t="shared" si="300"/>
        <v>4200000</v>
      </c>
      <c r="D356" s="62">
        <f t="shared" si="301"/>
        <v>4200000</v>
      </c>
      <c r="E356" s="62">
        <f t="shared" si="302"/>
        <v>4200000</v>
      </c>
      <c r="F356" s="62">
        <f t="shared" si="303"/>
        <v>4200000</v>
      </c>
      <c r="G356" s="62">
        <f t="shared" si="304"/>
        <v>4200000</v>
      </c>
      <c r="H356" s="62">
        <f t="shared" si="305"/>
        <v>4200000</v>
      </c>
      <c r="I356" s="62">
        <f t="shared" si="306"/>
        <v>4200000</v>
      </c>
      <c r="J356" s="62">
        <f t="shared" si="307"/>
        <v>4200000</v>
      </c>
      <c r="K356" s="62">
        <f t="shared" si="308"/>
        <v>4200000</v>
      </c>
      <c r="L356" s="62">
        <f t="shared" si="309"/>
        <v>4200000</v>
      </c>
      <c r="M356" s="62">
        <f t="shared" si="310"/>
        <v>4200000</v>
      </c>
      <c r="N356" s="62">
        <f t="shared" si="311"/>
        <v>4200000</v>
      </c>
      <c r="O356" s="62">
        <f t="shared" si="312"/>
        <v>4200000</v>
      </c>
      <c r="P356" s="62">
        <f t="shared" si="313"/>
        <v>4200000</v>
      </c>
      <c r="Q356" s="62">
        <f t="shared" si="314"/>
        <v>4200000</v>
      </c>
      <c r="R356" s="62">
        <f t="shared" si="315"/>
        <v>4200000</v>
      </c>
      <c r="S356" s="62">
        <f t="shared" si="316"/>
        <v>4200000</v>
      </c>
      <c r="T356" s="62">
        <f t="shared" si="317"/>
        <v>4200000</v>
      </c>
      <c r="U356" s="62">
        <f t="shared" si="318"/>
        <v>4200000</v>
      </c>
      <c r="V356" s="62">
        <f t="shared" si="319"/>
        <v>4200000</v>
      </c>
      <c r="W356" s="62">
        <f t="shared" si="320"/>
        <v>4200000</v>
      </c>
      <c r="X356" s="62">
        <f t="shared" si="321"/>
        <v>4200000</v>
      </c>
      <c r="Y356" s="62">
        <f t="shared" si="322"/>
        <v>4200000</v>
      </c>
      <c r="Z356" s="62">
        <f t="shared" si="323"/>
        <v>4200000</v>
      </c>
      <c r="AA356" s="62">
        <f t="shared" si="324"/>
        <v>4200000</v>
      </c>
      <c r="AB356" s="62">
        <f t="shared" si="325"/>
        <v>4200000</v>
      </c>
      <c r="AC356" s="62">
        <f t="shared" si="326"/>
        <v>4200000</v>
      </c>
    </row>
    <row r="357" spans="1:29" x14ac:dyDescent="0.25">
      <c r="A357" s="30" t="str">
        <f t="shared" si="298"/>
        <v>Residual value (costumization)</v>
      </c>
      <c r="B357" s="62">
        <f t="shared" si="299"/>
        <v>-210000</v>
      </c>
      <c r="C357" s="62">
        <f t="shared" si="300"/>
        <v>-210000</v>
      </c>
      <c r="D357" s="62">
        <f t="shared" si="301"/>
        <v>-210000</v>
      </c>
      <c r="E357" s="62">
        <f t="shared" si="302"/>
        <v>-210000</v>
      </c>
      <c r="F357" s="62">
        <f t="shared" si="303"/>
        <v>-210000</v>
      </c>
      <c r="G357" s="62">
        <f t="shared" si="304"/>
        <v>-210000</v>
      </c>
      <c r="H357" s="62">
        <f t="shared" si="305"/>
        <v>-210000</v>
      </c>
      <c r="I357" s="62">
        <f t="shared" si="306"/>
        <v>-210000</v>
      </c>
      <c r="J357" s="62">
        <f t="shared" si="307"/>
        <v>-210000</v>
      </c>
      <c r="K357" s="62">
        <f t="shared" si="308"/>
        <v>-210000</v>
      </c>
      <c r="L357" s="62">
        <f t="shared" si="309"/>
        <v>-210000</v>
      </c>
      <c r="M357" s="62">
        <f t="shared" si="310"/>
        <v>-210000</v>
      </c>
      <c r="N357" s="62">
        <f t="shared" si="311"/>
        <v>-210000</v>
      </c>
      <c r="O357" s="62">
        <f t="shared" si="312"/>
        <v>-210000</v>
      </c>
      <c r="P357" s="62">
        <f t="shared" si="313"/>
        <v>-210000</v>
      </c>
      <c r="Q357" s="62">
        <f t="shared" si="314"/>
        <v>-210000</v>
      </c>
      <c r="R357" s="62">
        <f t="shared" si="315"/>
        <v>-210000</v>
      </c>
      <c r="S357" s="62">
        <f t="shared" si="316"/>
        <v>-210000</v>
      </c>
      <c r="T357" s="62">
        <f t="shared" si="317"/>
        <v>-210000</v>
      </c>
      <c r="U357" s="62">
        <f t="shared" si="318"/>
        <v>-210000</v>
      </c>
      <c r="V357" s="62">
        <f t="shared" si="319"/>
        <v>-210000</v>
      </c>
      <c r="W357" s="62">
        <f t="shared" si="320"/>
        <v>-210000</v>
      </c>
      <c r="X357" s="62">
        <f t="shared" si="321"/>
        <v>-210000</v>
      </c>
      <c r="Y357" s="62">
        <f t="shared" si="322"/>
        <v>-210000</v>
      </c>
      <c r="Z357" s="62">
        <f t="shared" si="323"/>
        <v>-210000</v>
      </c>
      <c r="AA357" s="62">
        <f t="shared" si="324"/>
        <v>-210000</v>
      </c>
      <c r="AB357" s="62">
        <f t="shared" si="325"/>
        <v>-210000</v>
      </c>
      <c r="AC357" s="62">
        <f t="shared" si="326"/>
        <v>-210000</v>
      </c>
    </row>
    <row r="358" spans="1:29" x14ac:dyDescent="0.25">
      <c r="A358" s="30" t="str">
        <f t="shared" si="298"/>
        <v>WACC</v>
      </c>
      <c r="B358" s="62">
        <f t="shared" si="299"/>
        <v>0.06</v>
      </c>
      <c r="C358" s="62">
        <f t="shared" si="300"/>
        <v>0.06</v>
      </c>
      <c r="D358" s="62">
        <f t="shared" si="301"/>
        <v>0.06</v>
      </c>
      <c r="E358" s="62">
        <f t="shared" si="302"/>
        <v>0.06</v>
      </c>
      <c r="F358" s="62">
        <f t="shared" si="303"/>
        <v>0.06</v>
      </c>
      <c r="G358" s="62">
        <f t="shared" si="304"/>
        <v>0.06</v>
      </c>
      <c r="H358" s="62">
        <f t="shared" si="305"/>
        <v>0.06</v>
      </c>
      <c r="I358" s="62">
        <f t="shared" si="306"/>
        <v>0.06</v>
      </c>
      <c r="J358" s="62">
        <f t="shared" si="307"/>
        <v>0.06</v>
      </c>
      <c r="K358" s="62">
        <f t="shared" si="308"/>
        <v>0.06</v>
      </c>
      <c r="L358" s="62">
        <f t="shared" si="309"/>
        <v>0.06</v>
      </c>
      <c r="M358" s="62">
        <f t="shared" si="310"/>
        <v>0.06</v>
      </c>
      <c r="N358" s="62">
        <f t="shared" si="311"/>
        <v>0.06</v>
      </c>
      <c r="O358" s="62">
        <f t="shared" si="312"/>
        <v>0.06</v>
      </c>
      <c r="P358" s="62">
        <f t="shared" si="313"/>
        <v>0.06</v>
      </c>
      <c r="Q358" s="62">
        <f t="shared" si="314"/>
        <v>0.06</v>
      </c>
      <c r="R358" s="62">
        <f t="shared" si="315"/>
        <v>0.06</v>
      </c>
      <c r="S358" s="62">
        <f t="shared" si="316"/>
        <v>0.06</v>
      </c>
      <c r="T358" s="62">
        <f t="shared" si="317"/>
        <v>0.06</v>
      </c>
      <c r="U358" s="62">
        <f t="shared" si="318"/>
        <v>0.06</v>
      </c>
      <c r="V358" s="62">
        <f t="shared" si="319"/>
        <v>0.06</v>
      </c>
      <c r="W358" s="62">
        <f t="shared" si="320"/>
        <v>0.06</v>
      </c>
      <c r="X358" s="62">
        <f t="shared" si="321"/>
        <v>0.06</v>
      </c>
      <c r="Y358" s="62">
        <f t="shared" si="322"/>
        <v>0.06</v>
      </c>
      <c r="Z358" s="62">
        <f t="shared" si="323"/>
        <v>0.06</v>
      </c>
      <c r="AA358" s="62">
        <f t="shared" si="324"/>
        <v>0.06</v>
      </c>
      <c r="AB358" s="62">
        <f t="shared" si="325"/>
        <v>0.06</v>
      </c>
      <c r="AC358" s="62">
        <f t="shared" si="326"/>
        <v>0.06</v>
      </c>
    </row>
    <row r="359" spans="1:29" x14ac:dyDescent="0.25">
      <c r="A359" s="30" t="str">
        <f t="shared" si="298"/>
        <v>Opex fix (admin, crew, insurance)</v>
      </c>
      <c r="B359" s="62">
        <f t="shared" si="299"/>
        <v>1450000</v>
      </c>
      <c r="C359" s="62">
        <f t="shared" si="300"/>
        <v>1450000</v>
      </c>
      <c r="D359" s="62">
        <f t="shared" si="301"/>
        <v>1450000</v>
      </c>
      <c r="E359" s="62">
        <f t="shared" si="302"/>
        <v>1450000</v>
      </c>
      <c r="F359" s="62">
        <f t="shared" si="303"/>
        <v>1450000</v>
      </c>
      <c r="G359" s="62">
        <f t="shared" si="304"/>
        <v>1450000</v>
      </c>
      <c r="H359" s="62">
        <f t="shared" si="305"/>
        <v>1450000</v>
      </c>
      <c r="I359" s="62">
        <f t="shared" si="306"/>
        <v>1450000</v>
      </c>
      <c r="J359" s="62">
        <f t="shared" si="307"/>
        <v>1450000</v>
      </c>
      <c r="K359" s="62">
        <f t="shared" si="308"/>
        <v>1450000</v>
      </c>
      <c r="L359" s="62">
        <f t="shared" si="309"/>
        <v>1450000</v>
      </c>
      <c r="M359" s="62">
        <f t="shared" si="310"/>
        <v>1450000</v>
      </c>
      <c r="N359" s="62">
        <f t="shared" si="311"/>
        <v>1450000</v>
      </c>
      <c r="O359" s="62">
        <f t="shared" si="312"/>
        <v>1450000</v>
      </c>
      <c r="P359" s="62">
        <f t="shared" si="313"/>
        <v>1450000</v>
      </c>
      <c r="Q359" s="62">
        <f t="shared" si="314"/>
        <v>1450000</v>
      </c>
      <c r="R359" s="62">
        <f t="shared" si="315"/>
        <v>1450000</v>
      </c>
      <c r="S359" s="62">
        <f t="shared" si="316"/>
        <v>1450000</v>
      </c>
      <c r="T359" s="62">
        <f t="shared" si="317"/>
        <v>1450000</v>
      </c>
      <c r="U359" s="62">
        <f t="shared" si="318"/>
        <v>1450000</v>
      </c>
      <c r="V359" s="62">
        <f t="shared" si="319"/>
        <v>1450000</v>
      </c>
      <c r="W359" s="62">
        <f t="shared" si="320"/>
        <v>1450000</v>
      </c>
      <c r="X359" s="62">
        <f t="shared" si="321"/>
        <v>1450000</v>
      </c>
      <c r="Y359" s="62">
        <f t="shared" si="322"/>
        <v>1450000</v>
      </c>
      <c r="Z359" s="62">
        <f t="shared" si="323"/>
        <v>1450000</v>
      </c>
      <c r="AA359" s="62">
        <f t="shared" si="324"/>
        <v>1450000</v>
      </c>
      <c r="AB359" s="62">
        <f t="shared" si="325"/>
        <v>1450000</v>
      </c>
      <c r="AC359" s="62">
        <f t="shared" si="326"/>
        <v>1450000</v>
      </c>
    </row>
    <row r="360" spans="1:29" x14ac:dyDescent="0.25">
      <c r="A360" s="30" t="str">
        <f t="shared" si="298"/>
        <v>Opex maintenance &amp; repair</v>
      </c>
      <c r="B360" s="62">
        <f t="shared" si="299"/>
        <v>650000</v>
      </c>
      <c r="C360" s="62">
        <f t="shared" si="300"/>
        <v>650000</v>
      </c>
      <c r="D360" s="62">
        <f t="shared" si="301"/>
        <v>650000</v>
      </c>
      <c r="E360" s="62">
        <f t="shared" si="302"/>
        <v>650000</v>
      </c>
      <c r="F360" s="62">
        <f t="shared" si="303"/>
        <v>650000</v>
      </c>
      <c r="G360" s="62">
        <f t="shared" si="304"/>
        <v>650000</v>
      </c>
      <c r="H360" s="62">
        <f t="shared" si="305"/>
        <v>650000</v>
      </c>
      <c r="I360" s="62">
        <f t="shared" si="306"/>
        <v>650000</v>
      </c>
      <c r="J360" s="62">
        <f t="shared" si="307"/>
        <v>650000</v>
      </c>
      <c r="K360" s="62">
        <f t="shared" si="308"/>
        <v>650000</v>
      </c>
      <c r="L360" s="62">
        <f t="shared" si="309"/>
        <v>650000</v>
      </c>
      <c r="M360" s="62">
        <f t="shared" si="310"/>
        <v>650000</v>
      </c>
      <c r="N360" s="62">
        <f t="shared" si="311"/>
        <v>650000</v>
      </c>
      <c r="O360" s="62">
        <f t="shared" si="312"/>
        <v>650000</v>
      </c>
      <c r="P360" s="62">
        <f t="shared" si="313"/>
        <v>650000</v>
      </c>
      <c r="Q360" s="62">
        <f t="shared" si="314"/>
        <v>650000</v>
      </c>
      <c r="R360" s="62">
        <f t="shared" si="315"/>
        <v>650000</v>
      </c>
      <c r="S360" s="62">
        <f t="shared" si="316"/>
        <v>650000</v>
      </c>
      <c r="T360" s="62">
        <f t="shared" si="317"/>
        <v>650000</v>
      </c>
      <c r="U360" s="62">
        <f t="shared" si="318"/>
        <v>650000</v>
      </c>
      <c r="V360" s="62">
        <f t="shared" si="319"/>
        <v>650000</v>
      </c>
      <c r="W360" s="62">
        <f t="shared" si="320"/>
        <v>650000</v>
      </c>
      <c r="X360" s="62">
        <f t="shared" si="321"/>
        <v>650000</v>
      </c>
      <c r="Y360" s="62">
        <f t="shared" si="322"/>
        <v>650000</v>
      </c>
      <c r="Z360" s="62">
        <f t="shared" si="323"/>
        <v>650000</v>
      </c>
      <c r="AA360" s="62">
        <f t="shared" si="324"/>
        <v>650000</v>
      </c>
      <c r="AB360" s="62">
        <f t="shared" si="325"/>
        <v>650000</v>
      </c>
      <c r="AC360" s="62">
        <f t="shared" si="326"/>
        <v>650000</v>
      </c>
    </row>
    <row r="361" spans="1:29" x14ac:dyDescent="0.25">
      <c r="A361" s="30" t="str">
        <f t="shared" si="298"/>
        <v>Opex var (mode-fees, shunting)</v>
      </c>
      <c r="B361" s="62">
        <f t="shared" si="299"/>
        <v>8.9635854341736696</v>
      </c>
      <c r="C361" s="62">
        <f t="shared" si="300"/>
        <v>8.9635854341736696</v>
      </c>
      <c r="D361" s="62">
        <f t="shared" si="301"/>
        <v>8.9635854341736696</v>
      </c>
      <c r="E361" s="62">
        <f t="shared" si="302"/>
        <v>8.9635854341736696</v>
      </c>
      <c r="F361" s="62">
        <f t="shared" si="303"/>
        <v>8.9635854341736696</v>
      </c>
      <c r="G361" s="62">
        <f t="shared" si="304"/>
        <v>8.9635854341736696</v>
      </c>
      <c r="H361" s="62">
        <f t="shared" si="305"/>
        <v>8.9635854341736696</v>
      </c>
      <c r="I361" s="62">
        <f t="shared" si="306"/>
        <v>8.9635854341736696</v>
      </c>
      <c r="J361" s="62">
        <f t="shared" si="307"/>
        <v>8.9635854341736696</v>
      </c>
      <c r="K361" s="62">
        <f t="shared" si="308"/>
        <v>8.9635854341736696</v>
      </c>
      <c r="L361" s="62">
        <f t="shared" si="309"/>
        <v>8.9635854341736696</v>
      </c>
      <c r="M361" s="62">
        <f t="shared" si="310"/>
        <v>8.9635854341736696</v>
      </c>
      <c r="N361" s="62">
        <f t="shared" si="311"/>
        <v>8.9635854341736696</v>
      </c>
      <c r="O361" s="62">
        <f t="shared" si="312"/>
        <v>8.9635854341736696</v>
      </c>
      <c r="P361" s="62">
        <f t="shared" si="313"/>
        <v>8.9635854341736696</v>
      </c>
      <c r="Q361" s="62">
        <f t="shared" si="314"/>
        <v>8.9635854341736696</v>
      </c>
      <c r="R361" s="62">
        <f t="shared" si="315"/>
        <v>8.9635854341736696</v>
      </c>
      <c r="S361" s="62">
        <f t="shared" si="316"/>
        <v>8.9635854341736696</v>
      </c>
      <c r="T361" s="62">
        <f t="shared" si="317"/>
        <v>8.9635854341736696</v>
      </c>
      <c r="U361" s="62">
        <f t="shared" si="318"/>
        <v>8.9635854341736696</v>
      </c>
      <c r="V361" s="62">
        <f t="shared" si="319"/>
        <v>8.9635854341736696</v>
      </c>
      <c r="W361" s="62">
        <f t="shared" si="320"/>
        <v>8.9635854341736696</v>
      </c>
      <c r="X361" s="62">
        <f t="shared" si="321"/>
        <v>8.9635854341736696</v>
      </c>
      <c r="Y361" s="62">
        <f t="shared" si="322"/>
        <v>8.9635854341736696</v>
      </c>
      <c r="Z361" s="62">
        <f t="shared" si="323"/>
        <v>8.9635854341736696</v>
      </c>
      <c r="AA361" s="62">
        <f t="shared" si="324"/>
        <v>8.9635854341736696</v>
      </c>
      <c r="AB361" s="62">
        <f t="shared" si="325"/>
        <v>8.9635854341736696</v>
      </c>
      <c r="AC361" s="62">
        <f t="shared" si="326"/>
        <v>8.9635854341736696</v>
      </c>
    </row>
    <row r="362" spans="1:29" x14ac:dyDescent="0.25">
      <c r="A362" s="30" t="str">
        <f t="shared" si="298"/>
        <v>Fuel Economy</v>
      </c>
      <c r="B362" s="62">
        <f t="shared" si="299"/>
        <v>31.614305882352937</v>
      </c>
      <c r="C362" s="62">
        <f t="shared" si="300"/>
        <v>31.614305882352937</v>
      </c>
      <c r="D362" s="62">
        <f t="shared" si="301"/>
        <v>31.614305882352937</v>
      </c>
      <c r="E362" s="62">
        <f t="shared" si="302"/>
        <v>31.614305882352937</v>
      </c>
      <c r="F362" s="62">
        <f t="shared" si="303"/>
        <v>31.614305882352937</v>
      </c>
      <c r="G362" s="62">
        <f t="shared" si="304"/>
        <v>31.614305882352937</v>
      </c>
      <c r="H362" s="62">
        <f t="shared" si="305"/>
        <v>31.614305882352937</v>
      </c>
      <c r="I362" s="62">
        <f t="shared" si="306"/>
        <v>31.614305882352937</v>
      </c>
      <c r="J362" s="62">
        <f t="shared" si="307"/>
        <v>31.614305882352937</v>
      </c>
      <c r="K362" s="62">
        <f t="shared" si="308"/>
        <v>31.614305882352937</v>
      </c>
      <c r="L362" s="62">
        <f t="shared" si="309"/>
        <v>31.614305882352937</v>
      </c>
      <c r="M362" s="62">
        <f t="shared" si="310"/>
        <v>31.614305882352937</v>
      </c>
      <c r="N362" s="62">
        <f t="shared" si="311"/>
        <v>31.614305882352937</v>
      </c>
      <c r="O362" s="62">
        <f t="shared" si="312"/>
        <v>31.614305882352937</v>
      </c>
      <c r="P362" s="62">
        <f t="shared" si="313"/>
        <v>31.614305882352937</v>
      </c>
      <c r="Q362" s="62">
        <f t="shared" si="314"/>
        <v>31.614305882352937</v>
      </c>
      <c r="R362" s="62">
        <f t="shared" si="315"/>
        <v>31.614305882352937</v>
      </c>
      <c r="S362" s="62">
        <f t="shared" si="316"/>
        <v>31.614305882352937</v>
      </c>
      <c r="T362" s="62">
        <f t="shared" si="317"/>
        <v>31.614305882352937</v>
      </c>
      <c r="U362" s="62">
        <f t="shared" si="318"/>
        <v>31.614305882352937</v>
      </c>
      <c r="V362" s="62">
        <f t="shared" si="319"/>
        <v>31.614305882352937</v>
      </c>
      <c r="W362" s="62">
        <f t="shared" si="320"/>
        <v>31.614305882352937</v>
      </c>
      <c r="X362" s="62">
        <f t="shared" si="321"/>
        <v>31.614305882352937</v>
      </c>
      <c r="Y362" s="62">
        <f t="shared" si="322"/>
        <v>31.614305882352937</v>
      </c>
      <c r="Z362" s="62">
        <f t="shared" si="323"/>
        <v>31.614305882352937</v>
      </c>
      <c r="AA362" s="62">
        <f t="shared" si="324"/>
        <v>31.614305882352937</v>
      </c>
      <c r="AB362" s="62">
        <f t="shared" si="325"/>
        <v>31.614305882352937</v>
      </c>
      <c r="AC362" s="62">
        <f t="shared" si="326"/>
        <v>31.614305882352937</v>
      </c>
    </row>
    <row r="363" spans="1:29" x14ac:dyDescent="0.25">
      <c r="A363" s="30" t="str">
        <f t="shared" si="298"/>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327">A344</f>
        <v>Emission Cost</v>
      </c>
      <c r="B364" s="66">
        <f>$B344+($C344-$B344)*(1-Q344)</f>
        <v>0</v>
      </c>
      <c r="C364" s="66">
        <f t="shared" ref="C364" si="328">$B344+($C344-$B344)*(1-R344)</f>
        <v>0</v>
      </c>
      <c r="D364" s="66">
        <f t="shared" ref="D364" si="329">$B344+($C344-$B344)*(1-S344)</f>
        <v>0</v>
      </c>
      <c r="E364" s="66">
        <f t="shared" ref="E364" si="330">$B344+($C344-$B344)*(1-T344)</f>
        <v>0</v>
      </c>
      <c r="F364" s="66">
        <f t="shared" ref="F364" si="331">$B344+($C344-$B344)*(1-U344)</f>
        <v>0</v>
      </c>
      <c r="G364" s="66">
        <f t="shared" ref="G364" si="332">$B344+($C344-$B344)*(1-V344)</f>
        <v>0</v>
      </c>
      <c r="H364" s="66">
        <f t="shared" ref="H364" si="333">$B344+($C344-$B344)*(1-W344)</f>
        <v>0</v>
      </c>
      <c r="I364" s="66">
        <f t="shared" ref="I364" si="334">$B344+($C344-$B344)*(1-X344)</f>
        <v>0</v>
      </c>
      <c r="J364" s="66">
        <f t="shared" ref="J364" si="335">$B344+($C344-$B344)*(1-Y344)</f>
        <v>0</v>
      </c>
      <c r="K364" s="66">
        <f t="shared" ref="K364" si="336">$B344+($C344-$B344)*(1-Z344)</f>
        <v>0</v>
      </c>
      <c r="L364" s="66">
        <f t="shared" ref="L364" si="337">$B344+($C344-$B344)*(1-AA344)</f>
        <v>0</v>
      </c>
      <c r="M364" s="66">
        <f t="shared" ref="M364" si="338">$B344+($C344-$B344)*(1-AB344)</f>
        <v>0</v>
      </c>
      <c r="N364" s="66">
        <f t="shared" ref="N364" si="339">$B344+($C344-$B344)*(1-AC344)</f>
        <v>0</v>
      </c>
      <c r="O364" s="66">
        <f t="shared" ref="O364" si="340">$B344+($C344-$B344)*(1-AD344)</f>
        <v>0</v>
      </c>
      <c r="P364" s="66">
        <f t="shared" ref="P364" si="341">$B344+($C344-$B344)*(1-AE344)</f>
        <v>0</v>
      </c>
      <c r="Q364" s="66">
        <f t="shared" ref="Q364" si="342">$B344+($C344-$B344)*(1-AF344)</f>
        <v>0</v>
      </c>
      <c r="R364" s="66">
        <f t="shared" ref="R364" si="343">$B344+($C344-$B344)*(1-AG344)</f>
        <v>0</v>
      </c>
      <c r="S364" s="66">
        <f t="shared" ref="S364" si="344">$B344+($C344-$B344)*(1-AH344)</f>
        <v>0</v>
      </c>
      <c r="T364" s="66">
        <f t="shared" ref="T364" si="345">$B344+($C344-$B344)*(1-AI344)</f>
        <v>0</v>
      </c>
      <c r="U364" s="66">
        <f t="shared" ref="U364" si="346">$B344+($C344-$B344)*(1-AJ344)</f>
        <v>0</v>
      </c>
      <c r="V364" s="66">
        <f t="shared" ref="V364" si="347">$B344+($C344-$B344)*(1-AK344)</f>
        <v>0</v>
      </c>
      <c r="W364" s="66">
        <f t="shared" ref="W364" si="348">$B344+($C344-$B344)*(1-AL344)</f>
        <v>0</v>
      </c>
      <c r="X364" s="66">
        <f t="shared" ref="X364" si="349">$B344+($C344-$B344)*(1-AM344)</f>
        <v>0</v>
      </c>
      <c r="Y364" s="66">
        <f t="shared" ref="Y364" si="350">$B344+($C344-$B344)*(1-AN344)</f>
        <v>0</v>
      </c>
      <c r="Z364" s="66">
        <f t="shared" ref="Z364" si="351">$B344+($C344-$B344)*(1-AO344)</f>
        <v>0</v>
      </c>
      <c r="AA364" s="66">
        <f t="shared" ref="AA364" si="352">$B344+($C344-$B344)*(1-AP344)</f>
        <v>0</v>
      </c>
      <c r="AB364" s="66">
        <f t="shared" ref="AB364" si="353">$B344+($C344-$B344)*(1-AQ344)</f>
        <v>0</v>
      </c>
      <c r="AC364" s="66">
        <f t="shared" ref="AC364" si="354">$B344+($C344-$B344)*(1-AR344)</f>
        <v>0</v>
      </c>
    </row>
    <row r="365" spans="1:29" x14ac:dyDescent="0.25">
      <c r="A365" s="30" t="str">
        <f>A345</f>
        <v>Lifetime vehicle</v>
      </c>
      <c r="B365" s="62">
        <f>$B345+($C345-$B345)*(1-Q345)</f>
        <v>20</v>
      </c>
      <c r="C365" s="62">
        <f t="shared" ref="C365:L367" si="355">$B345+($C345-$B345)*(1-R345)</f>
        <v>20</v>
      </c>
      <c r="D365" s="62">
        <f t="shared" si="355"/>
        <v>20</v>
      </c>
      <c r="E365" s="62">
        <f t="shared" si="355"/>
        <v>20</v>
      </c>
      <c r="F365" s="62">
        <f t="shared" si="355"/>
        <v>20</v>
      </c>
      <c r="G365" s="62">
        <f t="shared" si="355"/>
        <v>20</v>
      </c>
      <c r="H365" s="62">
        <f t="shared" si="355"/>
        <v>20</v>
      </c>
      <c r="I365" s="62">
        <f t="shared" si="355"/>
        <v>20</v>
      </c>
      <c r="J365" s="62">
        <f t="shared" si="355"/>
        <v>20</v>
      </c>
      <c r="K365" s="62">
        <f t="shared" si="355"/>
        <v>20</v>
      </c>
      <c r="L365" s="62">
        <f t="shared" si="355"/>
        <v>20</v>
      </c>
      <c r="M365" s="62">
        <f t="shared" ref="M365:V367" si="356">$B345+($C345-$B345)*(1-AB345)</f>
        <v>20</v>
      </c>
      <c r="N365" s="62">
        <f t="shared" si="356"/>
        <v>20</v>
      </c>
      <c r="O365" s="62">
        <f t="shared" si="356"/>
        <v>20</v>
      </c>
      <c r="P365" s="62">
        <f t="shared" si="356"/>
        <v>20</v>
      </c>
      <c r="Q365" s="62">
        <f t="shared" si="356"/>
        <v>20</v>
      </c>
      <c r="R365" s="62">
        <f t="shared" si="356"/>
        <v>20</v>
      </c>
      <c r="S365" s="62">
        <f t="shared" si="356"/>
        <v>20</v>
      </c>
      <c r="T365" s="62">
        <f t="shared" si="356"/>
        <v>20</v>
      </c>
      <c r="U365" s="62">
        <f t="shared" si="356"/>
        <v>20</v>
      </c>
      <c r="V365" s="62">
        <f t="shared" si="356"/>
        <v>20</v>
      </c>
      <c r="W365" s="62">
        <f t="shared" ref="W365:AC367" si="357">$B345+($C345-$B345)*(1-AL345)</f>
        <v>20</v>
      </c>
      <c r="X365" s="62">
        <f t="shared" si="357"/>
        <v>20</v>
      </c>
      <c r="Y365" s="62">
        <f t="shared" si="357"/>
        <v>20</v>
      </c>
      <c r="Z365" s="62">
        <f t="shared" si="357"/>
        <v>20</v>
      </c>
      <c r="AA365" s="62">
        <f t="shared" si="357"/>
        <v>20</v>
      </c>
      <c r="AB365" s="62">
        <f t="shared" si="357"/>
        <v>20</v>
      </c>
      <c r="AC365" s="62">
        <f t="shared" si="357"/>
        <v>20</v>
      </c>
    </row>
    <row r="366" spans="1:29" x14ac:dyDescent="0.25">
      <c r="A366" s="30" t="str">
        <f>A346</f>
        <v>Lifetime costumization</v>
      </c>
      <c r="B366" s="62">
        <f>$B346+($C346-$B346)*(1-Q346)</f>
        <v>30</v>
      </c>
      <c r="C366" s="62">
        <f t="shared" si="355"/>
        <v>30</v>
      </c>
      <c r="D366" s="62">
        <f t="shared" si="355"/>
        <v>30</v>
      </c>
      <c r="E366" s="62">
        <f t="shared" si="355"/>
        <v>30</v>
      </c>
      <c r="F366" s="62">
        <f t="shared" si="355"/>
        <v>30</v>
      </c>
      <c r="G366" s="62">
        <f t="shared" si="355"/>
        <v>30</v>
      </c>
      <c r="H366" s="62">
        <f t="shared" si="355"/>
        <v>30</v>
      </c>
      <c r="I366" s="62">
        <f t="shared" si="355"/>
        <v>30</v>
      </c>
      <c r="J366" s="62">
        <f t="shared" si="355"/>
        <v>30</v>
      </c>
      <c r="K366" s="62">
        <f t="shared" si="355"/>
        <v>30</v>
      </c>
      <c r="L366" s="62">
        <f t="shared" si="355"/>
        <v>30</v>
      </c>
      <c r="M366" s="62">
        <f t="shared" si="356"/>
        <v>30</v>
      </c>
      <c r="N366" s="62">
        <f t="shared" si="356"/>
        <v>30</v>
      </c>
      <c r="O366" s="62">
        <f t="shared" si="356"/>
        <v>30</v>
      </c>
      <c r="P366" s="62">
        <f t="shared" si="356"/>
        <v>30</v>
      </c>
      <c r="Q366" s="62">
        <f t="shared" si="356"/>
        <v>30</v>
      </c>
      <c r="R366" s="62">
        <f t="shared" si="356"/>
        <v>30</v>
      </c>
      <c r="S366" s="62">
        <f t="shared" si="356"/>
        <v>30</v>
      </c>
      <c r="T366" s="62">
        <f t="shared" si="356"/>
        <v>30</v>
      </c>
      <c r="U366" s="62">
        <f t="shared" si="356"/>
        <v>30</v>
      </c>
      <c r="V366" s="62">
        <f t="shared" si="356"/>
        <v>30</v>
      </c>
      <c r="W366" s="62">
        <f t="shared" si="357"/>
        <v>30</v>
      </c>
      <c r="X366" s="62">
        <f t="shared" si="357"/>
        <v>30</v>
      </c>
      <c r="Y366" s="62">
        <f t="shared" si="357"/>
        <v>30</v>
      </c>
      <c r="Z366" s="62">
        <f t="shared" si="357"/>
        <v>30</v>
      </c>
      <c r="AA366" s="62">
        <f t="shared" si="357"/>
        <v>30</v>
      </c>
      <c r="AB366" s="62">
        <f t="shared" si="357"/>
        <v>30</v>
      </c>
      <c r="AC366" s="62">
        <f t="shared" si="357"/>
        <v>30</v>
      </c>
    </row>
    <row r="367" spans="1:29" x14ac:dyDescent="0.25">
      <c r="A367" s="30" t="str">
        <f>A347</f>
        <v>Tonnage .</v>
      </c>
      <c r="B367" s="62">
        <f>$B347+($C347-$B347)*(1-Q347)</f>
        <v>2240</v>
      </c>
      <c r="C367" s="62">
        <f t="shared" si="355"/>
        <v>2240</v>
      </c>
      <c r="D367" s="62">
        <f t="shared" si="355"/>
        <v>2240</v>
      </c>
      <c r="E367" s="62">
        <f t="shared" si="355"/>
        <v>2240</v>
      </c>
      <c r="F367" s="62">
        <f t="shared" si="355"/>
        <v>2240</v>
      </c>
      <c r="G367" s="62">
        <f t="shared" si="355"/>
        <v>2240</v>
      </c>
      <c r="H367" s="62">
        <f t="shared" si="355"/>
        <v>2240</v>
      </c>
      <c r="I367" s="62">
        <f t="shared" si="355"/>
        <v>2240</v>
      </c>
      <c r="J367" s="62">
        <f t="shared" si="355"/>
        <v>2240</v>
      </c>
      <c r="K367" s="62">
        <f t="shared" si="355"/>
        <v>2240</v>
      </c>
      <c r="L367" s="62">
        <f t="shared" si="355"/>
        <v>2240</v>
      </c>
      <c r="M367" s="62">
        <f t="shared" si="356"/>
        <v>2240</v>
      </c>
      <c r="N367" s="62">
        <f t="shared" si="356"/>
        <v>2240</v>
      </c>
      <c r="O367" s="62">
        <f t="shared" si="356"/>
        <v>2240</v>
      </c>
      <c r="P367" s="62">
        <f t="shared" si="356"/>
        <v>2240</v>
      </c>
      <c r="Q367" s="62">
        <f t="shared" si="356"/>
        <v>2240</v>
      </c>
      <c r="R367" s="62">
        <f t="shared" si="356"/>
        <v>2240</v>
      </c>
      <c r="S367" s="62">
        <f t="shared" si="356"/>
        <v>2240</v>
      </c>
      <c r="T367" s="62">
        <f t="shared" si="356"/>
        <v>2240</v>
      </c>
      <c r="U367" s="62">
        <f t="shared" si="356"/>
        <v>2240</v>
      </c>
      <c r="V367" s="62">
        <f t="shared" si="356"/>
        <v>2240</v>
      </c>
      <c r="W367" s="62">
        <f t="shared" si="357"/>
        <v>2240</v>
      </c>
      <c r="X367" s="62">
        <f t="shared" si="357"/>
        <v>2240</v>
      </c>
      <c r="Y367" s="62">
        <f t="shared" si="357"/>
        <v>2240</v>
      </c>
      <c r="Z367" s="62">
        <f t="shared" si="357"/>
        <v>2240</v>
      </c>
      <c r="AA367" s="62">
        <f t="shared" si="357"/>
        <v>2240</v>
      </c>
      <c r="AB367" s="62">
        <f t="shared" si="357"/>
        <v>2240</v>
      </c>
      <c r="AC367" s="62">
        <f t="shared" si="357"/>
        <v>2240</v>
      </c>
    </row>
    <row r="368" spans="1:29" x14ac:dyDescent="0.25">
      <c r="A368" s="30" t="str">
        <f>A348</f>
        <v>Market failure (av. utilization)</v>
      </c>
      <c r="B368" s="62">
        <f t="shared" ref="B368:K369" si="358">($B348+($C348-$B348)*(1-Q348))*B$44</f>
        <v>1612.8000000000002</v>
      </c>
      <c r="C368" s="62">
        <f t="shared" si="358"/>
        <v>1612.8000000000002</v>
      </c>
      <c r="D368" s="62">
        <f t="shared" si="358"/>
        <v>1612.8000000000002</v>
      </c>
      <c r="E368" s="62">
        <f t="shared" si="358"/>
        <v>1612.8000000000002</v>
      </c>
      <c r="F368" s="62">
        <f t="shared" si="358"/>
        <v>1612.8000000000002</v>
      </c>
      <c r="G368" s="62">
        <f t="shared" si="358"/>
        <v>1612.8000000000002</v>
      </c>
      <c r="H368" s="62">
        <f t="shared" si="358"/>
        <v>1612.8000000000002</v>
      </c>
      <c r="I368" s="62">
        <f t="shared" si="358"/>
        <v>1612.8000000000002</v>
      </c>
      <c r="J368" s="62">
        <f t="shared" si="358"/>
        <v>1612.8000000000002</v>
      </c>
      <c r="K368" s="62">
        <f t="shared" si="358"/>
        <v>1612.8000000000002</v>
      </c>
      <c r="L368" s="62">
        <f t="shared" ref="L368:U369" si="359">($B348+($C348-$B348)*(1-AA348))*L$44</f>
        <v>1612.8000000000002</v>
      </c>
      <c r="M368" s="62">
        <f t="shared" si="359"/>
        <v>1612.8000000000002</v>
      </c>
      <c r="N368" s="62">
        <f t="shared" si="359"/>
        <v>1612.8000000000002</v>
      </c>
      <c r="O368" s="62">
        <f t="shared" si="359"/>
        <v>1612.8000000000002</v>
      </c>
      <c r="P368" s="62">
        <f t="shared" si="359"/>
        <v>1612.8000000000002</v>
      </c>
      <c r="Q368" s="62">
        <f t="shared" si="359"/>
        <v>1612.8000000000002</v>
      </c>
      <c r="R368" s="62">
        <f t="shared" si="359"/>
        <v>1612.8000000000002</v>
      </c>
      <c r="S368" s="62">
        <f t="shared" si="359"/>
        <v>1612.8000000000002</v>
      </c>
      <c r="T368" s="62">
        <f t="shared" si="359"/>
        <v>1612.8000000000002</v>
      </c>
      <c r="U368" s="62">
        <f t="shared" si="359"/>
        <v>1612.8000000000002</v>
      </c>
      <c r="V368" s="62">
        <f t="shared" ref="V368:AC369" si="360">($B348+($C348-$B348)*(1-AK348))*V$44</f>
        <v>1612.8000000000002</v>
      </c>
      <c r="W368" s="62">
        <f t="shared" si="360"/>
        <v>1612.8000000000002</v>
      </c>
      <c r="X368" s="62">
        <f t="shared" si="360"/>
        <v>1612.8000000000002</v>
      </c>
      <c r="Y368" s="62">
        <f t="shared" si="360"/>
        <v>1612.8000000000002</v>
      </c>
      <c r="Z368" s="62">
        <f t="shared" si="360"/>
        <v>1612.8000000000002</v>
      </c>
      <c r="AA368" s="62">
        <f t="shared" si="360"/>
        <v>1612.8000000000002</v>
      </c>
      <c r="AB368" s="62">
        <f t="shared" si="360"/>
        <v>1612.8000000000002</v>
      </c>
      <c r="AC368" s="62">
        <f t="shared" si="360"/>
        <v>1612.8000000000002</v>
      </c>
    </row>
    <row r="369" spans="1:29" x14ac:dyDescent="0.25">
      <c r="A369" s="30" t="s">
        <v>73</v>
      </c>
      <c r="B369" s="62">
        <f t="shared" si="358"/>
        <v>0</v>
      </c>
      <c r="C369" s="62">
        <f t="shared" si="358"/>
        <v>0</v>
      </c>
      <c r="D369" s="62">
        <f t="shared" si="358"/>
        <v>0</v>
      </c>
      <c r="E369" s="62">
        <f t="shared" si="358"/>
        <v>0</v>
      </c>
      <c r="F369" s="62">
        <f t="shared" si="358"/>
        <v>0</v>
      </c>
      <c r="G369" s="62">
        <f t="shared" si="358"/>
        <v>0</v>
      </c>
      <c r="H369" s="62">
        <f t="shared" si="358"/>
        <v>0</v>
      </c>
      <c r="I369" s="62">
        <f t="shared" si="358"/>
        <v>0</v>
      </c>
      <c r="J369" s="62">
        <f t="shared" si="358"/>
        <v>0</v>
      </c>
      <c r="K369" s="62">
        <f t="shared" si="358"/>
        <v>0</v>
      </c>
      <c r="L369" s="62">
        <f t="shared" si="359"/>
        <v>0</v>
      </c>
      <c r="M369" s="62">
        <f t="shared" si="359"/>
        <v>0</v>
      </c>
      <c r="N369" s="62">
        <f t="shared" si="359"/>
        <v>0</v>
      </c>
      <c r="O369" s="62">
        <f t="shared" si="359"/>
        <v>0</v>
      </c>
      <c r="P369" s="62">
        <f t="shared" si="359"/>
        <v>0</v>
      </c>
      <c r="Q369" s="62">
        <f t="shared" si="359"/>
        <v>0</v>
      </c>
      <c r="R369" s="62">
        <f t="shared" si="359"/>
        <v>0</v>
      </c>
      <c r="S369" s="62">
        <f t="shared" si="359"/>
        <v>0</v>
      </c>
      <c r="T369" s="62">
        <f t="shared" si="359"/>
        <v>0</v>
      </c>
      <c r="U369" s="62">
        <f t="shared" si="359"/>
        <v>0</v>
      </c>
      <c r="V369" s="62">
        <f t="shared" si="360"/>
        <v>0</v>
      </c>
      <c r="W369" s="62">
        <f t="shared" si="360"/>
        <v>0</v>
      </c>
      <c r="X369" s="62">
        <f t="shared" si="360"/>
        <v>0</v>
      </c>
      <c r="Y369" s="62">
        <f t="shared" si="360"/>
        <v>0</v>
      </c>
      <c r="Z369" s="62">
        <f t="shared" si="360"/>
        <v>0</v>
      </c>
      <c r="AA369" s="62">
        <f t="shared" si="360"/>
        <v>0</v>
      </c>
      <c r="AB369" s="62">
        <f t="shared" si="360"/>
        <v>0</v>
      </c>
      <c r="AC369" s="62">
        <f t="shared" si="360"/>
        <v>0</v>
      </c>
    </row>
    <row r="370" spans="1:29" x14ac:dyDescent="0.25">
      <c r="A370" s="30" t="str">
        <f>A350</f>
        <v>Annual Mileage</v>
      </c>
      <c r="B370" s="62">
        <f t="shared" ref="B370:AC370" si="361">$B350+($C350-$B350)*(1-Q350)</f>
        <v>178500</v>
      </c>
      <c r="C370" s="62">
        <f t="shared" si="361"/>
        <v>178500</v>
      </c>
      <c r="D370" s="62">
        <f t="shared" si="361"/>
        <v>178500</v>
      </c>
      <c r="E370" s="62">
        <f t="shared" si="361"/>
        <v>178500</v>
      </c>
      <c r="F370" s="62">
        <f t="shared" si="361"/>
        <v>178500</v>
      </c>
      <c r="G370" s="62">
        <f t="shared" si="361"/>
        <v>178500</v>
      </c>
      <c r="H370" s="62">
        <f t="shared" si="361"/>
        <v>178500</v>
      </c>
      <c r="I370" s="62">
        <f t="shared" si="361"/>
        <v>178500</v>
      </c>
      <c r="J370" s="62">
        <f t="shared" si="361"/>
        <v>178500</v>
      </c>
      <c r="K370" s="62">
        <f t="shared" si="361"/>
        <v>178500</v>
      </c>
      <c r="L370" s="62">
        <f t="shared" si="361"/>
        <v>178500</v>
      </c>
      <c r="M370" s="62">
        <f t="shared" si="361"/>
        <v>178500</v>
      </c>
      <c r="N370" s="62">
        <f t="shared" si="361"/>
        <v>178500</v>
      </c>
      <c r="O370" s="62">
        <f t="shared" si="361"/>
        <v>178500</v>
      </c>
      <c r="P370" s="62">
        <f t="shared" si="361"/>
        <v>178500</v>
      </c>
      <c r="Q370" s="62">
        <f t="shared" si="361"/>
        <v>178500</v>
      </c>
      <c r="R370" s="62">
        <f t="shared" si="361"/>
        <v>178500</v>
      </c>
      <c r="S370" s="62">
        <f t="shared" si="361"/>
        <v>178500</v>
      </c>
      <c r="T370" s="62">
        <f t="shared" si="361"/>
        <v>178500</v>
      </c>
      <c r="U370" s="62">
        <f t="shared" si="361"/>
        <v>178500</v>
      </c>
      <c r="V370" s="62">
        <f t="shared" si="361"/>
        <v>178500</v>
      </c>
      <c r="W370" s="62">
        <f t="shared" si="361"/>
        <v>178500</v>
      </c>
      <c r="X370" s="62">
        <f t="shared" si="361"/>
        <v>178500</v>
      </c>
      <c r="Y370" s="62">
        <f t="shared" si="361"/>
        <v>178500</v>
      </c>
      <c r="Z370" s="62">
        <f t="shared" si="361"/>
        <v>178500</v>
      </c>
      <c r="AA370" s="62">
        <f t="shared" si="361"/>
        <v>178500</v>
      </c>
      <c r="AB370" s="62">
        <f t="shared" si="361"/>
        <v>178500</v>
      </c>
      <c r="AC370" s="62">
        <f t="shared" si="36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2">((1+C358)^C365)*C358/(((1+C358)^C365)-1)*(C354)</f>
        <v>435922.78488425701</v>
      </c>
      <c r="D373" s="63">
        <f t="shared" si="362"/>
        <v>435922.78488425701</v>
      </c>
      <c r="E373" s="63">
        <f t="shared" si="362"/>
        <v>435922.78488425701</v>
      </c>
      <c r="F373" s="63">
        <f t="shared" si="362"/>
        <v>435922.78488425701</v>
      </c>
      <c r="G373" s="63">
        <f t="shared" si="362"/>
        <v>435922.78488425701</v>
      </c>
      <c r="H373" s="63">
        <f t="shared" si="362"/>
        <v>435922.78488425701</v>
      </c>
      <c r="I373" s="63">
        <f t="shared" si="362"/>
        <v>435922.78488425701</v>
      </c>
      <c r="J373" s="63">
        <f t="shared" si="362"/>
        <v>435922.78488425701</v>
      </c>
      <c r="K373" s="63">
        <f t="shared" si="362"/>
        <v>435922.78488425701</v>
      </c>
      <c r="L373" s="63">
        <f t="shared" si="362"/>
        <v>435922.78488425701</v>
      </c>
      <c r="M373" s="63">
        <f t="shared" si="362"/>
        <v>435922.78488425701</v>
      </c>
      <c r="N373" s="63">
        <f t="shared" si="362"/>
        <v>435922.78488425701</v>
      </c>
      <c r="O373" s="63">
        <f t="shared" si="362"/>
        <v>435922.78488425701</v>
      </c>
      <c r="P373" s="63">
        <f t="shared" si="362"/>
        <v>435922.78488425701</v>
      </c>
      <c r="Q373" s="63">
        <f t="shared" si="362"/>
        <v>435922.78488425701</v>
      </c>
      <c r="R373" s="63">
        <f t="shared" si="362"/>
        <v>435922.78488425701</v>
      </c>
      <c r="S373" s="63">
        <f t="shared" si="362"/>
        <v>435922.78488425701</v>
      </c>
      <c r="T373" s="63">
        <f t="shared" si="362"/>
        <v>435922.78488425701</v>
      </c>
      <c r="U373" s="63">
        <f t="shared" si="362"/>
        <v>435922.78488425701</v>
      </c>
      <c r="V373" s="63">
        <f t="shared" si="362"/>
        <v>435922.78488425701</v>
      </c>
      <c r="W373" s="63">
        <f t="shared" si="362"/>
        <v>435922.78488425701</v>
      </c>
      <c r="X373" s="63">
        <f t="shared" si="362"/>
        <v>435922.78488425701</v>
      </c>
      <c r="Y373" s="63">
        <f t="shared" si="362"/>
        <v>435922.78488425701</v>
      </c>
      <c r="Z373" s="63">
        <f t="shared" si="362"/>
        <v>435922.78488425701</v>
      </c>
      <c r="AA373" s="63">
        <f t="shared" si="362"/>
        <v>435922.78488425701</v>
      </c>
      <c r="AB373" s="63">
        <f t="shared" si="362"/>
        <v>435922.78488425701</v>
      </c>
      <c r="AC373" s="63">
        <f t="shared" si="362"/>
        <v>435922.78488425701</v>
      </c>
    </row>
    <row r="374" spans="1:29" x14ac:dyDescent="0.25">
      <c r="A374" s="30" t="str">
        <f>A355</f>
        <v>Residual value (vehicle)</v>
      </c>
      <c r="B374" s="62">
        <f>((1+B358)^B365)*B358/(((1+B358)^B365)-1)*(B355)</f>
        <v>-65388.417732638554</v>
      </c>
      <c r="C374" s="62">
        <f t="shared" ref="C374:AC374" si="363">((1+C358)^C365)*C358/(((1+C358)^C365)-1)*(C355)</f>
        <v>-65388.417732638554</v>
      </c>
      <c r="D374" s="62">
        <f t="shared" si="363"/>
        <v>-65388.417732638554</v>
      </c>
      <c r="E374" s="62">
        <f t="shared" si="363"/>
        <v>-65388.417732638554</v>
      </c>
      <c r="F374" s="62">
        <f t="shared" si="363"/>
        <v>-65388.417732638554</v>
      </c>
      <c r="G374" s="62">
        <f t="shared" si="363"/>
        <v>-65388.417732638554</v>
      </c>
      <c r="H374" s="62">
        <f t="shared" si="363"/>
        <v>-65388.417732638554</v>
      </c>
      <c r="I374" s="62">
        <f t="shared" si="363"/>
        <v>-65388.417732638554</v>
      </c>
      <c r="J374" s="62">
        <f t="shared" si="363"/>
        <v>-65388.417732638554</v>
      </c>
      <c r="K374" s="62">
        <f t="shared" si="363"/>
        <v>-65388.417732638554</v>
      </c>
      <c r="L374" s="62">
        <f t="shared" si="363"/>
        <v>-65388.417732638554</v>
      </c>
      <c r="M374" s="62">
        <f t="shared" si="363"/>
        <v>-65388.417732638554</v>
      </c>
      <c r="N374" s="62">
        <f t="shared" si="363"/>
        <v>-65388.417732638554</v>
      </c>
      <c r="O374" s="62">
        <f t="shared" si="363"/>
        <v>-65388.417732638554</v>
      </c>
      <c r="P374" s="62">
        <f t="shared" si="363"/>
        <v>-65388.417732638554</v>
      </c>
      <c r="Q374" s="62">
        <f t="shared" si="363"/>
        <v>-65388.417732638554</v>
      </c>
      <c r="R374" s="62">
        <f t="shared" si="363"/>
        <v>-65388.417732638554</v>
      </c>
      <c r="S374" s="62">
        <f t="shared" si="363"/>
        <v>-65388.417732638554</v>
      </c>
      <c r="T374" s="62">
        <f t="shared" si="363"/>
        <v>-65388.417732638554</v>
      </c>
      <c r="U374" s="62">
        <f t="shared" si="363"/>
        <v>-65388.417732638554</v>
      </c>
      <c r="V374" s="62">
        <f t="shared" si="363"/>
        <v>-65388.417732638554</v>
      </c>
      <c r="W374" s="62">
        <f t="shared" si="363"/>
        <v>-65388.417732638554</v>
      </c>
      <c r="X374" s="62">
        <f t="shared" si="363"/>
        <v>-65388.417732638554</v>
      </c>
      <c r="Y374" s="62">
        <f t="shared" si="363"/>
        <v>-65388.417732638554</v>
      </c>
      <c r="Z374" s="62">
        <f t="shared" si="363"/>
        <v>-65388.417732638554</v>
      </c>
      <c r="AA374" s="62">
        <f t="shared" si="363"/>
        <v>-65388.417732638554</v>
      </c>
      <c r="AB374" s="62">
        <f t="shared" si="363"/>
        <v>-65388.417732638554</v>
      </c>
      <c r="AC374" s="62">
        <f t="shared" si="363"/>
        <v>-65388.417732638554</v>
      </c>
    </row>
    <row r="375" spans="1:29" x14ac:dyDescent="0.25">
      <c r="A375" s="30" t="str">
        <f>A356</f>
        <v>Capex costumization</v>
      </c>
      <c r="B375" s="62">
        <f>((1+B358)^B366)*B358/(((1+B358)^B366)-1)*(B356)</f>
        <v>305125.4282581982</v>
      </c>
      <c r="C375" s="62">
        <f t="shared" ref="C375:AC375" si="364">((1+C358)^C366)*C358/(((1+C358)^C366)-1)*(C356)</f>
        <v>305125.4282581982</v>
      </c>
      <c r="D375" s="62">
        <f t="shared" si="364"/>
        <v>305125.4282581982</v>
      </c>
      <c r="E375" s="62">
        <f t="shared" si="364"/>
        <v>305125.4282581982</v>
      </c>
      <c r="F375" s="62">
        <f t="shared" si="364"/>
        <v>305125.4282581982</v>
      </c>
      <c r="G375" s="62">
        <f t="shared" si="364"/>
        <v>305125.4282581982</v>
      </c>
      <c r="H375" s="62">
        <f t="shared" si="364"/>
        <v>305125.4282581982</v>
      </c>
      <c r="I375" s="62">
        <f t="shared" si="364"/>
        <v>305125.4282581982</v>
      </c>
      <c r="J375" s="62">
        <f t="shared" si="364"/>
        <v>305125.4282581982</v>
      </c>
      <c r="K375" s="62">
        <f t="shared" si="364"/>
        <v>305125.4282581982</v>
      </c>
      <c r="L375" s="62">
        <f t="shared" si="364"/>
        <v>305125.4282581982</v>
      </c>
      <c r="M375" s="62">
        <f t="shared" si="364"/>
        <v>305125.4282581982</v>
      </c>
      <c r="N375" s="62">
        <f t="shared" si="364"/>
        <v>305125.4282581982</v>
      </c>
      <c r="O375" s="62">
        <f t="shared" si="364"/>
        <v>305125.4282581982</v>
      </c>
      <c r="P375" s="62">
        <f t="shared" si="364"/>
        <v>305125.4282581982</v>
      </c>
      <c r="Q375" s="62">
        <f t="shared" si="364"/>
        <v>305125.4282581982</v>
      </c>
      <c r="R375" s="62">
        <f t="shared" si="364"/>
        <v>305125.4282581982</v>
      </c>
      <c r="S375" s="62">
        <f t="shared" si="364"/>
        <v>305125.4282581982</v>
      </c>
      <c r="T375" s="62">
        <f t="shared" si="364"/>
        <v>305125.4282581982</v>
      </c>
      <c r="U375" s="62">
        <f t="shared" si="364"/>
        <v>305125.4282581982</v>
      </c>
      <c r="V375" s="62">
        <f t="shared" si="364"/>
        <v>305125.4282581982</v>
      </c>
      <c r="W375" s="62">
        <f t="shared" si="364"/>
        <v>305125.4282581982</v>
      </c>
      <c r="X375" s="62">
        <f t="shared" si="364"/>
        <v>305125.4282581982</v>
      </c>
      <c r="Y375" s="62">
        <f t="shared" si="364"/>
        <v>305125.4282581982</v>
      </c>
      <c r="Z375" s="62">
        <f t="shared" si="364"/>
        <v>305125.4282581982</v>
      </c>
      <c r="AA375" s="62">
        <f t="shared" si="364"/>
        <v>305125.4282581982</v>
      </c>
      <c r="AB375" s="62">
        <f t="shared" si="364"/>
        <v>305125.4282581982</v>
      </c>
      <c r="AC375" s="62">
        <f t="shared" si="364"/>
        <v>305125.4282581982</v>
      </c>
    </row>
    <row r="376" spans="1:29" x14ac:dyDescent="0.25">
      <c r="A376" s="30" t="str">
        <f>A357</f>
        <v>Residual value (costumization)</v>
      </c>
      <c r="B376" s="62">
        <f>((1+B358)^B366)*B358/(((1+B358)^B366)-1)*(B357)</f>
        <v>-15256.271412909911</v>
      </c>
      <c r="C376" s="62">
        <f t="shared" ref="C376:AC376" si="365">((1+C358)^C366)*C358/(((1+C358)^C366)-1)*(C357)</f>
        <v>-15256.271412909911</v>
      </c>
      <c r="D376" s="62">
        <f t="shared" si="365"/>
        <v>-15256.271412909911</v>
      </c>
      <c r="E376" s="62">
        <f t="shared" si="365"/>
        <v>-15256.271412909911</v>
      </c>
      <c r="F376" s="62">
        <f t="shared" si="365"/>
        <v>-15256.271412909911</v>
      </c>
      <c r="G376" s="62">
        <f t="shared" si="365"/>
        <v>-15256.271412909911</v>
      </c>
      <c r="H376" s="62">
        <f t="shared" si="365"/>
        <v>-15256.271412909911</v>
      </c>
      <c r="I376" s="62">
        <f t="shared" si="365"/>
        <v>-15256.271412909911</v>
      </c>
      <c r="J376" s="62">
        <f t="shared" si="365"/>
        <v>-15256.271412909911</v>
      </c>
      <c r="K376" s="62">
        <f t="shared" si="365"/>
        <v>-15256.271412909911</v>
      </c>
      <c r="L376" s="62">
        <f t="shared" si="365"/>
        <v>-15256.271412909911</v>
      </c>
      <c r="M376" s="62">
        <f t="shared" si="365"/>
        <v>-15256.271412909911</v>
      </c>
      <c r="N376" s="62">
        <f t="shared" si="365"/>
        <v>-15256.271412909911</v>
      </c>
      <c r="O376" s="62">
        <f t="shared" si="365"/>
        <v>-15256.271412909911</v>
      </c>
      <c r="P376" s="62">
        <f t="shared" si="365"/>
        <v>-15256.271412909911</v>
      </c>
      <c r="Q376" s="62">
        <f t="shared" si="365"/>
        <v>-15256.271412909911</v>
      </c>
      <c r="R376" s="62">
        <f t="shared" si="365"/>
        <v>-15256.271412909911</v>
      </c>
      <c r="S376" s="62">
        <f t="shared" si="365"/>
        <v>-15256.271412909911</v>
      </c>
      <c r="T376" s="62">
        <f t="shared" si="365"/>
        <v>-15256.271412909911</v>
      </c>
      <c r="U376" s="62">
        <f t="shared" si="365"/>
        <v>-15256.271412909911</v>
      </c>
      <c r="V376" s="62">
        <f t="shared" si="365"/>
        <v>-15256.271412909911</v>
      </c>
      <c r="W376" s="62">
        <f t="shared" si="365"/>
        <v>-15256.271412909911</v>
      </c>
      <c r="X376" s="62">
        <f t="shared" si="365"/>
        <v>-15256.271412909911</v>
      </c>
      <c r="Y376" s="62">
        <f t="shared" si="365"/>
        <v>-15256.271412909911</v>
      </c>
      <c r="Z376" s="62">
        <f t="shared" si="365"/>
        <v>-15256.271412909911</v>
      </c>
      <c r="AA376" s="62">
        <f t="shared" si="365"/>
        <v>-15256.271412909911</v>
      </c>
      <c r="AB376" s="62">
        <f t="shared" si="365"/>
        <v>-15256.271412909911</v>
      </c>
      <c r="AC376" s="62">
        <f t="shared" si="365"/>
        <v>-15256.271412909911</v>
      </c>
    </row>
    <row r="377" spans="1:29" x14ac:dyDescent="0.25">
      <c r="A377" s="30" t="str">
        <f t="shared" ref="A377:AC377" si="366">A359</f>
        <v>Opex fix (admin, crew, insurance)</v>
      </c>
      <c r="B377" s="62">
        <f t="shared" si="366"/>
        <v>1450000</v>
      </c>
      <c r="C377" s="62">
        <f t="shared" si="366"/>
        <v>1450000</v>
      </c>
      <c r="D377" s="62">
        <f t="shared" si="366"/>
        <v>1450000</v>
      </c>
      <c r="E377" s="62">
        <f t="shared" si="366"/>
        <v>1450000</v>
      </c>
      <c r="F377" s="62">
        <f t="shared" si="366"/>
        <v>1450000</v>
      </c>
      <c r="G377" s="62">
        <f t="shared" si="366"/>
        <v>1450000</v>
      </c>
      <c r="H377" s="62">
        <f t="shared" si="366"/>
        <v>1450000</v>
      </c>
      <c r="I377" s="62">
        <f t="shared" si="366"/>
        <v>1450000</v>
      </c>
      <c r="J377" s="62">
        <f t="shared" si="366"/>
        <v>1450000</v>
      </c>
      <c r="K377" s="62">
        <f t="shared" si="366"/>
        <v>1450000</v>
      </c>
      <c r="L377" s="62">
        <f t="shared" si="366"/>
        <v>1450000</v>
      </c>
      <c r="M377" s="62">
        <f t="shared" si="366"/>
        <v>1450000</v>
      </c>
      <c r="N377" s="62">
        <f t="shared" si="366"/>
        <v>1450000</v>
      </c>
      <c r="O377" s="62">
        <f t="shared" si="366"/>
        <v>1450000</v>
      </c>
      <c r="P377" s="62">
        <f t="shared" si="366"/>
        <v>1450000</v>
      </c>
      <c r="Q377" s="62">
        <f t="shared" si="366"/>
        <v>1450000</v>
      </c>
      <c r="R377" s="62">
        <f t="shared" si="366"/>
        <v>1450000</v>
      </c>
      <c r="S377" s="62">
        <f t="shared" si="366"/>
        <v>1450000</v>
      </c>
      <c r="T377" s="62">
        <f t="shared" si="366"/>
        <v>1450000</v>
      </c>
      <c r="U377" s="62">
        <f t="shared" si="366"/>
        <v>1450000</v>
      </c>
      <c r="V377" s="62">
        <f t="shared" si="366"/>
        <v>1450000</v>
      </c>
      <c r="W377" s="62">
        <f t="shared" si="366"/>
        <v>1450000</v>
      </c>
      <c r="X377" s="62">
        <f t="shared" si="366"/>
        <v>1450000</v>
      </c>
      <c r="Y377" s="62">
        <f t="shared" si="366"/>
        <v>1450000</v>
      </c>
      <c r="Z377" s="62">
        <f t="shared" si="366"/>
        <v>1450000</v>
      </c>
      <c r="AA377" s="62">
        <f t="shared" si="366"/>
        <v>1450000</v>
      </c>
      <c r="AB377" s="62">
        <f t="shared" si="366"/>
        <v>1450000</v>
      </c>
      <c r="AC377" s="62">
        <f t="shared" si="366"/>
        <v>1450000</v>
      </c>
    </row>
    <row r="378" spans="1:29" x14ac:dyDescent="0.25">
      <c r="A378" s="30" t="str">
        <f t="shared" ref="A378:AC378" si="367">A360</f>
        <v>Opex maintenance &amp; repair</v>
      </c>
      <c r="B378" s="62">
        <f t="shared" si="367"/>
        <v>650000</v>
      </c>
      <c r="C378" s="62">
        <f t="shared" si="367"/>
        <v>650000</v>
      </c>
      <c r="D378" s="62">
        <f t="shared" si="367"/>
        <v>650000</v>
      </c>
      <c r="E378" s="62">
        <f t="shared" si="367"/>
        <v>650000</v>
      </c>
      <c r="F378" s="62">
        <f t="shared" si="367"/>
        <v>650000</v>
      </c>
      <c r="G378" s="62">
        <f t="shared" si="367"/>
        <v>650000</v>
      </c>
      <c r="H378" s="62">
        <f t="shared" si="367"/>
        <v>650000</v>
      </c>
      <c r="I378" s="62">
        <f t="shared" si="367"/>
        <v>650000</v>
      </c>
      <c r="J378" s="62">
        <f t="shared" si="367"/>
        <v>650000</v>
      </c>
      <c r="K378" s="62">
        <f t="shared" si="367"/>
        <v>650000</v>
      </c>
      <c r="L378" s="62">
        <f t="shared" si="367"/>
        <v>650000</v>
      </c>
      <c r="M378" s="62">
        <f t="shared" si="367"/>
        <v>650000</v>
      </c>
      <c r="N378" s="62">
        <f t="shared" si="367"/>
        <v>650000</v>
      </c>
      <c r="O378" s="62">
        <f t="shared" si="367"/>
        <v>650000</v>
      </c>
      <c r="P378" s="62">
        <f t="shared" si="367"/>
        <v>650000</v>
      </c>
      <c r="Q378" s="62">
        <f t="shared" si="367"/>
        <v>650000</v>
      </c>
      <c r="R378" s="62">
        <f t="shared" si="367"/>
        <v>650000</v>
      </c>
      <c r="S378" s="62">
        <f t="shared" si="367"/>
        <v>650000</v>
      </c>
      <c r="T378" s="62">
        <f t="shared" si="367"/>
        <v>650000</v>
      </c>
      <c r="U378" s="62">
        <f t="shared" si="367"/>
        <v>650000</v>
      </c>
      <c r="V378" s="62">
        <f t="shared" si="367"/>
        <v>650000</v>
      </c>
      <c r="W378" s="62">
        <f t="shared" si="367"/>
        <v>650000</v>
      </c>
      <c r="X378" s="62">
        <f t="shared" si="367"/>
        <v>650000</v>
      </c>
      <c r="Y378" s="62">
        <f t="shared" si="367"/>
        <v>650000</v>
      </c>
      <c r="Z378" s="62">
        <f t="shared" si="367"/>
        <v>650000</v>
      </c>
      <c r="AA378" s="62">
        <f t="shared" si="367"/>
        <v>650000</v>
      </c>
      <c r="AB378" s="62">
        <f t="shared" si="367"/>
        <v>650000</v>
      </c>
      <c r="AC378" s="62">
        <f t="shared" si="367"/>
        <v>650000</v>
      </c>
    </row>
    <row r="379" spans="1:29" x14ac:dyDescent="0.25">
      <c r="A379" s="30" t="str">
        <f>A361</f>
        <v>Opex var (mode-fees, shunting)</v>
      </c>
      <c r="B379" s="62">
        <f>B361*B370</f>
        <v>1600000</v>
      </c>
      <c r="C379" s="62">
        <f t="shared" ref="C379:AC379" si="368">C361*C370</f>
        <v>1600000</v>
      </c>
      <c r="D379" s="62">
        <f t="shared" si="368"/>
        <v>1600000</v>
      </c>
      <c r="E379" s="62">
        <f t="shared" si="368"/>
        <v>1600000</v>
      </c>
      <c r="F379" s="62">
        <f t="shared" si="368"/>
        <v>1600000</v>
      </c>
      <c r="G379" s="62">
        <f t="shared" si="368"/>
        <v>1600000</v>
      </c>
      <c r="H379" s="62">
        <f t="shared" si="368"/>
        <v>1600000</v>
      </c>
      <c r="I379" s="62">
        <f t="shared" si="368"/>
        <v>1600000</v>
      </c>
      <c r="J379" s="62">
        <f t="shared" si="368"/>
        <v>1600000</v>
      </c>
      <c r="K379" s="62">
        <f t="shared" si="368"/>
        <v>1600000</v>
      </c>
      <c r="L379" s="62">
        <f t="shared" si="368"/>
        <v>1600000</v>
      </c>
      <c r="M379" s="62">
        <f t="shared" si="368"/>
        <v>1600000</v>
      </c>
      <c r="N379" s="62">
        <f t="shared" si="368"/>
        <v>1600000</v>
      </c>
      <c r="O379" s="62">
        <f t="shared" si="368"/>
        <v>1600000</v>
      </c>
      <c r="P379" s="62">
        <f t="shared" si="368"/>
        <v>1600000</v>
      </c>
      <c r="Q379" s="62">
        <f t="shared" si="368"/>
        <v>1600000</v>
      </c>
      <c r="R379" s="62">
        <f t="shared" si="368"/>
        <v>1600000</v>
      </c>
      <c r="S379" s="62">
        <f t="shared" si="368"/>
        <v>1600000</v>
      </c>
      <c r="T379" s="62">
        <f t="shared" si="368"/>
        <v>1600000</v>
      </c>
      <c r="U379" s="62">
        <f t="shared" si="368"/>
        <v>1600000</v>
      </c>
      <c r="V379" s="62">
        <f t="shared" si="368"/>
        <v>1600000</v>
      </c>
      <c r="W379" s="62">
        <f t="shared" si="368"/>
        <v>1600000</v>
      </c>
      <c r="X379" s="62">
        <f t="shared" si="368"/>
        <v>1600000</v>
      </c>
      <c r="Y379" s="62">
        <f t="shared" si="368"/>
        <v>1600000</v>
      </c>
      <c r="Z379" s="62">
        <f t="shared" si="368"/>
        <v>1600000</v>
      </c>
      <c r="AA379" s="62">
        <f t="shared" si="368"/>
        <v>1600000</v>
      </c>
      <c r="AB379" s="62">
        <f t="shared" si="368"/>
        <v>1600000</v>
      </c>
      <c r="AC379" s="62">
        <f t="shared" si="368"/>
        <v>1600000</v>
      </c>
    </row>
    <row r="380" spans="1:29" x14ac:dyDescent="0.25">
      <c r="A380" s="30" t="str">
        <f>A363</f>
        <v>Fuel Cost</v>
      </c>
      <c r="B380" s="62">
        <f>B362*B363*B370</f>
        <v>531396.93343291793</v>
      </c>
      <c r="C380" s="62">
        <f t="shared" ref="C380:AC380" si="369">C362*C363*C370</f>
        <v>531396.93343291793</v>
      </c>
      <c r="D380" s="62">
        <f t="shared" si="369"/>
        <v>531396.93343291793</v>
      </c>
      <c r="E380" s="62">
        <f t="shared" si="369"/>
        <v>531396.93343291793</v>
      </c>
      <c r="F380" s="62">
        <f t="shared" si="369"/>
        <v>531396.93343291793</v>
      </c>
      <c r="G380" s="62">
        <f t="shared" si="369"/>
        <v>531396.93343291793</v>
      </c>
      <c r="H380" s="62">
        <f t="shared" si="369"/>
        <v>531396.93343291793</v>
      </c>
      <c r="I380" s="62">
        <f t="shared" si="369"/>
        <v>531396.93343291793</v>
      </c>
      <c r="J380" s="62">
        <f t="shared" si="369"/>
        <v>541742.71399833972</v>
      </c>
      <c r="K380" s="62">
        <f t="shared" si="369"/>
        <v>552088.49456376163</v>
      </c>
      <c r="L380" s="62">
        <f t="shared" si="369"/>
        <v>562434.27512918354</v>
      </c>
      <c r="M380" s="62">
        <f t="shared" si="369"/>
        <v>572780.05569460534</v>
      </c>
      <c r="N380" s="62">
        <f t="shared" si="369"/>
        <v>583125.83626002714</v>
      </c>
      <c r="O380" s="62">
        <f t="shared" si="369"/>
        <v>577482.68322434241</v>
      </c>
      <c r="P380" s="62">
        <f t="shared" si="369"/>
        <v>571839.53018865781</v>
      </c>
      <c r="Q380" s="62">
        <f t="shared" si="369"/>
        <v>566196.37715297309</v>
      </c>
      <c r="R380" s="62">
        <f t="shared" si="369"/>
        <v>560553.22411728848</v>
      </c>
      <c r="S380" s="62">
        <f t="shared" si="369"/>
        <v>554910.07108160388</v>
      </c>
      <c r="T380" s="62">
        <f t="shared" si="369"/>
        <v>549266.91804591927</v>
      </c>
      <c r="U380" s="62">
        <f t="shared" si="369"/>
        <v>543623.76501023455</v>
      </c>
      <c r="V380" s="62">
        <f t="shared" si="369"/>
        <v>537980.61197454983</v>
      </c>
      <c r="W380" s="62">
        <f t="shared" si="369"/>
        <v>532337.45893886534</v>
      </c>
      <c r="X380" s="62">
        <f t="shared" si="369"/>
        <v>526694.30590318074</v>
      </c>
      <c r="Y380" s="62">
        <f t="shared" si="369"/>
        <v>521051.15286749613</v>
      </c>
      <c r="Z380" s="62">
        <f t="shared" si="369"/>
        <v>515407.99983181141</v>
      </c>
      <c r="AA380" s="62">
        <f t="shared" si="369"/>
        <v>509764.84679612675</v>
      </c>
      <c r="AB380" s="62">
        <f t="shared" si="369"/>
        <v>504121.69376044202</v>
      </c>
      <c r="AC380" s="62">
        <f t="shared" si="369"/>
        <v>498478.54072475765</v>
      </c>
    </row>
    <row r="381" spans="1:29" ht="15.75" thickBot="1" x14ac:dyDescent="0.3">
      <c r="A381" s="59" t="str">
        <f>A344</f>
        <v>Emission Cost</v>
      </c>
      <c r="B381" s="62">
        <f>B364*B370</f>
        <v>0</v>
      </c>
      <c r="C381" s="62">
        <f t="shared" ref="C381:AC381" si="370">C364*C370</f>
        <v>0</v>
      </c>
      <c r="D381" s="62">
        <f t="shared" si="370"/>
        <v>0</v>
      </c>
      <c r="E381" s="62">
        <f t="shared" si="370"/>
        <v>0</v>
      </c>
      <c r="F381" s="62">
        <f t="shared" si="370"/>
        <v>0</v>
      </c>
      <c r="G381" s="62">
        <f t="shared" si="370"/>
        <v>0</v>
      </c>
      <c r="H381" s="62">
        <f t="shared" si="370"/>
        <v>0</v>
      </c>
      <c r="I381" s="62">
        <f t="shared" si="370"/>
        <v>0</v>
      </c>
      <c r="J381" s="62">
        <f t="shared" si="370"/>
        <v>0</v>
      </c>
      <c r="K381" s="62">
        <f t="shared" si="370"/>
        <v>0</v>
      </c>
      <c r="L381" s="62">
        <f t="shared" si="370"/>
        <v>0</v>
      </c>
      <c r="M381" s="62">
        <f t="shared" si="370"/>
        <v>0</v>
      </c>
      <c r="N381" s="62">
        <f t="shared" si="370"/>
        <v>0</v>
      </c>
      <c r="O381" s="62">
        <f t="shared" si="370"/>
        <v>0</v>
      </c>
      <c r="P381" s="62">
        <f t="shared" si="370"/>
        <v>0</v>
      </c>
      <c r="Q381" s="62">
        <f t="shared" si="370"/>
        <v>0</v>
      </c>
      <c r="R381" s="62">
        <f t="shared" si="370"/>
        <v>0</v>
      </c>
      <c r="S381" s="62">
        <f t="shared" si="370"/>
        <v>0</v>
      </c>
      <c r="T381" s="62">
        <f t="shared" si="370"/>
        <v>0</v>
      </c>
      <c r="U381" s="62">
        <f t="shared" si="370"/>
        <v>0</v>
      </c>
      <c r="V381" s="62">
        <f t="shared" si="370"/>
        <v>0</v>
      </c>
      <c r="W381" s="62">
        <f t="shared" si="370"/>
        <v>0</v>
      </c>
      <c r="X381" s="62">
        <f t="shared" si="370"/>
        <v>0</v>
      </c>
      <c r="Y381" s="62">
        <f t="shared" si="370"/>
        <v>0</v>
      </c>
      <c r="Z381" s="62">
        <f t="shared" si="370"/>
        <v>0</v>
      </c>
      <c r="AA381" s="62">
        <f t="shared" si="370"/>
        <v>0</v>
      </c>
      <c r="AB381" s="62">
        <f t="shared" si="370"/>
        <v>0</v>
      </c>
      <c r="AC381" s="62">
        <f t="shared" si="370"/>
        <v>0</v>
      </c>
    </row>
    <row r="382" spans="1:29" ht="15.75" thickBot="1" x14ac:dyDescent="0.3">
      <c r="A382" s="31" t="s">
        <v>209</v>
      </c>
      <c r="B382" s="64">
        <f>B373+B374+B375+B376+B377+B378+B379+B380+B381</f>
        <v>4891800.4574298244</v>
      </c>
      <c r="C382" s="64">
        <f t="shared" ref="C382:AC382" si="371">C373+C374+C375+C376+C377+C378+C379+C380+C381</f>
        <v>4891800.4574298244</v>
      </c>
      <c r="D382" s="64">
        <f t="shared" si="371"/>
        <v>4891800.4574298244</v>
      </c>
      <c r="E382" s="64">
        <f t="shared" si="371"/>
        <v>4891800.4574298244</v>
      </c>
      <c r="F382" s="64">
        <f t="shared" si="371"/>
        <v>4891800.4574298244</v>
      </c>
      <c r="G382" s="64">
        <f t="shared" si="371"/>
        <v>4891800.4574298244</v>
      </c>
      <c r="H382" s="64">
        <f t="shared" si="371"/>
        <v>4891800.4574298244</v>
      </c>
      <c r="I382" s="64">
        <f t="shared" si="371"/>
        <v>4891800.4574298244</v>
      </c>
      <c r="J382" s="64">
        <f t="shared" si="371"/>
        <v>4902146.2379952464</v>
      </c>
      <c r="K382" s="64">
        <f t="shared" si="371"/>
        <v>4912492.0185606685</v>
      </c>
      <c r="L382" s="64">
        <f t="shared" si="371"/>
        <v>4922837.7991260896</v>
      </c>
      <c r="M382" s="64">
        <f t="shared" si="371"/>
        <v>4933183.5796915116</v>
      </c>
      <c r="N382" s="64">
        <f t="shared" si="371"/>
        <v>4943529.3602569336</v>
      </c>
      <c r="O382" s="64">
        <f t="shared" si="371"/>
        <v>4937886.2072212491</v>
      </c>
      <c r="P382" s="64">
        <f t="shared" si="371"/>
        <v>4932243.0541855637</v>
      </c>
      <c r="Q382" s="64">
        <f t="shared" si="371"/>
        <v>4926599.9011498792</v>
      </c>
      <c r="R382" s="64">
        <f t="shared" si="371"/>
        <v>4920956.7481141947</v>
      </c>
      <c r="S382" s="64">
        <f t="shared" si="371"/>
        <v>4915313.5950785102</v>
      </c>
      <c r="T382" s="64">
        <f t="shared" si="371"/>
        <v>4909670.4420428257</v>
      </c>
      <c r="U382" s="64">
        <f t="shared" si="371"/>
        <v>4904027.2890071413</v>
      </c>
      <c r="V382" s="64">
        <f t="shared" si="371"/>
        <v>4898384.1359714558</v>
      </c>
      <c r="W382" s="64">
        <f t="shared" si="371"/>
        <v>4892740.9829357713</v>
      </c>
      <c r="X382" s="64">
        <f t="shared" si="371"/>
        <v>4887097.8299000869</v>
      </c>
      <c r="Y382" s="64">
        <f t="shared" si="371"/>
        <v>4881454.6768644024</v>
      </c>
      <c r="Z382" s="64">
        <f t="shared" si="371"/>
        <v>4875811.5238287179</v>
      </c>
      <c r="AA382" s="64">
        <f t="shared" si="371"/>
        <v>4870168.3707930334</v>
      </c>
      <c r="AB382" s="64">
        <f t="shared" si="371"/>
        <v>4864525.217757348</v>
      </c>
      <c r="AC382" s="64">
        <f t="shared" si="371"/>
        <v>4858882.0647216644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2">A373</f>
        <v>Capex vehicle</v>
      </c>
      <c r="B385" s="65">
        <f>((1+B358)^B365)*B358/(((1+B358)^B365)-1)*(B354)/B370</f>
        <v>2.4421444531330927</v>
      </c>
      <c r="C385" s="65">
        <f t="shared" ref="C385:AC385" si="373">((1+C358)^C365)*C358/(((1+C358)^C365)-1)*(C354)/C370</f>
        <v>2.4421444531330927</v>
      </c>
      <c r="D385" s="65">
        <f t="shared" si="373"/>
        <v>2.4421444531330927</v>
      </c>
      <c r="E385" s="65">
        <f t="shared" si="373"/>
        <v>2.4421444531330927</v>
      </c>
      <c r="F385" s="65">
        <f t="shared" si="373"/>
        <v>2.4421444531330927</v>
      </c>
      <c r="G385" s="65">
        <f t="shared" si="373"/>
        <v>2.4421444531330927</v>
      </c>
      <c r="H385" s="65">
        <f t="shared" si="373"/>
        <v>2.4421444531330927</v>
      </c>
      <c r="I385" s="65">
        <f t="shared" si="373"/>
        <v>2.4421444531330927</v>
      </c>
      <c r="J385" s="65">
        <f t="shared" si="373"/>
        <v>2.4421444531330927</v>
      </c>
      <c r="K385" s="65">
        <f t="shared" si="373"/>
        <v>2.4421444531330927</v>
      </c>
      <c r="L385" s="65">
        <f t="shared" si="373"/>
        <v>2.4421444531330927</v>
      </c>
      <c r="M385" s="65">
        <f t="shared" si="373"/>
        <v>2.4421444531330927</v>
      </c>
      <c r="N385" s="65">
        <f t="shared" si="373"/>
        <v>2.4421444531330927</v>
      </c>
      <c r="O385" s="65">
        <f t="shared" si="373"/>
        <v>2.4421444531330927</v>
      </c>
      <c r="P385" s="65">
        <f t="shared" si="373"/>
        <v>2.4421444531330927</v>
      </c>
      <c r="Q385" s="65">
        <f t="shared" si="373"/>
        <v>2.4421444531330927</v>
      </c>
      <c r="R385" s="65">
        <f t="shared" si="373"/>
        <v>2.4421444531330927</v>
      </c>
      <c r="S385" s="65">
        <f t="shared" si="373"/>
        <v>2.4421444531330927</v>
      </c>
      <c r="T385" s="65">
        <f t="shared" si="373"/>
        <v>2.4421444531330927</v>
      </c>
      <c r="U385" s="65">
        <f t="shared" si="373"/>
        <v>2.4421444531330927</v>
      </c>
      <c r="V385" s="65">
        <f t="shared" si="373"/>
        <v>2.4421444531330927</v>
      </c>
      <c r="W385" s="65">
        <f t="shared" si="373"/>
        <v>2.4421444531330927</v>
      </c>
      <c r="X385" s="65">
        <f t="shared" si="373"/>
        <v>2.4421444531330927</v>
      </c>
      <c r="Y385" s="65">
        <f t="shared" si="373"/>
        <v>2.4421444531330927</v>
      </c>
      <c r="Z385" s="65">
        <f t="shared" si="373"/>
        <v>2.4421444531330927</v>
      </c>
      <c r="AA385" s="65">
        <f t="shared" si="373"/>
        <v>2.4421444531330927</v>
      </c>
      <c r="AB385" s="65">
        <f t="shared" si="373"/>
        <v>2.4421444531330927</v>
      </c>
      <c r="AC385" s="65">
        <f t="shared" si="373"/>
        <v>2.4421444531330927</v>
      </c>
    </row>
    <row r="386" spans="1:29" x14ac:dyDescent="0.25">
      <c r="A386" s="30" t="str">
        <f t="shared" si="372"/>
        <v>Residual value (vehicle)</v>
      </c>
      <c r="B386" s="66">
        <f>((1+B358)^B365)*B358/(((1+B358)^B365)-1)*(B355)/B370</f>
        <v>-0.3663216679699639</v>
      </c>
      <c r="C386" s="66">
        <f t="shared" ref="C386:AC386" si="374">((1+C358)^C365)*C358/(((1+C358)^C365)-1)*(C355)/C370</f>
        <v>-0.3663216679699639</v>
      </c>
      <c r="D386" s="66">
        <f t="shared" si="374"/>
        <v>-0.3663216679699639</v>
      </c>
      <c r="E386" s="66">
        <f t="shared" si="374"/>
        <v>-0.3663216679699639</v>
      </c>
      <c r="F386" s="66">
        <f t="shared" si="374"/>
        <v>-0.3663216679699639</v>
      </c>
      <c r="G386" s="66">
        <f t="shared" si="374"/>
        <v>-0.3663216679699639</v>
      </c>
      <c r="H386" s="66">
        <f t="shared" si="374"/>
        <v>-0.3663216679699639</v>
      </c>
      <c r="I386" s="66">
        <f t="shared" si="374"/>
        <v>-0.3663216679699639</v>
      </c>
      <c r="J386" s="66">
        <f t="shared" si="374"/>
        <v>-0.3663216679699639</v>
      </c>
      <c r="K386" s="66">
        <f t="shared" si="374"/>
        <v>-0.3663216679699639</v>
      </c>
      <c r="L386" s="66">
        <f t="shared" si="374"/>
        <v>-0.3663216679699639</v>
      </c>
      <c r="M386" s="66">
        <f t="shared" si="374"/>
        <v>-0.3663216679699639</v>
      </c>
      <c r="N386" s="66">
        <f t="shared" si="374"/>
        <v>-0.3663216679699639</v>
      </c>
      <c r="O386" s="66">
        <f t="shared" si="374"/>
        <v>-0.3663216679699639</v>
      </c>
      <c r="P386" s="66">
        <f t="shared" si="374"/>
        <v>-0.3663216679699639</v>
      </c>
      <c r="Q386" s="66">
        <f t="shared" si="374"/>
        <v>-0.3663216679699639</v>
      </c>
      <c r="R386" s="66">
        <f t="shared" si="374"/>
        <v>-0.3663216679699639</v>
      </c>
      <c r="S386" s="66">
        <f t="shared" si="374"/>
        <v>-0.3663216679699639</v>
      </c>
      <c r="T386" s="66">
        <f t="shared" si="374"/>
        <v>-0.3663216679699639</v>
      </c>
      <c r="U386" s="66">
        <f t="shared" si="374"/>
        <v>-0.3663216679699639</v>
      </c>
      <c r="V386" s="66">
        <f t="shared" si="374"/>
        <v>-0.3663216679699639</v>
      </c>
      <c r="W386" s="66">
        <f t="shared" si="374"/>
        <v>-0.3663216679699639</v>
      </c>
      <c r="X386" s="66">
        <f t="shared" si="374"/>
        <v>-0.3663216679699639</v>
      </c>
      <c r="Y386" s="66">
        <f t="shared" si="374"/>
        <v>-0.3663216679699639</v>
      </c>
      <c r="Z386" s="66">
        <f t="shared" si="374"/>
        <v>-0.3663216679699639</v>
      </c>
      <c r="AA386" s="66">
        <f t="shared" si="374"/>
        <v>-0.3663216679699639</v>
      </c>
      <c r="AB386" s="66">
        <f t="shared" si="374"/>
        <v>-0.3663216679699639</v>
      </c>
      <c r="AC386" s="66">
        <f t="shared" si="374"/>
        <v>-0.3663216679699639</v>
      </c>
    </row>
    <row r="387" spans="1:29" x14ac:dyDescent="0.25">
      <c r="A387" s="30" t="str">
        <f t="shared" si="372"/>
        <v>Capex costumization</v>
      </c>
      <c r="B387" s="66">
        <f>((1+B358)^B366)*B358/(((1+B358)^B366)-1)*(B356)/B370</f>
        <v>1.7093861527069927</v>
      </c>
      <c r="C387" s="66">
        <f t="shared" ref="C387:AC387" si="375">((1+C358)^C366)*C358/(((1+C358)^C366)-1)*(C356)/C370</f>
        <v>1.7093861527069927</v>
      </c>
      <c r="D387" s="66">
        <f t="shared" si="375"/>
        <v>1.7093861527069927</v>
      </c>
      <c r="E387" s="66">
        <f t="shared" si="375"/>
        <v>1.7093861527069927</v>
      </c>
      <c r="F387" s="66">
        <f t="shared" si="375"/>
        <v>1.7093861527069927</v>
      </c>
      <c r="G387" s="66">
        <f t="shared" si="375"/>
        <v>1.7093861527069927</v>
      </c>
      <c r="H387" s="66">
        <f t="shared" si="375"/>
        <v>1.7093861527069927</v>
      </c>
      <c r="I387" s="66">
        <f t="shared" si="375"/>
        <v>1.7093861527069927</v>
      </c>
      <c r="J387" s="66">
        <f t="shared" si="375"/>
        <v>1.7093861527069927</v>
      </c>
      <c r="K387" s="66">
        <f t="shared" si="375"/>
        <v>1.7093861527069927</v>
      </c>
      <c r="L387" s="66">
        <f t="shared" si="375"/>
        <v>1.7093861527069927</v>
      </c>
      <c r="M387" s="66">
        <f t="shared" si="375"/>
        <v>1.7093861527069927</v>
      </c>
      <c r="N387" s="66">
        <f t="shared" si="375"/>
        <v>1.7093861527069927</v>
      </c>
      <c r="O387" s="66">
        <f t="shared" si="375"/>
        <v>1.7093861527069927</v>
      </c>
      <c r="P387" s="66">
        <f t="shared" si="375"/>
        <v>1.7093861527069927</v>
      </c>
      <c r="Q387" s="66">
        <f t="shared" si="375"/>
        <v>1.7093861527069927</v>
      </c>
      <c r="R387" s="66">
        <f t="shared" si="375"/>
        <v>1.7093861527069927</v>
      </c>
      <c r="S387" s="66">
        <f t="shared" si="375"/>
        <v>1.7093861527069927</v>
      </c>
      <c r="T387" s="66">
        <f t="shared" si="375"/>
        <v>1.7093861527069927</v>
      </c>
      <c r="U387" s="66">
        <f t="shared" si="375"/>
        <v>1.7093861527069927</v>
      </c>
      <c r="V387" s="66">
        <f t="shared" si="375"/>
        <v>1.7093861527069927</v>
      </c>
      <c r="W387" s="66">
        <f t="shared" si="375"/>
        <v>1.7093861527069927</v>
      </c>
      <c r="X387" s="66">
        <f t="shared" si="375"/>
        <v>1.7093861527069927</v>
      </c>
      <c r="Y387" s="66">
        <f t="shared" si="375"/>
        <v>1.7093861527069927</v>
      </c>
      <c r="Z387" s="66">
        <f t="shared" si="375"/>
        <v>1.7093861527069927</v>
      </c>
      <c r="AA387" s="66">
        <f t="shared" si="375"/>
        <v>1.7093861527069927</v>
      </c>
      <c r="AB387" s="66">
        <f t="shared" si="375"/>
        <v>1.7093861527069927</v>
      </c>
      <c r="AC387" s="66">
        <f t="shared" si="375"/>
        <v>1.7093861527069927</v>
      </c>
    </row>
    <row r="388" spans="1:29" x14ac:dyDescent="0.25">
      <c r="A388" s="30" t="str">
        <f t="shared" si="372"/>
        <v>Residual value (costumization)</v>
      </c>
      <c r="B388" s="66">
        <f>((1+B358)^B366)*B358/(((1+B358)^B366)-1)*(B357)/B370</f>
        <v>-8.5469307635349642E-2</v>
      </c>
      <c r="C388" s="66">
        <f t="shared" ref="C388:AC388" si="376">((1+C358)^C366)*C358/(((1+C358)^C366)-1)*(C357)/C370</f>
        <v>-8.5469307635349642E-2</v>
      </c>
      <c r="D388" s="66">
        <f t="shared" si="376"/>
        <v>-8.5469307635349642E-2</v>
      </c>
      <c r="E388" s="66">
        <f t="shared" si="376"/>
        <v>-8.5469307635349642E-2</v>
      </c>
      <c r="F388" s="66">
        <f t="shared" si="376"/>
        <v>-8.5469307635349642E-2</v>
      </c>
      <c r="G388" s="66">
        <f t="shared" si="376"/>
        <v>-8.5469307635349642E-2</v>
      </c>
      <c r="H388" s="66">
        <f t="shared" si="376"/>
        <v>-8.5469307635349642E-2</v>
      </c>
      <c r="I388" s="66">
        <f t="shared" si="376"/>
        <v>-8.5469307635349642E-2</v>
      </c>
      <c r="J388" s="66">
        <f t="shared" si="376"/>
        <v>-8.5469307635349642E-2</v>
      </c>
      <c r="K388" s="66">
        <f t="shared" si="376"/>
        <v>-8.5469307635349642E-2</v>
      </c>
      <c r="L388" s="66">
        <f t="shared" si="376"/>
        <v>-8.5469307635349642E-2</v>
      </c>
      <c r="M388" s="66">
        <f t="shared" si="376"/>
        <v>-8.5469307635349642E-2</v>
      </c>
      <c r="N388" s="66">
        <f t="shared" si="376"/>
        <v>-8.5469307635349642E-2</v>
      </c>
      <c r="O388" s="66">
        <f t="shared" si="376"/>
        <v>-8.5469307635349642E-2</v>
      </c>
      <c r="P388" s="66">
        <f t="shared" si="376"/>
        <v>-8.5469307635349642E-2</v>
      </c>
      <c r="Q388" s="66">
        <f t="shared" si="376"/>
        <v>-8.5469307635349642E-2</v>
      </c>
      <c r="R388" s="66">
        <f t="shared" si="376"/>
        <v>-8.5469307635349642E-2</v>
      </c>
      <c r="S388" s="66">
        <f t="shared" si="376"/>
        <v>-8.5469307635349642E-2</v>
      </c>
      <c r="T388" s="66">
        <f t="shared" si="376"/>
        <v>-8.5469307635349642E-2</v>
      </c>
      <c r="U388" s="66">
        <f t="shared" si="376"/>
        <v>-8.5469307635349642E-2</v>
      </c>
      <c r="V388" s="66">
        <f t="shared" si="376"/>
        <v>-8.5469307635349642E-2</v>
      </c>
      <c r="W388" s="66">
        <f t="shared" si="376"/>
        <v>-8.5469307635349642E-2</v>
      </c>
      <c r="X388" s="66">
        <f t="shared" si="376"/>
        <v>-8.5469307635349642E-2</v>
      </c>
      <c r="Y388" s="66">
        <f t="shared" si="376"/>
        <v>-8.5469307635349642E-2</v>
      </c>
      <c r="Z388" s="66">
        <f t="shared" si="376"/>
        <v>-8.5469307635349642E-2</v>
      </c>
      <c r="AA388" s="66">
        <f t="shared" si="376"/>
        <v>-8.5469307635349642E-2</v>
      </c>
      <c r="AB388" s="66">
        <f t="shared" si="376"/>
        <v>-8.5469307635349642E-2</v>
      </c>
      <c r="AC388" s="66">
        <f t="shared" si="376"/>
        <v>-8.5469307635349642E-2</v>
      </c>
    </row>
    <row r="389" spans="1:29" x14ac:dyDescent="0.25">
      <c r="A389" s="30" t="str">
        <f t="shared" si="372"/>
        <v>Opex fix (admin, crew, insurance)</v>
      </c>
      <c r="B389" s="66">
        <f>B359/B370</f>
        <v>8.1232492997198875</v>
      </c>
      <c r="C389" s="66">
        <f t="shared" ref="C389:AC389" si="377">C359/C370</f>
        <v>8.1232492997198875</v>
      </c>
      <c r="D389" s="66">
        <f t="shared" si="377"/>
        <v>8.1232492997198875</v>
      </c>
      <c r="E389" s="66">
        <f t="shared" si="377"/>
        <v>8.1232492997198875</v>
      </c>
      <c r="F389" s="66">
        <f t="shared" si="377"/>
        <v>8.1232492997198875</v>
      </c>
      <c r="G389" s="66">
        <f t="shared" si="377"/>
        <v>8.1232492997198875</v>
      </c>
      <c r="H389" s="66">
        <f t="shared" si="377"/>
        <v>8.1232492997198875</v>
      </c>
      <c r="I389" s="66">
        <f t="shared" si="377"/>
        <v>8.1232492997198875</v>
      </c>
      <c r="J389" s="66">
        <f t="shared" si="377"/>
        <v>8.1232492997198875</v>
      </c>
      <c r="K389" s="66">
        <f t="shared" si="377"/>
        <v>8.1232492997198875</v>
      </c>
      <c r="L389" s="66">
        <f t="shared" si="377"/>
        <v>8.1232492997198875</v>
      </c>
      <c r="M389" s="66">
        <f t="shared" si="377"/>
        <v>8.1232492997198875</v>
      </c>
      <c r="N389" s="66">
        <f t="shared" si="377"/>
        <v>8.1232492997198875</v>
      </c>
      <c r="O389" s="66">
        <f t="shared" si="377"/>
        <v>8.1232492997198875</v>
      </c>
      <c r="P389" s="66">
        <f t="shared" si="377"/>
        <v>8.1232492997198875</v>
      </c>
      <c r="Q389" s="66">
        <f t="shared" si="377"/>
        <v>8.1232492997198875</v>
      </c>
      <c r="R389" s="66">
        <f t="shared" si="377"/>
        <v>8.1232492997198875</v>
      </c>
      <c r="S389" s="66">
        <f t="shared" si="377"/>
        <v>8.1232492997198875</v>
      </c>
      <c r="T389" s="66">
        <f t="shared" si="377"/>
        <v>8.1232492997198875</v>
      </c>
      <c r="U389" s="66">
        <f t="shared" si="377"/>
        <v>8.1232492997198875</v>
      </c>
      <c r="V389" s="66">
        <f t="shared" si="377"/>
        <v>8.1232492997198875</v>
      </c>
      <c r="W389" s="66">
        <f t="shared" si="377"/>
        <v>8.1232492997198875</v>
      </c>
      <c r="X389" s="66">
        <f t="shared" si="377"/>
        <v>8.1232492997198875</v>
      </c>
      <c r="Y389" s="66">
        <f t="shared" si="377"/>
        <v>8.1232492997198875</v>
      </c>
      <c r="Z389" s="66">
        <f t="shared" si="377"/>
        <v>8.1232492997198875</v>
      </c>
      <c r="AA389" s="66">
        <f t="shared" si="377"/>
        <v>8.1232492997198875</v>
      </c>
      <c r="AB389" s="66">
        <f t="shared" si="377"/>
        <v>8.1232492997198875</v>
      </c>
      <c r="AC389" s="66">
        <f t="shared" si="377"/>
        <v>8.1232492997198875</v>
      </c>
    </row>
    <row r="390" spans="1:29" x14ac:dyDescent="0.25">
      <c r="A390" s="30" t="str">
        <f t="shared" si="372"/>
        <v>Opex maintenance &amp; repair</v>
      </c>
      <c r="B390" s="66">
        <f>B360/B370</f>
        <v>3.6414565826330532</v>
      </c>
      <c r="C390" s="66">
        <f t="shared" ref="C390:AC390" si="378">C360/C370</f>
        <v>3.6414565826330532</v>
      </c>
      <c r="D390" s="66">
        <f t="shared" si="378"/>
        <v>3.6414565826330532</v>
      </c>
      <c r="E390" s="66">
        <f t="shared" si="378"/>
        <v>3.6414565826330532</v>
      </c>
      <c r="F390" s="66">
        <f t="shared" si="378"/>
        <v>3.6414565826330532</v>
      </c>
      <c r="G390" s="66">
        <f t="shared" si="378"/>
        <v>3.6414565826330532</v>
      </c>
      <c r="H390" s="66">
        <f t="shared" si="378"/>
        <v>3.6414565826330532</v>
      </c>
      <c r="I390" s="66">
        <f t="shared" si="378"/>
        <v>3.6414565826330532</v>
      </c>
      <c r="J390" s="66">
        <f t="shared" si="378"/>
        <v>3.6414565826330532</v>
      </c>
      <c r="K390" s="66">
        <f t="shared" si="378"/>
        <v>3.6414565826330532</v>
      </c>
      <c r="L390" s="66">
        <f t="shared" si="378"/>
        <v>3.6414565826330532</v>
      </c>
      <c r="M390" s="66">
        <f t="shared" si="378"/>
        <v>3.6414565826330532</v>
      </c>
      <c r="N390" s="66">
        <f t="shared" si="378"/>
        <v>3.6414565826330532</v>
      </c>
      <c r="O390" s="66">
        <f t="shared" si="378"/>
        <v>3.6414565826330532</v>
      </c>
      <c r="P390" s="66">
        <f t="shared" si="378"/>
        <v>3.6414565826330532</v>
      </c>
      <c r="Q390" s="66">
        <f t="shared" si="378"/>
        <v>3.6414565826330532</v>
      </c>
      <c r="R390" s="66">
        <f t="shared" si="378"/>
        <v>3.6414565826330532</v>
      </c>
      <c r="S390" s="66">
        <f t="shared" si="378"/>
        <v>3.6414565826330532</v>
      </c>
      <c r="T390" s="66">
        <f t="shared" si="378"/>
        <v>3.6414565826330532</v>
      </c>
      <c r="U390" s="66">
        <f t="shared" si="378"/>
        <v>3.6414565826330532</v>
      </c>
      <c r="V390" s="66">
        <f t="shared" si="378"/>
        <v>3.6414565826330532</v>
      </c>
      <c r="W390" s="66">
        <f t="shared" si="378"/>
        <v>3.6414565826330532</v>
      </c>
      <c r="X390" s="66">
        <f t="shared" si="378"/>
        <v>3.6414565826330532</v>
      </c>
      <c r="Y390" s="66">
        <f t="shared" si="378"/>
        <v>3.6414565826330532</v>
      </c>
      <c r="Z390" s="66">
        <f t="shared" si="378"/>
        <v>3.6414565826330532</v>
      </c>
      <c r="AA390" s="66">
        <f t="shared" si="378"/>
        <v>3.6414565826330532</v>
      </c>
      <c r="AB390" s="66">
        <f t="shared" si="378"/>
        <v>3.6414565826330532</v>
      </c>
      <c r="AC390" s="66">
        <f t="shared" si="378"/>
        <v>3.6414565826330532</v>
      </c>
    </row>
    <row r="391" spans="1:29" x14ac:dyDescent="0.25">
      <c r="A391" s="30" t="str">
        <f t="shared" si="372"/>
        <v>Opex var (mode-fees, shunting)</v>
      </c>
      <c r="B391" s="66">
        <f>B361*B370/B370</f>
        <v>8.9635854341736696</v>
      </c>
      <c r="C391" s="66">
        <f t="shared" ref="C391:AC391" si="379">C361*C370/C370</f>
        <v>8.9635854341736696</v>
      </c>
      <c r="D391" s="66">
        <f t="shared" si="379"/>
        <v>8.9635854341736696</v>
      </c>
      <c r="E391" s="66">
        <f t="shared" si="379"/>
        <v>8.9635854341736696</v>
      </c>
      <c r="F391" s="66">
        <f t="shared" si="379"/>
        <v>8.9635854341736696</v>
      </c>
      <c r="G391" s="66">
        <f t="shared" si="379"/>
        <v>8.9635854341736696</v>
      </c>
      <c r="H391" s="66">
        <f t="shared" si="379"/>
        <v>8.9635854341736696</v>
      </c>
      <c r="I391" s="66">
        <f t="shared" si="379"/>
        <v>8.9635854341736696</v>
      </c>
      <c r="J391" s="66">
        <f t="shared" si="379"/>
        <v>8.9635854341736696</v>
      </c>
      <c r="K391" s="66">
        <f t="shared" si="379"/>
        <v>8.9635854341736696</v>
      </c>
      <c r="L391" s="66">
        <f t="shared" si="379"/>
        <v>8.9635854341736696</v>
      </c>
      <c r="M391" s="66">
        <f t="shared" si="379"/>
        <v>8.9635854341736696</v>
      </c>
      <c r="N391" s="66">
        <f t="shared" si="379"/>
        <v>8.9635854341736696</v>
      </c>
      <c r="O391" s="66">
        <f t="shared" si="379"/>
        <v>8.9635854341736696</v>
      </c>
      <c r="P391" s="66">
        <f t="shared" si="379"/>
        <v>8.9635854341736696</v>
      </c>
      <c r="Q391" s="66">
        <f t="shared" si="379"/>
        <v>8.9635854341736696</v>
      </c>
      <c r="R391" s="66">
        <f t="shared" si="379"/>
        <v>8.9635854341736696</v>
      </c>
      <c r="S391" s="66">
        <f t="shared" si="379"/>
        <v>8.9635854341736696</v>
      </c>
      <c r="T391" s="66">
        <f t="shared" si="379"/>
        <v>8.9635854341736696</v>
      </c>
      <c r="U391" s="66">
        <f t="shared" si="379"/>
        <v>8.9635854341736696</v>
      </c>
      <c r="V391" s="66">
        <f t="shared" si="379"/>
        <v>8.9635854341736696</v>
      </c>
      <c r="W391" s="66">
        <f t="shared" si="379"/>
        <v>8.9635854341736696</v>
      </c>
      <c r="X391" s="66">
        <f t="shared" si="379"/>
        <v>8.9635854341736696</v>
      </c>
      <c r="Y391" s="66">
        <f t="shared" si="379"/>
        <v>8.9635854341736696</v>
      </c>
      <c r="Z391" s="66">
        <f t="shared" si="379"/>
        <v>8.9635854341736696</v>
      </c>
      <c r="AA391" s="66">
        <f t="shared" si="379"/>
        <v>8.9635854341736696</v>
      </c>
      <c r="AB391" s="66">
        <f t="shared" si="379"/>
        <v>8.9635854341736696</v>
      </c>
      <c r="AC391" s="66">
        <f t="shared" si="379"/>
        <v>8.9635854341736696</v>
      </c>
    </row>
    <row r="392" spans="1:29" x14ac:dyDescent="0.25">
      <c r="A392" s="30" t="str">
        <f t="shared" si="372"/>
        <v>Fuel Cost</v>
      </c>
      <c r="B392" s="66">
        <f>B362*B363*B370/B370</f>
        <v>2.9770136326774113</v>
      </c>
      <c r="C392" s="66">
        <f t="shared" ref="C392:AC392" si="380">C362*C363*C370/C370</f>
        <v>2.9770136326774113</v>
      </c>
      <c r="D392" s="66">
        <f t="shared" si="380"/>
        <v>2.9770136326774113</v>
      </c>
      <c r="E392" s="66">
        <f t="shared" si="380"/>
        <v>2.9770136326774113</v>
      </c>
      <c r="F392" s="66">
        <f t="shared" si="380"/>
        <v>2.9770136326774113</v>
      </c>
      <c r="G392" s="66">
        <f t="shared" si="380"/>
        <v>2.9770136326774113</v>
      </c>
      <c r="H392" s="66">
        <f t="shared" si="380"/>
        <v>2.9770136326774113</v>
      </c>
      <c r="I392" s="66">
        <f t="shared" si="380"/>
        <v>2.9770136326774113</v>
      </c>
      <c r="J392" s="66">
        <f t="shared" si="380"/>
        <v>3.0349731876657686</v>
      </c>
      <c r="K392" s="66">
        <f t="shared" si="380"/>
        <v>3.0929327426541269</v>
      </c>
      <c r="L392" s="66">
        <f t="shared" si="380"/>
        <v>3.1508922976424847</v>
      </c>
      <c r="M392" s="66">
        <f t="shared" si="380"/>
        <v>3.208851852630842</v>
      </c>
      <c r="N392" s="66">
        <f t="shared" si="380"/>
        <v>3.2668114076191999</v>
      </c>
      <c r="O392" s="66">
        <f t="shared" si="380"/>
        <v>3.2351971048982766</v>
      </c>
      <c r="P392" s="66">
        <f t="shared" si="380"/>
        <v>3.2035828021773547</v>
      </c>
      <c r="Q392" s="66">
        <f t="shared" si="380"/>
        <v>3.1719684994564319</v>
      </c>
      <c r="R392" s="66">
        <f t="shared" si="380"/>
        <v>3.1403541967355095</v>
      </c>
      <c r="S392" s="66">
        <f t="shared" si="380"/>
        <v>3.1087398940145876</v>
      </c>
      <c r="T392" s="66">
        <f t="shared" si="380"/>
        <v>3.0771255912936653</v>
      </c>
      <c r="U392" s="66">
        <f t="shared" si="380"/>
        <v>3.0455112885727424</v>
      </c>
      <c r="V392" s="66">
        <f t="shared" si="380"/>
        <v>3.0138969858518196</v>
      </c>
      <c r="W392" s="66">
        <f t="shared" si="380"/>
        <v>2.9822826831308982</v>
      </c>
      <c r="X392" s="66">
        <f t="shared" si="380"/>
        <v>2.9506683804099763</v>
      </c>
      <c r="Y392" s="66">
        <f t="shared" si="380"/>
        <v>2.9190540776890539</v>
      </c>
      <c r="Z392" s="66">
        <f t="shared" si="380"/>
        <v>2.8874397749681311</v>
      </c>
      <c r="AA392" s="66">
        <f t="shared" si="380"/>
        <v>2.8558254722472087</v>
      </c>
      <c r="AB392" s="66">
        <f t="shared" si="380"/>
        <v>2.8242111695262859</v>
      </c>
      <c r="AC392" s="66">
        <f t="shared" si="380"/>
        <v>2.7925968668053649</v>
      </c>
    </row>
    <row r="393" spans="1:29" ht="15.75" thickBot="1" x14ac:dyDescent="0.3">
      <c r="A393" s="59" t="str">
        <f t="shared" ref="A393" si="381">A381</f>
        <v>Emission Cost</v>
      </c>
      <c r="B393" s="66">
        <f>B364</f>
        <v>0</v>
      </c>
      <c r="C393" s="66">
        <f t="shared" ref="C393:AC393" si="382">C364</f>
        <v>0</v>
      </c>
      <c r="D393" s="66">
        <f t="shared" si="382"/>
        <v>0</v>
      </c>
      <c r="E393" s="66">
        <f t="shared" si="382"/>
        <v>0</v>
      </c>
      <c r="F393" s="66">
        <f t="shared" si="382"/>
        <v>0</v>
      </c>
      <c r="G393" s="66">
        <f t="shared" si="382"/>
        <v>0</v>
      </c>
      <c r="H393" s="66">
        <f t="shared" si="382"/>
        <v>0</v>
      </c>
      <c r="I393" s="66">
        <f t="shared" si="382"/>
        <v>0</v>
      </c>
      <c r="J393" s="66">
        <f t="shared" si="382"/>
        <v>0</v>
      </c>
      <c r="K393" s="66">
        <f t="shared" si="382"/>
        <v>0</v>
      </c>
      <c r="L393" s="66">
        <f t="shared" si="382"/>
        <v>0</v>
      </c>
      <c r="M393" s="66">
        <f t="shared" si="382"/>
        <v>0</v>
      </c>
      <c r="N393" s="66">
        <f t="shared" si="382"/>
        <v>0</v>
      </c>
      <c r="O393" s="66">
        <f t="shared" si="382"/>
        <v>0</v>
      </c>
      <c r="P393" s="66">
        <f t="shared" si="382"/>
        <v>0</v>
      </c>
      <c r="Q393" s="66">
        <f t="shared" si="382"/>
        <v>0</v>
      </c>
      <c r="R393" s="66">
        <f t="shared" si="382"/>
        <v>0</v>
      </c>
      <c r="S393" s="66">
        <f t="shared" si="382"/>
        <v>0</v>
      </c>
      <c r="T393" s="66">
        <f t="shared" si="382"/>
        <v>0</v>
      </c>
      <c r="U393" s="66">
        <f t="shared" si="382"/>
        <v>0</v>
      </c>
      <c r="V393" s="66">
        <f t="shared" si="382"/>
        <v>0</v>
      </c>
      <c r="W393" s="66">
        <f t="shared" si="382"/>
        <v>0</v>
      </c>
      <c r="X393" s="66">
        <f t="shared" si="382"/>
        <v>0</v>
      </c>
      <c r="Y393" s="66">
        <f t="shared" si="382"/>
        <v>0</v>
      </c>
      <c r="Z393" s="66">
        <f t="shared" si="382"/>
        <v>0</v>
      </c>
      <c r="AA393" s="66">
        <f t="shared" si="382"/>
        <v>0</v>
      </c>
      <c r="AB393" s="66">
        <f t="shared" si="382"/>
        <v>0</v>
      </c>
      <c r="AC393" s="66">
        <f t="shared" si="382"/>
        <v>0</v>
      </c>
    </row>
    <row r="394" spans="1:29" ht="15.75" thickBot="1" x14ac:dyDescent="0.3">
      <c r="A394" s="31" t="s">
        <v>63</v>
      </c>
      <c r="B394" s="76">
        <f>B385+B386+B387-B388+B389+B390+B391+B392+B393</f>
        <v>27.575983194709494</v>
      </c>
      <c r="C394" s="76">
        <f t="shared" ref="C394:AC394" si="383">C385+C386+C387-C388+C389+C390+C391+C392+C393</f>
        <v>27.575983194709494</v>
      </c>
      <c r="D394" s="76">
        <f t="shared" si="383"/>
        <v>27.575983194709494</v>
      </c>
      <c r="E394" s="76">
        <f t="shared" si="383"/>
        <v>27.575983194709494</v>
      </c>
      <c r="F394" s="76">
        <f t="shared" si="383"/>
        <v>27.575983194709494</v>
      </c>
      <c r="G394" s="76">
        <f t="shared" si="383"/>
        <v>27.575983194709494</v>
      </c>
      <c r="H394" s="76">
        <f t="shared" si="383"/>
        <v>27.575983194709494</v>
      </c>
      <c r="I394" s="76">
        <f t="shared" si="383"/>
        <v>27.575983194709494</v>
      </c>
      <c r="J394" s="76">
        <f t="shared" si="383"/>
        <v>27.633942749697852</v>
      </c>
      <c r="K394" s="76">
        <f t="shared" si="383"/>
        <v>27.691902304686209</v>
      </c>
      <c r="L394" s="76">
        <f t="shared" si="383"/>
        <v>27.749861859674567</v>
      </c>
      <c r="M394" s="76">
        <f t="shared" si="383"/>
        <v>27.807821414662925</v>
      </c>
      <c r="N394" s="76">
        <f t="shared" si="383"/>
        <v>27.865780969651283</v>
      </c>
      <c r="O394" s="76">
        <f t="shared" si="383"/>
        <v>27.834166666930358</v>
      </c>
      <c r="P394" s="76">
        <f t="shared" si="383"/>
        <v>27.802552364209436</v>
      </c>
      <c r="Q394" s="76">
        <f t="shared" si="383"/>
        <v>27.770938061488515</v>
      </c>
      <c r="R394" s="76">
        <f t="shared" si="383"/>
        <v>27.73932375876759</v>
      </c>
      <c r="S394" s="76">
        <f t="shared" si="383"/>
        <v>27.707709456046668</v>
      </c>
      <c r="T394" s="76">
        <f t="shared" si="383"/>
        <v>27.676095153325747</v>
      </c>
      <c r="U394" s="76">
        <f t="shared" si="383"/>
        <v>27.644480850604825</v>
      </c>
      <c r="V394" s="76">
        <f t="shared" si="383"/>
        <v>27.6128665478839</v>
      </c>
      <c r="W394" s="76">
        <f t="shared" si="383"/>
        <v>27.581252245162979</v>
      </c>
      <c r="X394" s="76">
        <f t="shared" si="383"/>
        <v>27.549637942442057</v>
      </c>
      <c r="Y394" s="76">
        <f t="shared" si="383"/>
        <v>27.518023639721136</v>
      </c>
      <c r="Z394" s="76">
        <f t="shared" si="383"/>
        <v>27.486409337000211</v>
      </c>
      <c r="AA394" s="76">
        <f t="shared" si="383"/>
        <v>27.454795034279289</v>
      </c>
      <c r="AB394" s="76">
        <f t="shared" si="383"/>
        <v>27.423180731558368</v>
      </c>
      <c r="AC394" s="76">
        <f t="shared" si="383"/>
        <v>27.391566428837447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4">A373</f>
        <v>Capex vehicle</v>
      </c>
      <c r="B397" s="65">
        <f>((1+B358)^B365)*B358/(((1+B358)^B365)-1)*(B354)/B370/(B367)</f>
        <v>1.0902430594344164E-3</v>
      </c>
      <c r="C397" s="65">
        <f t="shared" ref="C397:AC397" si="385">((1+C358)^C365)*C358/(((1+C358)^C365)-1)*(C354)/C370/(C367)</f>
        <v>1.0902430594344164E-3</v>
      </c>
      <c r="D397" s="65">
        <f t="shared" si="385"/>
        <v>1.0902430594344164E-3</v>
      </c>
      <c r="E397" s="65">
        <f t="shared" si="385"/>
        <v>1.0902430594344164E-3</v>
      </c>
      <c r="F397" s="65">
        <f t="shared" si="385"/>
        <v>1.0902430594344164E-3</v>
      </c>
      <c r="G397" s="65">
        <f t="shared" si="385"/>
        <v>1.0902430594344164E-3</v>
      </c>
      <c r="H397" s="65">
        <f t="shared" si="385"/>
        <v>1.0902430594344164E-3</v>
      </c>
      <c r="I397" s="65">
        <f t="shared" si="385"/>
        <v>1.0902430594344164E-3</v>
      </c>
      <c r="J397" s="65">
        <f t="shared" si="385"/>
        <v>1.0902430594344164E-3</v>
      </c>
      <c r="K397" s="65">
        <f t="shared" si="385"/>
        <v>1.0902430594344164E-3</v>
      </c>
      <c r="L397" s="65">
        <f t="shared" si="385"/>
        <v>1.0902430594344164E-3</v>
      </c>
      <c r="M397" s="65">
        <f t="shared" si="385"/>
        <v>1.0902430594344164E-3</v>
      </c>
      <c r="N397" s="65">
        <f t="shared" si="385"/>
        <v>1.0902430594344164E-3</v>
      </c>
      <c r="O397" s="65">
        <f t="shared" si="385"/>
        <v>1.0902430594344164E-3</v>
      </c>
      <c r="P397" s="65">
        <f t="shared" si="385"/>
        <v>1.0902430594344164E-3</v>
      </c>
      <c r="Q397" s="65">
        <f t="shared" si="385"/>
        <v>1.0902430594344164E-3</v>
      </c>
      <c r="R397" s="65">
        <f t="shared" si="385"/>
        <v>1.0902430594344164E-3</v>
      </c>
      <c r="S397" s="65">
        <f t="shared" si="385"/>
        <v>1.0902430594344164E-3</v>
      </c>
      <c r="T397" s="65">
        <f t="shared" si="385"/>
        <v>1.0902430594344164E-3</v>
      </c>
      <c r="U397" s="65">
        <f t="shared" si="385"/>
        <v>1.0902430594344164E-3</v>
      </c>
      <c r="V397" s="65">
        <f t="shared" si="385"/>
        <v>1.0902430594344164E-3</v>
      </c>
      <c r="W397" s="65">
        <f t="shared" si="385"/>
        <v>1.0902430594344164E-3</v>
      </c>
      <c r="X397" s="65">
        <f t="shared" si="385"/>
        <v>1.0902430594344164E-3</v>
      </c>
      <c r="Y397" s="65">
        <f t="shared" si="385"/>
        <v>1.0902430594344164E-3</v>
      </c>
      <c r="Z397" s="65">
        <f t="shared" si="385"/>
        <v>1.0902430594344164E-3</v>
      </c>
      <c r="AA397" s="65">
        <f t="shared" si="385"/>
        <v>1.0902430594344164E-3</v>
      </c>
      <c r="AB397" s="65">
        <f t="shared" si="385"/>
        <v>1.0902430594344164E-3</v>
      </c>
      <c r="AC397" s="65">
        <f t="shared" si="385"/>
        <v>1.0902430594344164E-3</v>
      </c>
    </row>
    <row r="398" spans="1:29" x14ac:dyDescent="0.25">
      <c r="A398" s="30" t="str">
        <f t="shared" si="384"/>
        <v>Residual value (vehicle)</v>
      </c>
      <c r="B398" s="68">
        <f>((1+B358)^B365)*B358/(((1+B358)^B365)-1)*(B355)/B370/(B367)</f>
        <v>-1.6353645891516245E-4</v>
      </c>
      <c r="C398" s="68">
        <f t="shared" ref="C398:AC398" si="386">((1+C358)^C365)*C358/(((1+C358)^C365)-1)*(C355)/C370/(C367)</f>
        <v>-1.6353645891516245E-4</v>
      </c>
      <c r="D398" s="68">
        <f t="shared" si="386"/>
        <v>-1.6353645891516245E-4</v>
      </c>
      <c r="E398" s="68">
        <f t="shared" si="386"/>
        <v>-1.6353645891516245E-4</v>
      </c>
      <c r="F398" s="68">
        <f t="shared" si="386"/>
        <v>-1.6353645891516245E-4</v>
      </c>
      <c r="G398" s="68">
        <f t="shared" si="386"/>
        <v>-1.6353645891516245E-4</v>
      </c>
      <c r="H398" s="68">
        <f t="shared" si="386"/>
        <v>-1.6353645891516245E-4</v>
      </c>
      <c r="I398" s="68">
        <f t="shared" si="386"/>
        <v>-1.6353645891516245E-4</v>
      </c>
      <c r="J398" s="68">
        <f t="shared" si="386"/>
        <v>-1.6353645891516245E-4</v>
      </c>
      <c r="K398" s="68">
        <f t="shared" si="386"/>
        <v>-1.6353645891516245E-4</v>
      </c>
      <c r="L398" s="68">
        <f t="shared" si="386"/>
        <v>-1.6353645891516245E-4</v>
      </c>
      <c r="M398" s="68">
        <f t="shared" si="386"/>
        <v>-1.6353645891516245E-4</v>
      </c>
      <c r="N398" s="68">
        <f t="shared" si="386"/>
        <v>-1.6353645891516245E-4</v>
      </c>
      <c r="O398" s="68">
        <f t="shared" si="386"/>
        <v>-1.6353645891516245E-4</v>
      </c>
      <c r="P398" s="68">
        <f t="shared" si="386"/>
        <v>-1.6353645891516245E-4</v>
      </c>
      <c r="Q398" s="68">
        <f t="shared" si="386"/>
        <v>-1.6353645891516245E-4</v>
      </c>
      <c r="R398" s="68">
        <f t="shared" si="386"/>
        <v>-1.6353645891516245E-4</v>
      </c>
      <c r="S398" s="68">
        <f t="shared" si="386"/>
        <v>-1.6353645891516245E-4</v>
      </c>
      <c r="T398" s="68">
        <f t="shared" si="386"/>
        <v>-1.6353645891516245E-4</v>
      </c>
      <c r="U398" s="68">
        <f t="shared" si="386"/>
        <v>-1.6353645891516245E-4</v>
      </c>
      <c r="V398" s="68">
        <f t="shared" si="386"/>
        <v>-1.6353645891516245E-4</v>
      </c>
      <c r="W398" s="68">
        <f t="shared" si="386"/>
        <v>-1.6353645891516245E-4</v>
      </c>
      <c r="X398" s="68">
        <f t="shared" si="386"/>
        <v>-1.6353645891516245E-4</v>
      </c>
      <c r="Y398" s="68">
        <f t="shared" si="386"/>
        <v>-1.6353645891516245E-4</v>
      </c>
      <c r="Z398" s="68">
        <f t="shared" si="386"/>
        <v>-1.6353645891516245E-4</v>
      </c>
      <c r="AA398" s="68">
        <f t="shared" si="386"/>
        <v>-1.6353645891516245E-4</v>
      </c>
      <c r="AB398" s="68">
        <f t="shared" si="386"/>
        <v>-1.6353645891516245E-4</v>
      </c>
      <c r="AC398" s="68">
        <f t="shared" si="386"/>
        <v>-1.6353645891516245E-4</v>
      </c>
    </row>
    <row r="399" spans="1:29" x14ac:dyDescent="0.25">
      <c r="A399" s="30" t="str">
        <f t="shared" si="384"/>
        <v>Capex costumization</v>
      </c>
      <c r="B399" s="66">
        <f>((1+B358)^B366)*B358/(((1+B358)^B366)-1)*(B356)/B370/(B367)</f>
        <v>7.6311881817276459E-4</v>
      </c>
      <c r="C399" s="66">
        <f t="shared" ref="C399:AC399" si="387">((1+C358)^C366)*C358/(((1+C358)^C366)-1)*(C356)/C370/(C367)</f>
        <v>7.6311881817276459E-4</v>
      </c>
      <c r="D399" s="66">
        <f t="shared" si="387"/>
        <v>7.6311881817276459E-4</v>
      </c>
      <c r="E399" s="66">
        <f t="shared" si="387"/>
        <v>7.6311881817276459E-4</v>
      </c>
      <c r="F399" s="66">
        <f t="shared" si="387"/>
        <v>7.6311881817276459E-4</v>
      </c>
      <c r="G399" s="66">
        <f t="shared" si="387"/>
        <v>7.6311881817276459E-4</v>
      </c>
      <c r="H399" s="66">
        <f t="shared" si="387"/>
        <v>7.6311881817276459E-4</v>
      </c>
      <c r="I399" s="66">
        <f t="shared" si="387"/>
        <v>7.6311881817276459E-4</v>
      </c>
      <c r="J399" s="66">
        <f t="shared" si="387"/>
        <v>7.6311881817276459E-4</v>
      </c>
      <c r="K399" s="66">
        <f t="shared" si="387"/>
        <v>7.6311881817276459E-4</v>
      </c>
      <c r="L399" s="66">
        <f t="shared" si="387"/>
        <v>7.6311881817276459E-4</v>
      </c>
      <c r="M399" s="66">
        <f t="shared" si="387"/>
        <v>7.6311881817276459E-4</v>
      </c>
      <c r="N399" s="66">
        <f t="shared" si="387"/>
        <v>7.6311881817276459E-4</v>
      </c>
      <c r="O399" s="66">
        <f t="shared" si="387"/>
        <v>7.6311881817276459E-4</v>
      </c>
      <c r="P399" s="66">
        <f t="shared" si="387"/>
        <v>7.6311881817276459E-4</v>
      </c>
      <c r="Q399" s="66">
        <f t="shared" si="387"/>
        <v>7.6311881817276459E-4</v>
      </c>
      <c r="R399" s="66">
        <f t="shared" si="387"/>
        <v>7.6311881817276459E-4</v>
      </c>
      <c r="S399" s="66">
        <f t="shared" si="387"/>
        <v>7.6311881817276459E-4</v>
      </c>
      <c r="T399" s="66">
        <f t="shared" si="387"/>
        <v>7.6311881817276459E-4</v>
      </c>
      <c r="U399" s="66">
        <f t="shared" si="387"/>
        <v>7.6311881817276459E-4</v>
      </c>
      <c r="V399" s="66">
        <f t="shared" si="387"/>
        <v>7.6311881817276459E-4</v>
      </c>
      <c r="W399" s="66">
        <f t="shared" si="387"/>
        <v>7.6311881817276459E-4</v>
      </c>
      <c r="X399" s="66">
        <f t="shared" si="387"/>
        <v>7.6311881817276459E-4</v>
      </c>
      <c r="Y399" s="66">
        <f t="shared" si="387"/>
        <v>7.6311881817276459E-4</v>
      </c>
      <c r="Z399" s="66">
        <f t="shared" si="387"/>
        <v>7.6311881817276459E-4</v>
      </c>
      <c r="AA399" s="66">
        <f t="shared" si="387"/>
        <v>7.6311881817276459E-4</v>
      </c>
      <c r="AB399" s="66">
        <f t="shared" si="387"/>
        <v>7.6311881817276459E-4</v>
      </c>
      <c r="AC399" s="66">
        <f t="shared" si="387"/>
        <v>7.6311881817276459E-4</v>
      </c>
    </row>
    <row r="400" spans="1:29" x14ac:dyDescent="0.25">
      <c r="A400" s="30" t="str">
        <f t="shared" si="384"/>
        <v>Residual value (costumization)</v>
      </c>
      <c r="B400" s="69">
        <f>((1+B358)^B366)*B358/(((1+B358)^B366)-1)*(B357)/B370/(B367)</f>
        <v>-3.8155940908638231E-5</v>
      </c>
      <c r="C400" s="69">
        <f t="shared" ref="C400:AC400" si="388">((1+C358)^C366)*C358/(((1+C358)^C366)-1)*(C357)/C370/(C367)</f>
        <v>-3.8155940908638231E-5</v>
      </c>
      <c r="D400" s="69">
        <f t="shared" si="388"/>
        <v>-3.8155940908638231E-5</v>
      </c>
      <c r="E400" s="69">
        <f t="shared" si="388"/>
        <v>-3.8155940908638231E-5</v>
      </c>
      <c r="F400" s="69">
        <f t="shared" si="388"/>
        <v>-3.8155940908638231E-5</v>
      </c>
      <c r="G400" s="69">
        <f t="shared" si="388"/>
        <v>-3.8155940908638231E-5</v>
      </c>
      <c r="H400" s="69">
        <f t="shared" si="388"/>
        <v>-3.8155940908638231E-5</v>
      </c>
      <c r="I400" s="69">
        <f t="shared" si="388"/>
        <v>-3.8155940908638231E-5</v>
      </c>
      <c r="J400" s="69">
        <f t="shared" si="388"/>
        <v>-3.8155940908638231E-5</v>
      </c>
      <c r="K400" s="69">
        <f t="shared" si="388"/>
        <v>-3.8155940908638231E-5</v>
      </c>
      <c r="L400" s="69">
        <f t="shared" si="388"/>
        <v>-3.8155940908638231E-5</v>
      </c>
      <c r="M400" s="69">
        <f t="shared" si="388"/>
        <v>-3.8155940908638231E-5</v>
      </c>
      <c r="N400" s="69">
        <f t="shared" si="388"/>
        <v>-3.8155940908638231E-5</v>
      </c>
      <c r="O400" s="69">
        <f t="shared" si="388"/>
        <v>-3.8155940908638231E-5</v>
      </c>
      <c r="P400" s="69">
        <f t="shared" si="388"/>
        <v>-3.8155940908638231E-5</v>
      </c>
      <c r="Q400" s="69">
        <f t="shared" si="388"/>
        <v>-3.8155940908638231E-5</v>
      </c>
      <c r="R400" s="69">
        <f t="shared" si="388"/>
        <v>-3.8155940908638231E-5</v>
      </c>
      <c r="S400" s="69">
        <f t="shared" si="388"/>
        <v>-3.8155940908638231E-5</v>
      </c>
      <c r="T400" s="69">
        <f t="shared" si="388"/>
        <v>-3.8155940908638231E-5</v>
      </c>
      <c r="U400" s="69">
        <f t="shared" si="388"/>
        <v>-3.8155940908638231E-5</v>
      </c>
      <c r="V400" s="69">
        <f t="shared" si="388"/>
        <v>-3.8155940908638231E-5</v>
      </c>
      <c r="W400" s="69">
        <f t="shared" si="388"/>
        <v>-3.8155940908638231E-5</v>
      </c>
      <c r="X400" s="69">
        <f t="shared" si="388"/>
        <v>-3.8155940908638231E-5</v>
      </c>
      <c r="Y400" s="69">
        <f t="shared" si="388"/>
        <v>-3.8155940908638231E-5</v>
      </c>
      <c r="Z400" s="69">
        <f t="shared" si="388"/>
        <v>-3.8155940908638231E-5</v>
      </c>
      <c r="AA400" s="69">
        <f t="shared" si="388"/>
        <v>-3.8155940908638231E-5</v>
      </c>
      <c r="AB400" s="69">
        <f t="shared" si="388"/>
        <v>-3.8155940908638231E-5</v>
      </c>
      <c r="AC400" s="69">
        <f t="shared" si="388"/>
        <v>-3.8155940908638231E-5</v>
      </c>
    </row>
    <row r="401" spans="1:29" x14ac:dyDescent="0.25">
      <c r="A401" s="30" t="str">
        <f t="shared" si="384"/>
        <v>Opex fix (admin, crew, insurance)</v>
      </c>
      <c r="B401" s="66">
        <f>B359/B370/(B367)</f>
        <v>3.6264505802320927E-3</v>
      </c>
      <c r="C401" s="66">
        <f t="shared" ref="C401:AC401" si="389">C359/C370/(C367)</f>
        <v>3.6264505802320927E-3</v>
      </c>
      <c r="D401" s="66">
        <f t="shared" si="389"/>
        <v>3.6264505802320927E-3</v>
      </c>
      <c r="E401" s="66">
        <f t="shared" si="389"/>
        <v>3.6264505802320927E-3</v>
      </c>
      <c r="F401" s="66">
        <f t="shared" si="389"/>
        <v>3.6264505802320927E-3</v>
      </c>
      <c r="G401" s="66">
        <f t="shared" si="389"/>
        <v>3.6264505802320927E-3</v>
      </c>
      <c r="H401" s="66">
        <f t="shared" si="389"/>
        <v>3.6264505802320927E-3</v>
      </c>
      <c r="I401" s="66">
        <f t="shared" si="389"/>
        <v>3.6264505802320927E-3</v>
      </c>
      <c r="J401" s="66">
        <f t="shared" si="389"/>
        <v>3.6264505802320927E-3</v>
      </c>
      <c r="K401" s="66">
        <f t="shared" si="389"/>
        <v>3.6264505802320927E-3</v>
      </c>
      <c r="L401" s="66">
        <f t="shared" si="389"/>
        <v>3.6264505802320927E-3</v>
      </c>
      <c r="M401" s="66">
        <f t="shared" si="389"/>
        <v>3.6264505802320927E-3</v>
      </c>
      <c r="N401" s="66">
        <f t="shared" si="389"/>
        <v>3.6264505802320927E-3</v>
      </c>
      <c r="O401" s="66">
        <f t="shared" si="389"/>
        <v>3.6264505802320927E-3</v>
      </c>
      <c r="P401" s="66">
        <f t="shared" si="389"/>
        <v>3.6264505802320927E-3</v>
      </c>
      <c r="Q401" s="66">
        <f t="shared" si="389"/>
        <v>3.6264505802320927E-3</v>
      </c>
      <c r="R401" s="66">
        <f t="shared" si="389"/>
        <v>3.6264505802320927E-3</v>
      </c>
      <c r="S401" s="66">
        <f t="shared" si="389"/>
        <v>3.6264505802320927E-3</v>
      </c>
      <c r="T401" s="66">
        <f t="shared" si="389"/>
        <v>3.6264505802320927E-3</v>
      </c>
      <c r="U401" s="66">
        <f t="shared" si="389"/>
        <v>3.6264505802320927E-3</v>
      </c>
      <c r="V401" s="66">
        <f t="shared" si="389"/>
        <v>3.6264505802320927E-3</v>
      </c>
      <c r="W401" s="66">
        <f t="shared" si="389"/>
        <v>3.6264505802320927E-3</v>
      </c>
      <c r="X401" s="66">
        <f t="shared" si="389"/>
        <v>3.6264505802320927E-3</v>
      </c>
      <c r="Y401" s="66">
        <f t="shared" si="389"/>
        <v>3.6264505802320927E-3</v>
      </c>
      <c r="Z401" s="66">
        <f t="shared" si="389"/>
        <v>3.6264505802320927E-3</v>
      </c>
      <c r="AA401" s="66">
        <f t="shared" si="389"/>
        <v>3.6264505802320927E-3</v>
      </c>
      <c r="AB401" s="66">
        <f t="shared" si="389"/>
        <v>3.6264505802320927E-3</v>
      </c>
      <c r="AC401" s="66">
        <f t="shared" si="389"/>
        <v>3.6264505802320927E-3</v>
      </c>
    </row>
    <row r="402" spans="1:29" x14ac:dyDescent="0.25">
      <c r="A402" s="30" t="str">
        <f t="shared" si="384"/>
        <v>Opex maintenance &amp; repair</v>
      </c>
      <c r="B402" s="66">
        <f>B360/B370/(B367)</f>
        <v>1.6256502601040416E-3</v>
      </c>
      <c r="C402" s="66">
        <f t="shared" ref="C402:AC402" si="390">C360/C370/(C367)</f>
        <v>1.6256502601040416E-3</v>
      </c>
      <c r="D402" s="66">
        <f t="shared" si="390"/>
        <v>1.6256502601040416E-3</v>
      </c>
      <c r="E402" s="66">
        <f t="shared" si="390"/>
        <v>1.6256502601040416E-3</v>
      </c>
      <c r="F402" s="66">
        <f t="shared" si="390"/>
        <v>1.6256502601040416E-3</v>
      </c>
      <c r="G402" s="66">
        <f t="shared" si="390"/>
        <v>1.6256502601040416E-3</v>
      </c>
      <c r="H402" s="66">
        <f t="shared" si="390"/>
        <v>1.6256502601040416E-3</v>
      </c>
      <c r="I402" s="66">
        <f t="shared" si="390"/>
        <v>1.6256502601040416E-3</v>
      </c>
      <c r="J402" s="66">
        <f t="shared" si="390"/>
        <v>1.6256502601040416E-3</v>
      </c>
      <c r="K402" s="66">
        <f t="shared" si="390"/>
        <v>1.6256502601040416E-3</v>
      </c>
      <c r="L402" s="66">
        <f t="shared" si="390"/>
        <v>1.6256502601040416E-3</v>
      </c>
      <c r="M402" s="66">
        <f t="shared" si="390"/>
        <v>1.6256502601040416E-3</v>
      </c>
      <c r="N402" s="66">
        <f t="shared" si="390"/>
        <v>1.6256502601040416E-3</v>
      </c>
      <c r="O402" s="66">
        <f t="shared" si="390"/>
        <v>1.6256502601040416E-3</v>
      </c>
      <c r="P402" s="66">
        <f t="shared" si="390"/>
        <v>1.6256502601040416E-3</v>
      </c>
      <c r="Q402" s="66">
        <f t="shared" si="390"/>
        <v>1.6256502601040416E-3</v>
      </c>
      <c r="R402" s="66">
        <f t="shared" si="390"/>
        <v>1.6256502601040416E-3</v>
      </c>
      <c r="S402" s="66">
        <f t="shared" si="390"/>
        <v>1.6256502601040416E-3</v>
      </c>
      <c r="T402" s="66">
        <f t="shared" si="390"/>
        <v>1.6256502601040416E-3</v>
      </c>
      <c r="U402" s="66">
        <f t="shared" si="390"/>
        <v>1.6256502601040416E-3</v>
      </c>
      <c r="V402" s="66">
        <f t="shared" si="390"/>
        <v>1.6256502601040416E-3</v>
      </c>
      <c r="W402" s="66">
        <f t="shared" si="390"/>
        <v>1.6256502601040416E-3</v>
      </c>
      <c r="X402" s="66">
        <f t="shared" si="390"/>
        <v>1.6256502601040416E-3</v>
      </c>
      <c r="Y402" s="66">
        <f t="shared" si="390"/>
        <v>1.6256502601040416E-3</v>
      </c>
      <c r="Z402" s="66">
        <f t="shared" si="390"/>
        <v>1.6256502601040416E-3</v>
      </c>
      <c r="AA402" s="66">
        <f t="shared" si="390"/>
        <v>1.6256502601040416E-3</v>
      </c>
      <c r="AB402" s="66">
        <f t="shared" si="390"/>
        <v>1.6256502601040416E-3</v>
      </c>
      <c r="AC402" s="66">
        <f t="shared" si="390"/>
        <v>1.6256502601040416E-3</v>
      </c>
    </row>
    <row r="403" spans="1:29" x14ac:dyDescent="0.25">
      <c r="A403" s="30" t="str">
        <f t="shared" si="384"/>
        <v>Opex var (mode-fees, shunting)</v>
      </c>
      <c r="B403" s="66">
        <f>B361*B370/B370/(B367)</f>
        <v>4.0016006402561026E-3</v>
      </c>
      <c r="C403" s="66">
        <f t="shared" ref="C403:AC403" si="391">C361*C370/C370/(C367)</f>
        <v>4.0016006402561026E-3</v>
      </c>
      <c r="D403" s="66">
        <f t="shared" si="391"/>
        <v>4.0016006402561026E-3</v>
      </c>
      <c r="E403" s="66">
        <f t="shared" si="391"/>
        <v>4.0016006402561026E-3</v>
      </c>
      <c r="F403" s="66">
        <f t="shared" si="391"/>
        <v>4.0016006402561026E-3</v>
      </c>
      <c r="G403" s="66">
        <f t="shared" si="391"/>
        <v>4.0016006402561026E-3</v>
      </c>
      <c r="H403" s="66">
        <f t="shared" si="391"/>
        <v>4.0016006402561026E-3</v>
      </c>
      <c r="I403" s="66">
        <f t="shared" si="391"/>
        <v>4.0016006402561026E-3</v>
      </c>
      <c r="J403" s="66">
        <f t="shared" si="391"/>
        <v>4.0016006402561026E-3</v>
      </c>
      <c r="K403" s="66">
        <f t="shared" si="391"/>
        <v>4.0016006402561026E-3</v>
      </c>
      <c r="L403" s="66">
        <f t="shared" si="391"/>
        <v>4.0016006402561026E-3</v>
      </c>
      <c r="M403" s="66">
        <f t="shared" si="391"/>
        <v>4.0016006402561026E-3</v>
      </c>
      <c r="N403" s="66">
        <f t="shared" si="391"/>
        <v>4.0016006402561026E-3</v>
      </c>
      <c r="O403" s="66">
        <f t="shared" si="391"/>
        <v>4.0016006402561026E-3</v>
      </c>
      <c r="P403" s="66">
        <f t="shared" si="391"/>
        <v>4.0016006402561026E-3</v>
      </c>
      <c r="Q403" s="66">
        <f t="shared" si="391"/>
        <v>4.0016006402561026E-3</v>
      </c>
      <c r="R403" s="66">
        <f t="shared" si="391"/>
        <v>4.0016006402561026E-3</v>
      </c>
      <c r="S403" s="66">
        <f t="shared" si="391"/>
        <v>4.0016006402561026E-3</v>
      </c>
      <c r="T403" s="66">
        <f t="shared" si="391"/>
        <v>4.0016006402561026E-3</v>
      </c>
      <c r="U403" s="66">
        <f t="shared" si="391"/>
        <v>4.0016006402561026E-3</v>
      </c>
      <c r="V403" s="66">
        <f t="shared" si="391"/>
        <v>4.0016006402561026E-3</v>
      </c>
      <c r="W403" s="66">
        <f t="shared" si="391"/>
        <v>4.0016006402561026E-3</v>
      </c>
      <c r="X403" s="66">
        <f t="shared" si="391"/>
        <v>4.0016006402561026E-3</v>
      </c>
      <c r="Y403" s="66">
        <f t="shared" si="391"/>
        <v>4.0016006402561026E-3</v>
      </c>
      <c r="Z403" s="66">
        <f t="shared" si="391"/>
        <v>4.0016006402561026E-3</v>
      </c>
      <c r="AA403" s="66">
        <f t="shared" si="391"/>
        <v>4.0016006402561026E-3</v>
      </c>
      <c r="AB403" s="66">
        <f t="shared" si="391"/>
        <v>4.0016006402561026E-3</v>
      </c>
      <c r="AC403" s="66">
        <f t="shared" si="391"/>
        <v>4.0016006402561026E-3</v>
      </c>
    </row>
    <row r="404" spans="1:29" x14ac:dyDescent="0.25">
      <c r="A404" s="30" t="str">
        <f t="shared" si="384"/>
        <v>Fuel Cost</v>
      </c>
      <c r="B404" s="66">
        <f>B362*B363*B370/B370/(B367)</f>
        <v>1.3290239431595586E-3</v>
      </c>
      <c r="C404" s="66">
        <f t="shared" ref="C404:AC404" si="392">C362*C363*C370/C370/(C367)</f>
        <v>1.3290239431595586E-3</v>
      </c>
      <c r="D404" s="66">
        <f t="shared" si="392"/>
        <v>1.3290239431595586E-3</v>
      </c>
      <c r="E404" s="66">
        <f t="shared" si="392"/>
        <v>1.3290239431595586E-3</v>
      </c>
      <c r="F404" s="66">
        <f t="shared" si="392"/>
        <v>1.3290239431595586E-3</v>
      </c>
      <c r="G404" s="66">
        <f t="shared" si="392"/>
        <v>1.3290239431595586E-3</v>
      </c>
      <c r="H404" s="66">
        <f t="shared" si="392"/>
        <v>1.3290239431595586E-3</v>
      </c>
      <c r="I404" s="66">
        <f t="shared" si="392"/>
        <v>1.3290239431595586E-3</v>
      </c>
      <c r="J404" s="66">
        <f t="shared" si="392"/>
        <v>1.3548987444936466E-3</v>
      </c>
      <c r="K404" s="66">
        <f t="shared" si="392"/>
        <v>1.3807735458277353E-3</v>
      </c>
      <c r="L404" s="66">
        <f t="shared" si="392"/>
        <v>1.4066483471618235E-3</v>
      </c>
      <c r="M404" s="66">
        <f t="shared" si="392"/>
        <v>1.4325231484959115E-3</v>
      </c>
      <c r="N404" s="66">
        <f t="shared" si="392"/>
        <v>1.45839794983E-3</v>
      </c>
      <c r="O404" s="66">
        <f t="shared" si="392"/>
        <v>1.4442844218295879E-3</v>
      </c>
      <c r="P404" s="66">
        <f t="shared" si="392"/>
        <v>1.4301708938291762E-3</v>
      </c>
      <c r="Q404" s="66">
        <f t="shared" si="392"/>
        <v>1.4160573658287643E-3</v>
      </c>
      <c r="R404" s="66">
        <f t="shared" si="392"/>
        <v>1.4019438378283524E-3</v>
      </c>
      <c r="S404" s="66">
        <f t="shared" si="392"/>
        <v>1.3878303098279409E-3</v>
      </c>
      <c r="T404" s="66">
        <f t="shared" si="392"/>
        <v>1.3737167818275292E-3</v>
      </c>
      <c r="U404" s="66">
        <f t="shared" si="392"/>
        <v>1.3596032538271171E-3</v>
      </c>
      <c r="V404" s="66">
        <f t="shared" si="392"/>
        <v>1.3454897258267052E-3</v>
      </c>
      <c r="W404" s="66">
        <f t="shared" si="392"/>
        <v>1.3313761978262938E-3</v>
      </c>
      <c r="X404" s="66">
        <f t="shared" si="392"/>
        <v>1.3172626698258823E-3</v>
      </c>
      <c r="Y404" s="66">
        <f t="shared" si="392"/>
        <v>1.3031491418254704E-3</v>
      </c>
      <c r="Z404" s="66">
        <f t="shared" si="392"/>
        <v>1.2890356138250585E-3</v>
      </c>
      <c r="AA404" s="66">
        <f t="shared" si="392"/>
        <v>1.2749220858246468E-3</v>
      </c>
      <c r="AB404" s="66">
        <f t="shared" si="392"/>
        <v>1.2608085578242347E-3</v>
      </c>
      <c r="AC404" s="66">
        <f t="shared" si="392"/>
        <v>1.2466950298238237E-3</v>
      </c>
    </row>
    <row r="405" spans="1:29" x14ac:dyDescent="0.25">
      <c r="A405" s="59" t="str">
        <f>A368</f>
        <v>Market failure (av. utilization)</v>
      </c>
      <c r="B405" s="66">
        <f t="shared" ref="B405:AC405" si="393">B394/B368-B394/B367</f>
        <v>4.7874970824148422E-3</v>
      </c>
      <c r="C405" s="66">
        <f t="shared" si="393"/>
        <v>4.7874970824148422E-3</v>
      </c>
      <c r="D405" s="66">
        <f t="shared" si="393"/>
        <v>4.7874970824148422E-3</v>
      </c>
      <c r="E405" s="66">
        <f t="shared" si="393"/>
        <v>4.7874970824148422E-3</v>
      </c>
      <c r="F405" s="66">
        <f t="shared" si="393"/>
        <v>4.7874970824148422E-3</v>
      </c>
      <c r="G405" s="66">
        <f t="shared" si="393"/>
        <v>4.7874970824148422E-3</v>
      </c>
      <c r="H405" s="66">
        <f t="shared" si="393"/>
        <v>4.7874970824148422E-3</v>
      </c>
      <c r="I405" s="66">
        <f t="shared" si="393"/>
        <v>4.7874970824148422E-3</v>
      </c>
      <c r="J405" s="66">
        <f t="shared" si="393"/>
        <v>4.7975595051558753E-3</v>
      </c>
      <c r="K405" s="66">
        <f t="shared" si="393"/>
        <v>4.8076219278969101E-3</v>
      </c>
      <c r="L405" s="66">
        <f t="shared" si="393"/>
        <v>4.8176843506379449E-3</v>
      </c>
      <c r="M405" s="66">
        <f t="shared" si="393"/>
        <v>4.8277467733789797E-3</v>
      </c>
      <c r="N405" s="66">
        <f t="shared" si="393"/>
        <v>4.8378091961200145E-3</v>
      </c>
      <c r="O405" s="66">
        <f t="shared" si="393"/>
        <v>4.8323206018976283E-3</v>
      </c>
      <c r="P405" s="66">
        <f t="shared" si="393"/>
        <v>4.826832007675249E-3</v>
      </c>
      <c r="Q405" s="66">
        <f t="shared" si="393"/>
        <v>4.8213434134528645E-3</v>
      </c>
      <c r="R405" s="66">
        <f t="shared" si="393"/>
        <v>4.8158548192304834E-3</v>
      </c>
      <c r="S405" s="66">
        <f t="shared" si="393"/>
        <v>4.8103662250080989E-3</v>
      </c>
      <c r="T405" s="66">
        <f t="shared" si="393"/>
        <v>4.8048776307857196E-3</v>
      </c>
      <c r="U405" s="66">
        <f t="shared" si="393"/>
        <v>4.7993890365633351E-3</v>
      </c>
      <c r="V405" s="66">
        <f t="shared" si="393"/>
        <v>4.793900442340954E-3</v>
      </c>
      <c r="W405" s="66">
        <f t="shared" si="393"/>
        <v>4.7884118481185713E-3</v>
      </c>
      <c r="X405" s="66">
        <f t="shared" si="393"/>
        <v>4.7829232538961867E-3</v>
      </c>
      <c r="Y405" s="66">
        <f t="shared" si="393"/>
        <v>4.7774346596738074E-3</v>
      </c>
      <c r="Z405" s="66">
        <f t="shared" si="393"/>
        <v>4.7719460654514247E-3</v>
      </c>
      <c r="AA405" s="66">
        <f t="shared" si="393"/>
        <v>4.7664574712290419E-3</v>
      </c>
      <c r="AB405" s="66">
        <f t="shared" si="393"/>
        <v>4.7609688770066574E-3</v>
      </c>
      <c r="AC405" s="66">
        <f t="shared" si="393"/>
        <v>4.7554802827842781E-3</v>
      </c>
    </row>
    <row r="406" spans="1:29" x14ac:dyDescent="0.25">
      <c r="A406" s="59" t="str">
        <f>A369</f>
        <v>Payload loss (fuel)</v>
      </c>
      <c r="B406" s="66">
        <f>B394/(B367-B369)-B394/B367</f>
        <v>0</v>
      </c>
      <c r="C406" s="66">
        <f t="shared" ref="C406:AC406" si="394">C394/(C367-C369)-C394/C367</f>
        <v>0</v>
      </c>
      <c r="D406" s="66">
        <f t="shared" si="394"/>
        <v>0</v>
      </c>
      <c r="E406" s="66">
        <f t="shared" si="394"/>
        <v>0</v>
      </c>
      <c r="F406" s="66">
        <f t="shared" si="394"/>
        <v>0</v>
      </c>
      <c r="G406" s="66">
        <f t="shared" si="394"/>
        <v>0</v>
      </c>
      <c r="H406" s="66">
        <f t="shared" si="394"/>
        <v>0</v>
      </c>
      <c r="I406" s="66">
        <f t="shared" si="394"/>
        <v>0</v>
      </c>
      <c r="J406" s="66">
        <f t="shared" si="394"/>
        <v>0</v>
      </c>
      <c r="K406" s="66">
        <f t="shared" si="394"/>
        <v>0</v>
      </c>
      <c r="L406" s="66">
        <f t="shared" si="394"/>
        <v>0</v>
      </c>
      <c r="M406" s="66">
        <f t="shared" si="394"/>
        <v>0</v>
      </c>
      <c r="N406" s="66">
        <f t="shared" si="394"/>
        <v>0</v>
      </c>
      <c r="O406" s="66">
        <f t="shared" si="394"/>
        <v>0</v>
      </c>
      <c r="P406" s="66">
        <f t="shared" si="394"/>
        <v>0</v>
      </c>
      <c r="Q406" s="66">
        <f t="shared" si="394"/>
        <v>0</v>
      </c>
      <c r="R406" s="66">
        <f t="shared" si="394"/>
        <v>0</v>
      </c>
      <c r="S406" s="66">
        <f t="shared" si="394"/>
        <v>0</v>
      </c>
      <c r="T406" s="66">
        <f t="shared" si="394"/>
        <v>0</v>
      </c>
      <c r="U406" s="66">
        <f t="shared" si="394"/>
        <v>0</v>
      </c>
      <c r="V406" s="66">
        <f t="shared" si="394"/>
        <v>0</v>
      </c>
      <c r="W406" s="66">
        <f t="shared" si="394"/>
        <v>0</v>
      </c>
      <c r="X406" s="66">
        <f t="shared" si="394"/>
        <v>0</v>
      </c>
      <c r="Y406" s="66">
        <f t="shared" si="394"/>
        <v>0</v>
      </c>
      <c r="Z406" s="66">
        <f t="shared" si="394"/>
        <v>0</v>
      </c>
      <c r="AA406" s="66">
        <f t="shared" si="394"/>
        <v>0</v>
      </c>
      <c r="AB406" s="66">
        <f t="shared" si="394"/>
        <v>0</v>
      </c>
      <c r="AC406" s="66">
        <f t="shared" si="394"/>
        <v>0</v>
      </c>
    </row>
    <row r="407" spans="1:29" ht="15.75" thickBot="1" x14ac:dyDescent="0.3">
      <c r="A407" s="59" t="str">
        <f>A344</f>
        <v>Emission Cost</v>
      </c>
      <c r="B407" s="68">
        <f>B364*B370/B370/(B367)</f>
        <v>0</v>
      </c>
      <c r="C407" s="68">
        <f t="shared" ref="C407:AC407" si="395">C364*C370/C370/(C367)</f>
        <v>0</v>
      </c>
      <c r="D407" s="68">
        <f t="shared" si="395"/>
        <v>0</v>
      </c>
      <c r="E407" s="68">
        <f t="shared" si="395"/>
        <v>0</v>
      </c>
      <c r="F407" s="68">
        <f t="shared" si="395"/>
        <v>0</v>
      </c>
      <c r="G407" s="68">
        <f t="shared" si="395"/>
        <v>0</v>
      </c>
      <c r="H407" s="68">
        <f t="shared" si="395"/>
        <v>0</v>
      </c>
      <c r="I407" s="68">
        <f t="shared" si="395"/>
        <v>0</v>
      </c>
      <c r="J407" s="68">
        <f t="shared" si="395"/>
        <v>0</v>
      </c>
      <c r="K407" s="68">
        <f t="shared" si="395"/>
        <v>0</v>
      </c>
      <c r="L407" s="68">
        <f t="shared" si="395"/>
        <v>0</v>
      </c>
      <c r="M407" s="68">
        <f t="shared" si="395"/>
        <v>0</v>
      </c>
      <c r="N407" s="68">
        <f t="shared" si="395"/>
        <v>0</v>
      </c>
      <c r="O407" s="68">
        <f t="shared" si="395"/>
        <v>0</v>
      </c>
      <c r="P407" s="68">
        <f t="shared" si="395"/>
        <v>0</v>
      </c>
      <c r="Q407" s="68">
        <f t="shared" si="395"/>
        <v>0</v>
      </c>
      <c r="R407" s="68">
        <f t="shared" si="395"/>
        <v>0</v>
      </c>
      <c r="S407" s="68">
        <f t="shared" si="395"/>
        <v>0</v>
      </c>
      <c r="T407" s="68">
        <f t="shared" si="395"/>
        <v>0</v>
      </c>
      <c r="U407" s="68">
        <f t="shared" si="395"/>
        <v>0</v>
      </c>
      <c r="V407" s="68">
        <f t="shared" si="395"/>
        <v>0</v>
      </c>
      <c r="W407" s="68">
        <f t="shared" si="395"/>
        <v>0</v>
      </c>
      <c r="X407" s="68">
        <f t="shared" si="395"/>
        <v>0</v>
      </c>
      <c r="Y407" s="68">
        <f t="shared" si="395"/>
        <v>0</v>
      </c>
      <c r="Z407" s="68">
        <f t="shared" si="395"/>
        <v>0</v>
      </c>
      <c r="AA407" s="68">
        <f t="shared" si="395"/>
        <v>0</v>
      </c>
      <c r="AB407" s="68">
        <f t="shared" si="395"/>
        <v>0</v>
      </c>
      <c r="AC407" s="68">
        <f t="shared" si="395"/>
        <v>0</v>
      </c>
    </row>
    <row r="408" spans="1:29" ht="15.75" thickBot="1" x14ac:dyDescent="0.3">
      <c r="A408" s="31" t="s">
        <v>210</v>
      </c>
      <c r="B408" s="77">
        <f>B397+B398+B399+B400+B401+B402+B403+B404+B405+B406+B407</f>
        <v>1.7021891983950016E-2</v>
      </c>
      <c r="C408" s="67">
        <f t="shared" ref="C408:AC408" si="396">C397+C398+C399+C400+C401+C402+C403+C404+C405+C406+C407</f>
        <v>1.7021891983950016E-2</v>
      </c>
      <c r="D408" s="67">
        <f t="shared" si="396"/>
        <v>1.7021891983950016E-2</v>
      </c>
      <c r="E408" s="67">
        <f t="shared" si="396"/>
        <v>1.7021891983950016E-2</v>
      </c>
      <c r="F408" s="67">
        <f t="shared" si="396"/>
        <v>1.7021891983950016E-2</v>
      </c>
      <c r="G408" s="67">
        <f t="shared" si="396"/>
        <v>1.7021891983950016E-2</v>
      </c>
      <c r="H408" s="67">
        <f t="shared" si="396"/>
        <v>1.7021891983950016E-2</v>
      </c>
      <c r="I408" s="67">
        <f t="shared" si="396"/>
        <v>1.7021891983950016E-2</v>
      </c>
      <c r="J408" s="67">
        <f t="shared" si="396"/>
        <v>1.7057829208025139E-2</v>
      </c>
      <c r="K408" s="67">
        <f t="shared" si="396"/>
        <v>1.7093766432100262E-2</v>
      </c>
      <c r="L408" s="67">
        <f t="shared" si="396"/>
        <v>1.7129703656175388E-2</v>
      </c>
      <c r="M408" s="67">
        <f t="shared" si="396"/>
        <v>1.7165640880250507E-2</v>
      </c>
      <c r="N408" s="67">
        <f t="shared" si="396"/>
        <v>1.7201578104325634E-2</v>
      </c>
      <c r="O408" s="67">
        <f t="shared" si="396"/>
        <v>1.7181975982102832E-2</v>
      </c>
      <c r="P408" s="67">
        <f t="shared" si="396"/>
        <v>1.7162373859880044E-2</v>
      </c>
      <c r="Q408" s="67">
        <f t="shared" si="396"/>
        <v>1.7142771737657249E-2</v>
      </c>
      <c r="R408" s="67">
        <f t="shared" si="396"/>
        <v>1.7123169615434454E-2</v>
      </c>
      <c r="S408" s="67">
        <f t="shared" si="396"/>
        <v>1.7103567493211659E-2</v>
      </c>
      <c r="T408" s="67">
        <f t="shared" si="396"/>
        <v>1.7083965370988864E-2</v>
      </c>
      <c r="U408" s="67">
        <f t="shared" si="396"/>
        <v>1.7064363248766069E-2</v>
      </c>
      <c r="V408" s="67">
        <f t="shared" si="396"/>
        <v>1.7044761126543274E-2</v>
      </c>
      <c r="W408" s="67">
        <f t="shared" si="396"/>
        <v>1.7025159004320483E-2</v>
      </c>
      <c r="X408" s="67">
        <f t="shared" si="396"/>
        <v>1.7005556882097685E-2</v>
      </c>
      <c r="Y408" s="67">
        <f t="shared" si="396"/>
        <v>1.6985954759874897E-2</v>
      </c>
      <c r="Z408" s="67">
        <f t="shared" si="396"/>
        <v>1.6966352637652102E-2</v>
      </c>
      <c r="AA408" s="67">
        <f t="shared" si="396"/>
        <v>1.6946750515429307E-2</v>
      </c>
      <c r="AB408" s="67">
        <f t="shared" si="396"/>
        <v>1.6927148393206512E-2</v>
      </c>
      <c r="AC408" s="67">
        <f t="shared" si="396"/>
        <v>1.6907546270983717E-2</v>
      </c>
    </row>
    <row r="410" spans="1:29" x14ac:dyDescent="0.25">
      <c r="B410" s="40"/>
    </row>
    <row r="429" spans="1:1" s="3" customFormat="1" ht="21" x14ac:dyDescent="0.35">
      <c r="A429" s="2" t="str">
        <f>'Parameter Input'!A193</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Input'!$L$159</f>
        <v>5000000</v>
      </c>
      <c r="C439" s="42">
        <f>'Parameter Input'!$M$159</f>
        <v>5000000</v>
      </c>
      <c r="D439" s="1" t="s">
        <v>15</v>
      </c>
      <c r="L439" s="51">
        <f>'Parameter Input'!$O$159</f>
        <v>12</v>
      </c>
      <c r="M439" s="52">
        <v>0</v>
      </c>
      <c r="N439" s="52">
        <v>1</v>
      </c>
      <c r="O439" s="52">
        <f>'Parameter Input'!$P$159</f>
        <v>0.9</v>
      </c>
      <c r="P439" s="53">
        <f>'Parameter Input'!$Q$159</f>
        <v>0.4</v>
      </c>
      <c r="Q439" s="4">
        <f t="shared" ref="Q439:AR448" si="397">$N439+($M439-$N439)*((1/(1+EXP(-$P439*(Q$9-$L439)))^$O439))</f>
        <v>0.9867978615748374</v>
      </c>
      <c r="R439" s="4">
        <f t="shared" si="397"/>
        <v>0.98114509762858249</v>
      </c>
      <c r="S439" s="4">
        <f t="shared" si="397"/>
        <v>0.97311898315872036</v>
      </c>
      <c r="T439" s="4">
        <f t="shared" si="397"/>
        <v>0.96177484161592774</v>
      </c>
      <c r="U439" s="4">
        <f t="shared" si="397"/>
        <v>0.94584787155511363</v>
      </c>
      <c r="V439" s="4">
        <f t="shared" si="397"/>
        <v>0.92370360150141495</v>
      </c>
      <c r="W439" s="4">
        <f t="shared" si="397"/>
        <v>0.89334463567658451</v>
      </c>
      <c r="X439" s="4">
        <f t="shared" si="397"/>
        <v>0.85254543874327005</v>
      </c>
      <c r="Y439" s="4">
        <f t="shared" si="397"/>
        <v>0.79921300652623883</v>
      </c>
      <c r="Z439" s="4">
        <f t="shared" si="397"/>
        <v>0.73204982249993378</v>
      </c>
      <c r="AA439" s="4">
        <f t="shared" si="397"/>
        <v>0.65145592958786691</v>
      </c>
      <c r="AB439" s="4">
        <f t="shared" si="397"/>
        <v>0.56032247880849573</v>
      </c>
      <c r="AC439" s="4">
        <f t="shared" si="397"/>
        <v>0.46411326873185343</v>
      </c>
      <c r="AD439" s="4">
        <f t="shared" si="397"/>
        <v>0.36979727595523937</v>
      </c>
      <c r="AE439" s="4">
        <f t="shared" si="397"/>
        <v>0.28393948637231203</v>
      </c>
      <c r="AF439" s="4">
        <f t="shared" si="397"/>
        <v>0.21097259161117732</v>
      </c>
      <c r="AG439" s="4">
        <f t="shared" si="397"/>
        <v>0.15253917653798199</v>
      </c>
      <c r="AH439" s="4">
        <f t="shared" si="397"/>
        <v>0.10795188737709993</v>
      </c>
      <c r="AI439" s="4">
        <f t="shared" si="397"/>
        <v>7.5176653938091809E-2</v>
      </c>
      <c r="AJ439" s="4">
        <f t="shared" si="397"/>
        <v>5.1742836177502194E-2</v>
      </c>
      <c r="AK439" s="4">
        <f t="shared" si="397"/>
        <v>3.5319190625345942E-2</v>
      </c>
      <c r="AL439" s="4">
        <f t="shared" si="397"/>
        <v>2.3969442072658165E-2</v>
      </c>
      <c r="AM439" s="4">
        <f t="shared" si="397"/>
        <v>1.6202243558389728E-2</v>
      </c>
      <c r="AN439" s="4">
        <f t="shared" si="397"/>
        <v>1.0922240564108399E-2</v>
      </c>
      <c r="AO439" s="4">
        <f t="shared" si="397"/>
        <v>7.3493212906090566E-3</v>
      </c>
      <c r="AP439" s="4">
        <f t="shared" si="397"/>
        <v>4.9390262185057265E-3</v>
      </c>
      <c r="AQ439" s="4">
        <f t="shared" si="397"/>
        <v>3.3164275492956197E-3</v>
      </c>
      <c r="AR439" s="4">
        <f t="shared" si="397"/>
        <v>2.2256362146679809E-3</v>
      </c>
    </row>
    <row r="440" spans="1:44" x14ac:dyDescent="0.25">
      <c r="A440" s="24" t="s">
        <v>28</v>
      </c>
      <c r="B440" s="60">
        <f>'Parameter Input'!$L$160</f>
        <v>-750000</v>
      </c>
      <c r="C440" s="61">
        <f>'Parameter Input'!$M$160</f>
        <v>-750000</v>
      </c>
      <c r="D440" s="1" t="s">
        <v>15</v>
      </c>
      <c r="L440" s="54">
        <f>'Parameter Input'!$O$160</f>
        <v>12</v>
      </c>
      <c r="M440" s="37">
        <v>0</v>
      </c>
      <c r="N440" s="37">
        <v>1</v>
      </c>
      <c r="O440" s="37">
        <f>'Parameter Input'!$P$160</f>
        <v>0.9</v>
      </c>
      <c r="P440" s="55">
        <f>'Parameter Input'!$Q$160</f>
        <v>0.4</v>
      </c>
      <c r="Q440" s="4">
        <f t="shared" si="397"/>
        <v>0.9867978615748374</v>
      </c>
      <c r="R440" s="4">
        <f t="shared" si="397"/>
        <v>0.98114509762858249</v>
      </c>
      <c r="S440" s="4">
        <f t="shared" si="397"/>
        <v>0.97311898315872036</v>
      </c>
      <c r="T440" s="4">
        <f t="shared" si="397"/>
        <v>0.96177484161592774</v>
      </c>
      <c r="U440" s="4">
        <f t="shared" si="397"/>
        <v>0.94584787155511363</v>
      </c>
      <c r="V440" s="4">
        <f t="shared" si="397"/>
        <v>0.92370360150141495</v>
      </c>
      <c r="W440" s="4">
        <f t="shared" si="397"/>
        <v>0.89334463567658451</v>
      </c>
      <c r="X440" s="4">
        <f t="shared" si="397"/>
        <v>0.85254543874327005</v>
      </c>
      <c r="Y440" s="4">
        <f t="shared" si="397"/>
        <v>0.79921300652623883</v>
      </c>
      <c r="Z440" s="4">
        <f t="shared" si="397"/>
        <v>0.73204982249993378</v>
      </c>
      <c r="AA440" s="4">
        <f t="shared" si="397"/>
        <v>0.65145592958786691</v>
      </c>
      <c r="AB440" s="4">
        <f t="shared" si="397"/>
        <v>0.56032247880849573</v>
      </c>
      <c r="AC440" s="4">
        <f t="shared" si="397"/>
        <v>0.46411326873185343</v>
      </c>
      <c r="AD440" s="4">
        <f t="shared" si="397"/>
        <v>0.36979727595523937</v>
      </c>
      <c r="AE440" s="4">
        <f t="shared" si="397"/>
        <v>0.28393948637231203</v>
      </c>
      <c r="AF440" s="4">
        <f t="shared" si="397"/>
        <v>0.21097259161117732</v>
      </c>
      <c r="AG440" s="4">
        <f t="shared" si="397"/>
        <v>0.15253917653798199</v>
      </c>
      <c r="AH440" s="4">
        <f t="shared" si="397"/>
        <v>0.10795188737709993</v>
      </c>
      <c r="AI440" s="4">
        <f t="shared" si="397"/>
        <v>7.5176653938091809E-2</v>
      </c>
      <c r="AJ440" s="4">
        <f t="shared" si="397"/>
        <v>5.1742836177502194E-2</v>
      </c>
      <c r="AK440" s="4">
        <f t="shared" si="397"/>
        <v>3.5319190625345942E-2</v>
      </c>
      <c r="AL440" s="4">
        <f t="shared" si="397"/>
        <v>2.3969442072658165E-2</v>
      </c>
      <c r="AM440" s="4">
        <f t="shared" si="397"/>
        <v>1.6202243558389728E-2</v>
      </c>
      <c r="AN440" s="4">
        <f t="shared" si="397"/>
        <v>1.0922240564108399E-2</v>
      </c>
      <c r="AO440" s="4">
        <f t="shared" si="397"/>
        <v>7.3493212906090566E-3</v>
      </c>
      <c r="AP440" s="4">
        <f t="shared" si="397"/>
        <v>4.9390262185057265E-3</v>
      </c>
      <c r="AQ440" s="4">
        <f t="shared" si="397"/>
        <v>3.3164275492956197E-3</v>
      </c>
      <c r="AR440" s="4">
        <f t="shared" si="397"/>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97"/>
        <v>0.9867978615748374</v>
      </c>
      <c r="R441" s="4">
        <f t="shared" si="397"/>
        <v>0.98114509762858249</v>
      </c>
      <c r="S441" s="4">
        <f t="shared" si="397"/>
        <v>0.97311898315872036</v>
      </c>
      <c r="T441" s="4">
        <f t="shared" si="397"/>
        <v>0.96177484161592774</v>
      </c>
      <c r="U441" s="4">
        <f t="shared" si="397"/>
        <v>0.94584787155511363</v>
      </c>
      <c r="V441" s="4">
        <f t="shared" si="397"/>
        <v>0.92370360150141495</v>
      </c>
      <c r="W441" s="4">
        <f t="shared" si="397"/>
        <v>0.89334463567658451</v>
      </c>
      <c r="X441" s="4">
        <f t="shared" si="397"/>
        <v>0.85254543874327005</v>
      </c>
      <c r="Y441" s="4">
        <f t="shared" si="397"/>
        <v>0.79921300652623883</v>
      </c>
      <c r="Z441" s="4">
        <f t="shared" si="397"/>
        <v>0.73204982249993378</v>
      </c>
      <c r="AA441" s="4">
        <f t="shared" si="397"/>
        <v>0.65145592958786691</v>
      </c>
      <c r="AB441" s="4">
        <f t="shared" si="397"/>
        <v>0.56032247880849573</v>
      </c>
      <c r="AC441" s="4">
        <f t="shared" si="397"/>
        <v>0.46411326873185343</v>
      </c>
      <c r="AD441" s="4">
        <f t="shared" si="397"/>
        <v>0.36979727595523937</v>
      </c>
      <c r="AE441" s="4">
        <f t="shared" si="397"/>
        <v>0.28393948637231203</v>
      </c>
      <c r="AF441" s="4">
        <f t="shared" si="397"/>
        <v>0.21097259161117732</v>
      </c>
      <c r="AG441" s="4">
        <f t="shared" si="397"/>
        <v>0.15253917653798199</v>
      </c>
      <c r="AH441" s="4">
        <f t="shared" si="397"/>
        <v>0.10795188737709993</v>
      </c>
      <c r="AI441" s="4">
        <f t="shared" si="397"/>
        <v>7.5176653938091809E-2</v>
      </c>
      <c r="AJ441" s="4">
        <f t="shared" si="397"/>
        <v>5.1742836177502194E-2</v>
      </c>
      <c r="AK441" s="4">
        <f t="shared" si="397"/>
        <v>3.5319190625345942E-2</v>
      </c>
      <c r="AL441" s="4">
        <f t="shared" si="397"/>
        <v>2.3969442072658165E-2</v>
      </c>
      <c r="AM441" s="4">
        <f t="shared" si="397"/>
        <v>1.6202243558389728E-2</v>
      </c>
      <c r="AN441" s="4">
        <f t="shared" si="397"/>
        <v>1.0922240564108399E-2</v>
      </c>
      <c r="AO441" s="4">
        <f t="shared" si="397"/>
        <v>7.3493212906090566E-3</v>
      </c>
      <c r="AP441" s="4">
        <f t="shared" si="397"/>
        <v>4.9390262185057265E-3</v>
      </c>
      <c r="AQ441" s="4">
        <f t="shared" si="397"/>
        <v>3.3164275492956197E-3</v>
      </c>
      <c r="AR441" s="4">
        <f t="shared" si="397"/>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97"/>
        <v>0.9867978615748374</v>
      </c>
      <c r="R442" s="4">
        <f t="shared" si="397"/>
        <v>0.98114509762858249</v>
      </c>
      <c r="S442" s="4">
        <f t="shared" si="397"/>
        <v>0.97311898315872036</v>
      </c>
      <c r="T442" s="4">
        <f t="shared" si="397"/>
        <v>0.96177484161592774</v>
      </c>
      <c r="U442" s="4">
        <f t="shared" si="397"/>
        <v>0.94584787155511363</v>
      </c>
      <c r="V442" s="4">
        <f t="shared" si="397"/>
        <v>0.92370360150141495</v>
      </c>
      <c r="W442" s="4">
        <f t="shared" si="397"/>
        <v>0.89334463567658451</v>
      </c>
      <c r="X442" s="4">
        <f t="shared" si="397"/>
        <v>0.85254543874327005</v>
      </c>
      <c r="Y442" s="4">
        <f t="shared" si="397"/>
        <v>0.79921300652623883</v>
      </c>
      <c r="Z442" s="4">
        <f t="shared" si="397"/>
        <v>0.73204982249993378</v>
      </c>
      <c r="AA442" s="4">
        <f t="shared" si="397"/>
        <v>0.65145592958786691</v>
      </c>
      <c r="AB442" s="4">
        <f t="shared" si="397"/>
        <v>0.56032247880849573</v>
      </c>
      <c r="AC442" s="4">
        <f t="shared" si="397"/>
        <v>0.46411326873185343</v>
      </c>
      <c r="AD442" s="4">
        <f t="shared" si="397"/>
        <v>0.36979727595523937</v>
      </c>
      <c r="AE442" s="4">
        <f t="shared" si="397"/>
        <v>0.28393948637231203</v>
      </c>
      <c r="AF442" s="4">
        <f t="shared" si="397"/>
        <v>0.21097259161117732</v>
      </c>
      <c r="AG442" s="4">
        <f t="shared" si="397"/>
        <v>0.15253917653798199</v>
      </c>
      <c r="AH442" s="4">
        <f t="shared" si="397"/>
        <v>0.10795188737709993</v>
      </c>
      <c r="AI442" s="4">
        <f t="shared" si="397"/>
        <v>7.5176653938091809E-2</v>
      </c>
      <c r="AJ442" s="4">
        <f t="shared" si="397"/>
        <v>5.1742836177502194E-2</v>
      </c>
      <c r="AK442" s="4">
        <f t="shared" si="397"/>
        <v>3.5319190625345942E-2</v>
      </c>
      <c r="AL442" s="4">
        <f t="shared" si="397"/>
        <v>2.3969442072658165E-2</v>
      </c>
      <c r="AM442" s="4">
        <f t="shared" si="397"/>
        <v>1.6202243558389728E-2</v>
      </c>
      <c r="AN442" s="4">
        <f t="shared" si="397"/>
        <v>1.0922240564108399E-2</v>
      </c>
      <c r="AO442" s="4">
        <f t="shared" si="397"/>
        <v>7.3493212906090566E-3</v>
      </c>
      <c r="AP442" s="4">
        <f t="shared" si="397"/>
        <v>4.9390262185057265E-3</v>
      </c>
      <c r="AQ442" s="4">
        <f t="shared" si="397"/>
        <v>3.3164275492956197E-3</v>
      </c>
      <c r="AR442" s="4">
        <f t="shared" si="397"/>
        <v>2.2256362146679809E-3</v>
      </c>
    </row>
    <row r="443" spans="1:44" x14ac:dyDescent="0.25">
      <c r="A443" s="24" t="s">
        <v>79</v>
      </c>
      <c r="B443" s="45">
        <f>'Parameter Input'!$L$166</f>
        <v>0.06</v>
      </c>
      <c r="C443" s="46">
        <f>'Parameter Input'!$M$166</f>
        <v>0.06</v>
      </c>
      <c r="D443" s="1" t="s">
        <v>57</v>
      </c>
      <c r="L443" s="54">
        <f>'Parameter Input'!$O$166</f>
        <v>12</v>
      </c>
      <c r="M443" s="37">
        <v>0</v>
      </c>
      <c r="N443" s="37">
        <v>1</v>
      </c>
      <c r="O443" s="37">
        <f>'Parameter Input'!$P$166</f>
        <v>0.9</v>
      </c>
      <c r="P443" s="55">
        <f>'Parameter Input'!$Q$166</f>
        <v>0.4</v>
      </c>
      <c r="Q443" s="4">
        <f t="shared" si="397"/>
        <v>0.9867978615748374</v>
      </c>
      <c r="R443" s="4">
        <f t="shared" si="397"/>
        <v>0.98114509762858249</v>
      </c>
      <c r="S443" s="4">
        <f t="shared" si="397"/>
        <v>0.97311898315872036</v>
      </c>
      <c r="T443" s="4">
        <f t="shared" si="397"/>
        <v>0.96177484161592774</v>
      </c>
      <c r="U443" s="4">
        <f t="shared" si="397"/>
        <v>0.94584787155511363</v>
      </c>
      <c r="V443" s="4">
        <f t="shared" si="397"/>
        <v>0.92370360150141495</v>
      </c>
      <c r="W443" s="4">
        <f t="shared" si="397"/>
        <v>0.89334463567658451</v>
      </c>
      <c r="X443" s="4">
        <f t="shared" si="397"/>
        <v>0.85254543874327005</v>
      </c>
      <c r="Y443" s="4">
        <f t="shared" si="397"/>
        <v>0.79921300652623883</v>
      </c>
      <c r="Z443" s="4">
        <f t="shared" si="397"/>
        <v>0.73204982249993378</v>
      </c>
      <c r="AA443" s="4">
        <f t="shared" si="397"/>
        <v>0.65145592958786691</v>
      </c>
      <c r="AB443" s="4">
        <f t="shared" si="397"/>
        <v>0.56032247880849573</v>
      </c>
      <c r="AC443" s="4">
        <f t="shared" si="397"/>
        <v>0.46411326873185343</v>
      </c>
      <c r="AD443" s="4">
        <f t="shared" si="397"/>
        <v>0.36979727595523937</v>
      </c>
      <c r="AE443" s="4">
        <f t="shared" si="397"/>
        <v>0.28393948637231203</v>
      </c>
      <c r="AF443" s="4">
        <f t="shared" si="397"/>
        <v>0.21097259161117732</v>
      </c>
      <c r="AG443" s="4">
        <f t="shared" si="397"/>
        <v>0.15253917653798199</v>
      </c>
      <c r="AH443" s="4">
        <f t="shared" si="397"/>
        <v>0.10795188737709993</v>
      </c>
      <c r="AI443" s="4">
        <f t="shared" si="397"/>
        <v>7.5176653938091809E-2</v>
      </c>
      <c r="AJ443" s="4">
        <f t="shared" si="397"/>
        <v>5.1742836177502194E-2</v>
      </c>
      <c r="AK443" s="4">
        <f t="shared" si="397"/>
        <v>3.5319190625345942E-2</v>
      </c>
      <c r="AL443" s="4">
        <f t="shared" si="397"/>
        <v>2.3969442072658165E-2</v>
      </c>
      <c r="AM443" s="4">
        <f t="shared" si="397"/>
        <v>1.6202243558389728E-2</v>
      </c>
      <c r="AN443" s="4">
        <f t="shared" si="397"/>
        <v>1.0922240564108399E-2</v>
      </c>
      <c r="AO443" s="4">
        <f t="shared" si="397"/>
        <v>7.3493212906090566E-3</v>
      </c>
      <c r="AP443" s="4">
        <f t="shared" si="397"/>
        <v>4.9390262185057265E-3</v>
      </c>
      <c r="AQ443" s="4">
        <f t="shared" si="397"/>
        <v>3.3164275492956197E-3</v>
      </c>
      <c r="AR443" s="4">
        <f t="shared" si="397"/>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97"/>
        <v>0.9867978615748374</v>
      </c>
      <c r="R444" s="4">
        <f t="shared" si="397"/>
        <v>0.98114509762858249</v>
      </c>
      <c r="S444" s="4">
        <f t="shared" si="397"/>
        <v>0.97311898315872036</v>
      </c>
      <c r="T444" s="4">
        <f t="shared" si="397"/>
        <v>0.96177484161592774</v>
      </c>
      <c r="U444" s="4">
        <f t="shared" si="397"/>
        <v>0.94584787155511363</v>
      </c>
      <c r="V444" s="4">
        <f t="shared" si="397"/>
        <v>0.92370360150141495</v>
      </c>
      <c r="W444" s="4">
        <f t="shared" si="397"/>
        <v>0.89334463567658451</v>
      </c>
      <c r="X444" s="4">
        <f t="shared" si="397"/>
        <v>0.85254543874327005</v>
      </c>
      <c r="Y444" s="4">
        <f t="shared" si="397"/>
        <v>0.79921300652623883</v>
      </c>
      <c r="Z444" s="4">
        <f t="shared" si="397"/>
        <v>0.73204982249993378</v>
      </c>
      <c r="AA444" s="4">
        <f t="shared" si="397"/>
        <v>0.65145592958786691</v>
      </c>
      <c r="AB444" s="4">
        <f t="shared" si="397"/>
        <v>0.56032247880849573</v>
      </c>
      <c r="AC444" s="4">
        <f t="shared" si="397"/>
        <v>0.46411326873185343</v>
      </c>
      <c r="AD444" s="4">
        <f t="shared" si="397"/>
        <v>0.36979727595523937</v>
      </c>
      <c r="AE444" s="4">
        <f t="shared" si="397"/>
        <v>0.28393948637231203</v>
      </c>
      <c r="AF444" s="4">
        <f t="shared" si="397"/>
        <v>0.21097259161117732</v>
      </c>
      <c r="AG444" s="4">
        <f t="shared" si="397"/>
        <v>0.15253917653798199</v>
      </c>
      <c r="AH444" s="4">
        <f t="shared" si="397"/>
        <v>0.10795188737709993</v>
      </c>
      <c r="AI444" s="4">
        <f t="shared" si="397"/>
        <v>7.5176653938091809E-2</v>
      </c>
      <c r="AJ444" s="4">
        <f t="shared" si="397"/>
        <v>5.1742836177502194E-2</v>
      </c>
      <c r="AK444" s="4">
        <f t="shared" si="397"/>
        <v>3.5319190625345942E-2</v>
      </c>
      <c r="AL444" s="4">
        <f t="shared" si="397"/>
        <v>2.3969442072658165E-2</v>
      </c>
      <c r="AM444" s="4">
        <f t="shared" si="397"/>
        <v>1.6202243558389728E-2</v>
      </c>
      <c r="AN444" s="4">
        <f t="shared" si="397"/>
        <v>1.0922240564108399E-2</v>
      </c>
      <c r="AO444" s="4">
        <f t="shared" si="397"/>
        <v>7.3493212906090566E-3</v>
      </c>
      <c r="AP444" s="4">
        <f t="shared" si="397"/>
        <v>4.9390262185057265E-3</v>
      </c>
      <c r="AQ444" s="4">
        <f t="shared" si="397"/>
        <v>3.3164275492956197E-3</v>
      </c>
      <c r="AR444" s="4">
        <f t="shared" si="397"/>
        <v>2.2256362146679809E-3</v>
      </c>
    </row>
    <row r="445" spans="1:44" x14ac:dyDescent="0.25">
      <c r="A445" s="24" t="s">
        <v>52</v>
      </c>
      <c r="B445" s="43">
        <f>'Parameter Input'!$L$162</f>
        <v>650000</v>
      </c>
      <c r="C445" s="44">
        <f>'Parameter Input'!$M$162</f>
        <v>650000</v>
      </c>
      <c r="D445" s="1" t="s">
        <v>38</v>
      </c>
      <c r="L445" s="54">
        <f>'Parameter Input'!$O$162</f>
        <v>12</v>
      </c>
      <c r="M445" s="37">
        <v>0</v>
      </c>
      <c r="N445" s="37">
        <v>1</v>
      </c>
      <c r="O445" s="37">
        <f>'Parameter Input'!$P$162</f>
        <v>0.9</v>
      </c>
      <c r="P445" s="55">
        <f>'Parameter Input'!$Q$162</f>
        <v>0.4</v>
      </c>
      <c r="Q445" s="4">
        <f t="shared" si="397"/>
        <v>0.9867978615748374</v>
      </c>
      <c r="R445" s="4">
        <f t="shared" si="397"/>
        <v>0.98114509762858249</v>
      </c>
      <c r="S445" s="4">
        <f t="shared" si="397"/>
        <v>0.97311898315872036</v>
      </c>
      <c r="T445" s="4">
        <f t="shared" si="397"/>
        <v>0.96177484161592774</v>
      </c>
      <c r="U445" s="4">
        <f t="shared" si="397"/>
        <v>0.94584787155511363</v>
      </c>
      <c r="V445" s="4">
        <f t="shared" si="397"/>
        <v>0.92370360150141495</v>
      </c>
      <c r="W445" s="4">
        <f t="shared" si="397"/>
        <v>0.89334463567658451</v>
      </c>
      <c r="X445" s="4">
        <f t="shared" si="397"/>
        <v>0.85254543874327005</v>
      </c>
      <c r="Y445" s="4">
        <f t="shared" si="397"/>
        <v>0.79921300652623883</v>
      </c>
      <c r="Z445" s="4">
        <f t="shared" si="397"/>
        <v>0.73204982249993378</v>
      </c>
      <c r="AA445" s="4">
        <f t="shared" si="397"/>
        <v>0.65145592958786691</v>
      </c>
      <c r="AB445" s="4">
        <f t="shared" si="397"/>
        <v>0.56032247880849573</v>
      </c>
      <c r="AC445" s="4">
        <f t="shared" si="397"/>
        <v>0.46411326873185343</v>
      </c>
      <c r="AD445" s="4">
        <f t="shared" si="397"/>
        <v>0.36979727595523937</v>
      </c>
      <c r="AE445" s="4">
        <f t="shared" si="397"/>
        <v>0.28393948637231203</v>
      </c>
      <c r="AF445" s="4">
        <f t="shared" si="397"/>
        <v>0.21097259161117732</v>
      </c>
      <c r="AG445" s="4">
        <f t="shared" si="397"/>
        <v>0.15253917653798199</v>
      </c>
      <c r="AH445" s="4">
        <f t="shared" si="397"/>
        <v>0.10795188737709993</v>
      </c>
      <c r="AI445" s="4">
        <f t="shared" si="397"/>
        <v>7.5176653938091809E-2</v>
      </c>
      <c r="AJ445" s="4">
        <f t="shared" si="397"/>
        <v>5.1742836177502194E-2</v>
      </c>
      <c r="AK445" s="4">
        <f t="shared" si="397"/>
        <v>3.5319190625345942E-2</v>
      </c>
      <c r="AL445" s="4">
        <f t="shared" si="397"/>
        <v>2.3969442072658165E-2</v>
      </c>
      <c r="AM445" s="4">
        <f t="shared" si="397"/>
        <v>1.6202243558389728E-2</v>
      </c>
      <c r="AN445" s="4">
        <f t="shared" si="397"/>
        <v>1.0922240564108399E-2</v>
      </c>
      <c r="AO445" s="4">
        <f t="shared" si="397"/>
        <v>7.3493212906090566E-3</v>
      </c>
      <c r="AP445" s="4">
        <f t="shared" si="397"/>
        <v>4.9390262185057265E-3</v>
      </c>
      <c r="AQ445" s="4">
        <f t="shared" si="397"/>
        <v>3.3164275492956197E-3</v>
      </c>
      <c r="AR445" s="4">
        <f t="shared" si="397"/>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97"/>
        <v>0.9867978615748374</v>
      </c>
      <c r="R446" s="4">
        <f t="shared" si="397"/>
        <v>0.98114509762858249</v>
      </c>
      <c r="S446" s="4">
        <f t="shared" si="397"/>
        <v>0.97311898315872036</v>
      </c>
      <c r="T446" s="4">
        <f t="shared" si="397"/>
        <v>0.96177484161592774</v>
      </c>
      <c r="U446" s="4">
        <f t="shared" si="397"/>
        <v>0.94584787155511363</v>
      </c>
      <c r="V446" s="4">
        <f t="shared" si="397"/>
        <v>0.92370360150141495</v>
      </c>
      <c r="W446" s="4">
        <f t="shared" si="397"/>
        <v>0.89334463567658451</v>
      </c>
      <c r="X446" s="4">
        <f t="shared" si="397"/>
        <v>0.85254543874327005</v>
      </c>
      <c r="Y446" s="4">
        <f t="shared" si="397"/>
        <v>0.79921300652623883</v>
      </c>
      <c r="Z446" s="4">
        <f t="shared" si="397"/>
        <v>0.73204982249993378</v>
      </c>
      <c r="AA446" s="4">
        <f t="shared" si="397"/>
        <v>0.65145592958786691</v>
      </c>
      <c r="AB446" s="4">
        <f t="shared" si="397"/>
        <v>0.56032247880849573</v>
      </c>
      <c r="AC446" s="4">
        <f t="shared" si="397"/>
        <v>0.46411326873185343</v>
      </c>
      <c r="AD446" s="4">
        <f t="shared" si="397"/>
        <v>0.36979727595523937</v>
      </c>
      <c r="AE446" s="4">
        <f t="shared" si="397"/>
        <v>0.28393948637231203</v>
      </c>
      <c r="AF446" s="4">
        <f t="shared" si="397"/>
        <v>0.21097259161117732</v>
      </c>
      <c r="AG446" s="4">
        <f t="shared" si="397"/>
        <v>0.15253917653798199</v>
      </c>
      <c r="AH446" s="4">
        <f t="shared" si="397"/>
        <v>0.10795188737709993</v>
      </c>
      <c r="AI446" s="4">
        <f t="shared" si="397"/>
        <v>7.5176653938091809E-2</v>
      </c>
      <c r="AJ446" s="4">
        <f t="shared" si="397"/>
        <v>5.1742836177502194E-2</v>
      </c>
      <c r="AK446" s="4">
        <f t="shared" si="397"/>
        <v>3.5319190625345942E-2</v>
      </c>
      <c r="AL446" s="4">
        <f t="shared" si="397"/>
        <v>2.3969442072658165E-2</v>
      </c>
      <c r="AM446" s="4">
        <f t="shared" si="397"/>
        <v>1.6202243558389728E-2</v>
      </c>
      <c r="AN446" s="4">
        <f t="shared" si="397"/>
        <v>1.0922240564108399E-2</v>
      </c>
      <c r="AO446" s="4">
        <f t="shared" si="397"/>
        <v>7.3493212906090566E-3</v>
      </c>
      <c r="AP446" s="4">
        <f t="shared" si="397"/>
        <v>4.9390262185057265E-3</v>
      </c>
      <c r="AQ446" s="4">
        <f t="shared" si="397"/>
        <v>3.3164275492956197E-3</v>
      </c>
      <c r="AR446" s="4">
        <f t="shared" si="397"/>
        <v>2.2256362146679809E-3</v>
      </c>
    </row>
    <row r="447" spans="1:44" x14ac:dyDescent="0.25">
      <c r="A447" s="24" t="s">
        <v>59</v>
      </c>
      <c r="B447" s="47">
        <f>'Parameter Input'!$L$163</f>
        <v>31.614305882352937</v>
      </c>
      <c r="C447" s="48">
        <f>'Parameter Input'!$M$163</f>
        <v>31.614305882352937</v>
      </c>
      <c r="D447" s="1" t="s">
        <v>60</v>
      </c>
      <c r="L447" s="54">
        <f>'Parameter Input'!$O$163</f>
        <v>12</v>
      </c>
      <c r="M447" s="37">
        <v>0</v>
      </c>
      <c r="N447" s="37">
        <v>1</v>
      </c>
      <c r="O447" s="37">
        <f>'Parameter Input'!$P$163</f>
        <v>0.9</v>
      </c>
      <c r="P447" s="55">
        <f>'Parameter Input'!$Q$163</f>
        <v>0.4</v>
      </c>
      <c r="Q447" s="4">
        <f t="shared" si="397"/>
        <v>0.9867978615748374</v>
      </c>
      <c r="R447" s="4">
        <f t="shared" si="397"/>
        <v>0.98114509762858249</v>
      </c>
      <c r="S447" s="4">
        <f t="shared" si="397"/>
        <v>0.97311898315872036</v>
      </c>
      <c r="T447" s="4">
        <f t="shared" si="397"/>
        <v>0.96177484161592774</v>
      </c>
      <c r="U447" s="4">
        <f t="shared" si="397"/>
        <v>0.94584787155511363</v>
      </c>
      <c r="V447" s="4">
        <f t="shared" si="397"/>
        <v>0.92370360150141495</v>
      </c>
      <c r="W447" s="4">
        <f t="shared" si="397"/>
        <v>0.89334463567658451</v>
      </c>
      <c r="X447" s="4">
        <f t="shared" si="397"/>
        <v>0.85254543874327005</v>
      </c>
      <c r="Y447" s="4">
        <f t="shared" si="397"/>
        <v>0.79921300652623883</v>
      </c>
      <c r="Z447" s="4">
        <f t="shared" si="397"/>
        <v>0.73204982249993378</v>
      </c>
      <c r="AA447" s="4">
        <f t="shared" si="397"/>
        <v>0.65145592958786691</v>
      </c>
      <c r="AB447" s="4">
        <f t="shared" si="397"/>
        <v>0.56032247880849573</v>
      </c>
      <c r="AC447" s="4">
        <f t="shared" si="397"/>
        <v>0.46411326873185343</v>
      </c>
      <c r="AD447" s="4">
        <f t="shared" si="397"/>
        <v>0.36979727595523937</v>
      </c>
      <c r="AE447" s="4">
        <f t="shared" si="397"/>
        <v>0.28393948637231203</v>
      </c>
      <c r="AF447" s="4">
        <f t="shared" si="397"/>
        <v>0.21097259161117732</v>
      </c>
      <c r="AG447" s="4">
        <f t="shared" si="397"/>
        <v>0.15253917653798199</v>
      </c>
      <c r="AH447" s="4">
        <f t="shared" si="397"/>
        <v>0.10795188737709993</v>
      </c>
      <c r="AI447" s="4">
        <f t="shared" si="397"/>
        <v>7.5176653938091809E-2</v>
      </c>
      <c r="AJ447" s="4">
        <f t="shared" si="397"/>
        <v>5.1742836177502194E-2</v>
      </c>
      <c r="AK447" s="4">
        <f t="shared" si="397"/>
        <v>3.5319190625345942E-2</v>
      </c>
      <c r="AL447" s="4">
        <f t="shared" si="397"/>
        <v>2.3969442072658165E-2</v>
      </c>
      <c r="AM447" s="4">
        <f t="shared" si="397"/>
        <v>1.6202243558389728E-2</v>
      </c>
      <c r="AN447" s="4">
        <f t="shared" si="397"/>
        <v>1.0922240564108399E-2</v>
      </c>
      <c r="AO447" s="4">
        <f t="shared" si="397"/>
        <v>7.3493212906090566E-3</v>
      </c>
      <c r="AP447" s="4">
        <f t="shared" si="397"/>
        <v>4.9390262185057265E-3</v>
      </c>
      <c r="AQ447" s="4">
        <f t="shared" si="397"/>
        <v>3.3164275492956197E-3</v>
      </c>
      <c r="AR447" s="4">
        <f t="shared" si="397"/>
        <v>2.2256362146679809E-3</v>
      </c>
    </row>
    <row r="448" spans="1:44" x14ac:dyDescent="0.25">
      <c r="A448" s="24" t="s">
        <v>67</v>
      </c>
      <c r="B448" s="45">
        <f>'Parameter Input'!$L$164</f>
        <v>0.13371034051801745</v>
      </c>
      <c r="C448" s="46">
        <f>'Parameter Input'!$M$164</f>
        <v>8.7585019329602734E-2</v>
      </c>
      <c r="D448" s="1" t="s">
        <v>68</v>
      </c>
      <c r="L448" s="54">
        <f>'Parameter Input'!$O$164</f>
        <v>12</v>
      </c>
      <c r="M448" s="37">
        <v>0</v>
      </c>
      <c r="N448" s="37">
        <v>1</v>
      </c>
      <c r="O448" s="37">
        <f>'Parameter Input'!$P$164</f>
        <v>0.9</v>
      </c>
      <c r="P448" s="55">
        <f>'Parameter Input'!$Q$164</f>
        <v>0.4</v>
      </c>
      <c r="Q448" s="4">
        <f t="shared" si="397"/>
        <v>0.9867978615748374</v>
      </c>
      <c r="R448" s="4">
        <f t="shared" si="397"/>
        <v>0.98114509762858249</v>
      </c>
      <c r="S448" s="4">
        <f t="shared" si="397"/>
        <v>0.97311898315872036</v>
      </c>
      <c r="T448" s="4">
        <f t="shared" ref="T448:AI455" si="398">$N448+($M448-$N448)*((1/(1+EXP(-$P448*(T$9-$L448)))^$O448))</f>
        <v>0.96177484161592774</v>
      </c>
      <c r="U448" s="4">
        <f t="shared" si="398"/>
        <v>0.94584787155511363</v>
      </c>
      <c r="V448" s="4">
        <f t="shared" si="398"/>
        <v>0.92370360150141495</v>
      </c>
      <c r="W448" s="4">
        <f t="shared" si="398"/>
        <v>0.89334463567658451</v>
      </c>
      <c r="X448" s="4">
        <f t="shared" si="398"/>
        <v>0.85254543874327005</v>
      </c>
      <c r="Y448" s="4">
        <f t="shared" si="398"/>
        <v>0.79921300652623883</v>
      </c>
      <c r="Z448" s="4">
        <f t="shared" si="398"/>
        <v>0.73204982249993378</v>
      </c>
      <c r="AA448" s="4">
        <f t="shared" si="398"/>
        <v>0.65145592958786691</v>
      </c>
      <c r="AB448" s="4">
        <f t="shared" si="398"/>
        <v>0.56032247880849573</v>
      </c>
      <c r="AC448" s="4">
        <f t="shared" si="398"/>
        <v>0.46411326873185343</v>
      </c>
      <c r="AD448" s="4">
        <f t="shared" si="398"/>
        <v>0.36979727595523937</v>
      </c>
      <c r="AE448" s="4">
        <f t="shared" si="398"/>
        <v>0.28393948637231203</v>
      </c>
      <c r="AF448" s="4">
        <f t="shared" si="398"/>
        <v>0.21097259161117732</v>
      </c>
      <c r="AG448" s="4">
        <f t="shared" si="398"/>
        <v>0.15253917653798199</v>
      </c>
      <c r="AH448" s="4">
        <f t="shared" si="398"/>
        <v>0.10795188737709993</v>
      </c>
      <c r="AI448" s="4">
        <f t="shared" si="398"/>
        <v>7.5176653938091809E-2</v>
      </c>
      <c r="AJ448" s="4">
        <f t="shared" ref="AJ448:AR455" si="399">$N448+($M448-$N448)*((1/(1+EXP(-$P448*(AJ$9-$L448)))^$O448))</f>
        <v>5.1742836177502194E-2</v>
      </c>
      <c r="AK448" s="4">
        <f t="shared" si="399"/>
        <v>3.5319190625345942E-2</v>
      </c>
      <c r="AL448" s="4">
        <f t="shared" si="399"/>
        <v>2.3969442072658165E-2</v>
      </c>
      <c r="AM448" s="4">
        <f t="shared" si="399"/>
        <v>1.6202243558389728E-2</v>
      </c>
      <c r="AN448" s="4">
        <f t="shared" si="399"/>
        <v>1.0922240564108399E-2</v>
      </c>
      <c r="AO448" s="4">
        <f t="shared" si="399"/>
        <v>7.3493212906090566E-3</v>
      </c>
      <c r="AP448" s="4">
        <f t="shared" si="399"/>
        <v>4.9390262185057265E-3</v>
      </c>
      <c r="AQ448" s="4">
        <f t="shared" si="399"/>
        <v>3.3164275492956197E-3</v>
      </c>
      <c r="AR448" s="4">
        <f t="shared" si="399"/>
        <v>2.2256362146679809E-3</v>
      </c>
    </row>
    <row r="449" spans="1:44" x14ac:dyDescent="0.25">
      <c r="A449" s="24" t="s">
        <v>206</v>
      </c>
      <c r="B449" s="115">
        <f>'Parameter Input'!$L$167</f>
        <v>0</v>
      </c>
      <c r="C449" s="116">
        <f>'Parameter Input'!$M$167</f>
        <v>0</v>
      </c>
      <c r="D449" s="1" t="s">
        <v>76</v>
      </c>
      <c r="L449" s="54">
        <f>'Parameter Input'!$O$167</f>
        <v>17</v>
      </c>
      <c r="M449" s="37">
        <v>0</v>
      </c>
      <c r="N449" s="37">
        <v>1</v>
      </c>
      <c r="O449" s="37">
        <f>'Parameter Input'!$P$167</f>
        <v>0.9</v>
      </c>
      <c r="P449" s="55">
        <f>'Parameter Input'!$Q$167</f>
        <v>0.4</v>
      </c>
      <c r="Q449" s="4">
        <f t="shared" ref="Q449:AR449" si="400">$N449+($M449-$N449)*((1/(1+EXP(-$P449*(Q$9-$L449)))^$O449))</f>
        <v>0.99780374543478534</v>
      </c>
      <c r="R449" s="4">
        <f t="shared" si="400"/>
        <v>0.99685359315256394</v>
      </c>
      <c r="S449" s="4">
        <f t="shared" si="400"/>
        <v>0.99549347132349975</v>
      </c>
      <c r="T449" s="4">
        <f t="shared" si="400"/>
        <v>0.99354772139898062</v>
      </c>
      <c r="U449" s="4">
        <f t="shared" si="400"/>
        <v>0.99076681540580536</v>
      </c>
      <c r="V449" s="4">
        <f t="shared" si="400"/>
        <v>0.9867978615748374</v>
      </c>
      <c r="W449" s="4">
        <f t="shared" si="400"/>
        <v>0.98114509762858249</v>
      </c>
      <c r="X449" s="4">
        <f t="shared" si="400"/>
        <v>0.97311898315872036</v>
      </c>
      <c r="Y449" s="4">
        <f t="shared" si="400"/>
        <v>0.96177484161592774</v>
      </c>
      <c r="Z449" s="4">
        <f t="shared" si="400"/>
        <v>0.94584787155511363</v>
      </c>
      <c r="AA449" s="4">
        <f t="shared" si="400"/>
        <v>0.92370360150141495</v>
      </c>
      <c r="AB449" s="4">
        <f t="shared" si="400"/>
        <v>0.89334463567658451</v>
      </c>
      <c r="AC449" s="4">
        <f t="shared" si="400"/>
        <v>0.85254543874327005</v>
      </c>
      <c r="AD449" s="4">
        <f t="shared" si="400"/>
        <v>0.79921300652623883</v>
      </c>
      <c r="AE449" s="4">
        <f t="shared" si="400"/>
        <v>0.73204982249993378</v>
      </c>
      <c r="AF449" s="4">
        <f t="shared" si="400"/>
        <v>0.65145592958786691</v>
      </c>
      <c r="AG449" s="4">
        <f t="shared" si="400"/>
        <v>0.56032247880849573</v>
      </c>
      <c r="AH449" s="4">
        <f t="shared" si="400"/>
        <v>0.46411326873185343</v>
      </c>
      <c r="AI449" s="4">
        <f t="shared" si="400"/>
        <v>0.36979727595523937</v>
      </c>
      <c r="AJ449" s="4">
        <f t="shared" si="400"/>
        <v>0.28393948637231203</v>
      </c>
      <c r="AK449" s="4">
        <f t="shared" si="400"/>
        <v>0.21097259161117732</v>
      </c>
      <c r="AL449" s="4">
        <f t="shared" si="400"/>
        <v>0.15253917653798199</v>
      </c>
      <c r="AM449" s="4">
        <f t="shared" si="400"/>
        <v>0.10795188737709993</v>
      </c>
      <c r="AN449" s="4">
        <f t="shared" si="400"/>
        <v>7.5176653938091809E-2</v>
      </c>
      <c r="AO449" s="4">
        <f t="shared" si="400"/>
        <v>5.1742836177502194E-2</v>
      </c>
      <c r="AP449" s="4">
        <f t="shared" si="400"/>
        <v>3.5319190625345942E-2</v>
      </c>
      <c r="AQ449" s="4">
        <f t="shared" si="400"/>
        <v>2.3969442072658165E-2</v>
      </c>
      <c r="AR449" s="4">
        <f t="shared" si="400"/>
        <v>1.6202243558389728E-2</v>
      </c>
    </row>
    <row r="450" spans="1:44" x14ac:dyDescent="0.25">
      <c r="A450" s="24" t="s">
        <v>41</v>
      </c>
      <c r="B450" s="43">
        <f>'Parameter Input'!$L$161</f>
        <v>20</v>
      </c>
      <c r="C450" s="44">
        <f>'Parameter Input'!$M$161</f>
        <v>20</v>
      </c>
      <c r="D450" s="1" t="s">
        <v>42</v>
      </c>
      <c r="L450" s="54">
        <f>'Parameter Input'!$O$161</f>
        <v>12</v>
      </c>
      <c r="M450" s="37">
        <v>0</v>
      </c>
      <c r="N450" s="37">
        <v>1</v>
      </c>
      <c r="O450" s="37">
        <f>'Parameter Input'!$P$161</f>
        <v>0.9</v>
      </c>
      <c r="P450" s="55">
        <f>'Parameter Input'!$Q$161</f>
        <v>0.4</v>
      </c>
      <c r="Q450" s="4">
        <f t="shared" ref="Q450:AF455" si="401">$N450+($M450-$N450)*((1/(1+EXP(-$P450*(Q$9-$L450)))^$O450))</f>
        <v>0.9867978615748374</v>
      </c>
      <c r="R450" s="4">
        <f t="shared" si="401"/>
        <v>0.98114509762858249</v>
      </c>
      <c r="S450" s="4">
        <f t="shared" si="401"/>
        <v>0.97311898315872036</v>
      </c>
      <c r="T450" s="4">
        <f t="shared" si="401"/>
        <v>0.96177484161592774</v>
      </c>
      <c r="U450" s="4">
        <f t="shared" si="401"/>
        <v>0.94584787155511363</v>
      </c>
      <c r="V450" s="4">
        <f t="shared" si="401"/>
        <v>0.92370360150141495</v>
      </c>
      <c r="W450" s="4">
        <f t="shared" si="401"/>
        <v>0.89334463567658451</v>
      </c>
      <c r="X450" s="4">
        <f t="shared" si="401"/>
        <v>0.85254543874327005</v>
      </c>
      <c r="Y450" s="4">
        <f t="shared" si="401"/>
        <v>0.79921300652623883</v>
      </c>
      <c r="Z450" s="4">
        <f t="shared" si="401"/>
        <v>0.73204982249993378</v>
      </c>
      <c r="AA450" s="4">
        <f t="shared" si="401"/>
        <v>0.65145592958786691</v>
      </c>
      <c r="AB450" s="4">
        <f t="shared" si="401"/>
        <v>0.56032247880849573</v>
      </c>
      <c r="AC450" s="4">
        <f t="shared" si="401"/>
        <v>0.46411326873185343</v>
      </c>
      <c r="AD450" s="4">
        <f t="shared" si="401"/>
        <v>0.36979727595523937</v>
      </c>
      <c r="AE450" s="4">
        <f t="shared" si="401"/>
        <v>0.28393948637231203</v>
      </c>
      <c r="AF450" s="4">
        <f t="shared" si="401"/>
        <v>0.21097259161117732</v>
      </c>
      <c r="AG450" s="4">
        <f t="shared" si="398"/>
        <v>0.15253917653798199</v>
      </c>
      <c r="AH450" s="4">
        <f t="shared" si="398"/>
        <v>0.10795188737709993</v>
      </c>
      <c r="AI450" s="4">
        <f t="shared" si="398"/>
        <v>7.5176653938091809E-2</v>
      </c>
      <c r="AJ450" s="4">
        <f t="shared" si="399"/>
        <v>5.1742836177502194E-2</v>
      </c>
      <c r="AK450" s="4">
        <f t="shared" si="399"/>
        <v>3.5319190625345942E-2</v>
      </c>
      <c r="AL450" s="4">
        <f t="shared" si="399"/>
        <v>2.3969442072658165E-2</v>
      </c>
      <c r="AM450" s="4">
        <f t="shared" si="399"/>
        <v>1.6202243558389728E-2</v>
      </c>
      <c r="AN450" s="4">
        <f t="shared" si="399"/>
        <v>1.0922240564108399E-2</v>
      </c>
      <c r="AO450" s="4">
        <f t="shared" si="399"/>
        <v>7.3493212906090566E-3</v>
      </c>
      <c r="AP450" s="4">
        <f t="shared" si="399"/>
        <v>4.9390262185057265E-3</v>
      </c>
      <c r="AQ450" s="4">
        <f t="shared" si="399"/>
        <v>3.3164275492956197E-3</v>
      </c>
      <c r="AR450" s="4">
        <f t="shared" si="399"/>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401"/>
        <v>0.9867978615748374</v>
      </c>
      <c r="R451" s="4">
        <f t="shared" si="401"/>
        <v>0.98114509762858249</v>
      </c>
      <c r="S451" s="4">
        <f t="shared" si="401"/>
        <v>0.97311898315872036</v>
      </c>
      <c r="T451" s="4">
        <f t="shared" si="401"/>
        <v>0.96177484161592774</v>
      </c>
      <c r="U451" s="4">
        <f t="shared" si="401"/>
        <v>0.94584787155511363</v>
      </c>
      <c r="V451" s="4">
        <f t="shared" si="401"/>
        <v>0.92370360150141495</v>
      </c>
      <c r="W451" s="4">
        <f t="shared" si="401"/>
        <v>0.89334463567658451</v>
      </c>
      <c r="X451" s="4">
        <f t="shared" si="401"/>
        <v>0.85254543874327005</v>
      </c>
      <c r="Y451" s="4">
        <f t="shared" si="401"/>
        <v>0.79921300652623883</v>
      </c>
      <c r="Z451" s="4">
        <f t="shared" si="401"/>
        <v>0.73204982249993378</v>
      </c>
      <c r="AA451" s="4">
        <f t="shared" si="401"/>
        <v>0.65145592958786691</v>
      </c>
      <c r="AB451" s="4">
        <f t="shared" si="401"/>
        <v>0.56032247880849573</v>
      </c>
      <c r="AC451" s="4">
        <f t="shared" si="401"/>
        <v>0.46411326873185343</v>
      </c>
      <c r="AD451" s="4">
        <f t="shared" si="401"/>
        <v>0.36979727595523937</v>
      </c>
      <c r="AE451" s="4">
        <f t="shared" si="401"/>
        <v>0.28393948637231203</v>
      </c>
      <c r="AF451" s="4">
        <f t="shared" si="401"/>
        <v>0.21097259161117732</v>
      </c>
      <c r="AG451" s="4">
        <f t="shared" si="398"/>
        <v>0.15253917653798199</v>
      </c>
      <c r="AH451" s="4">
        <f t="shared" si="398"/>
        <v>0.10795188737709993</v>
      </c>
      <c r="AI451" s="4">
        <f t="shared" si="398"/>
        <v>7.5176653938091809E-2</v>
      </c>
      <c r="AJ451" s="4">
        <f t="shared" si="399"/>
        <v>5.1742836177502194E-2</v>
      </c>
      <c r="AK451" s="4">
        <f t="shared" si="399"/>
        <v>3.5319190625345942E-2</v>
      </c>
      <c r="AL451" s="4">
        <f t="shared" si="399"/>
        <v>2.3969442072658165E-2</v>
      </c>
      <c r="AM451" s="4">
        <f t="shared" si="399"/>
        <v>1.6202243558389728E-2</v>
      </c>
      <c r="AN451" s="4">
        <f t="shared" si="399"/>
        <v>1.0922240564108399E-2</v>
      </c>
      <c r="AO451" s="4">
        <f t="shared" si="399"/>
        <v>7.3493212906090566E-3</v>
      </c>
      <c r="AP451" s="4">
        <f t="shared" si="399"/>
        <v>4.9390262185057265E-3</v>
      </c>
      <c r="AQ451" s="4">
        <f t="shared" si="399"/>
        <v>3.3164275492956197E-3</v>
      </c>
      <c r="AR451" s="4">
        <f t="shared" si="399"/>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401"/>
        <v>0.9867978615748374</v>
      </c>
      <c r="R452" s="4">
        <f t="shared" si="401"/>
        <v>0.98114509762858249</v>
      </c>
      <c r="S452" s="4">
        <f t="shared" si="401"/>
        <v>0.97311898315872036</v>
      </c>
      <c r="T452" s="4">
        <f t="shared" si="401"/>
        <v>0.96177484161592774</v>
      </c>
      <c r="U452" s="4">
        <f t="shared" si="401"/>
        <v>0.94584787155511363</v>
      </c>
      <c r="V452" s="4">
        <f t="shared" si="401"/>
        <v>0.92370360150141495</v>
      </c>
      <c r="W452" s="4">
        <f t="shared" si="401"/>
        <v>0.89334463567658451</v>
      </c>
      <c r="X452" s="4">
        <f t="shared" si="401"/>
        <v>0.85254543874327005</v>
      </c>
      <c r="Y452" s="4">
        <f t="shared" si="401"/>
        <v>0.79921300652623883</v>
      </c>
      <c r="Z452" s="4">
        <f t="shared" si="401"/>
        <v>0.73204982249993378</v>
      </c>
      <c r="AA452" s="4">
        <f t="shared" si="401"/>
        <v>0.65145592958786691</v>
      </c>
      <c r="AB452" s="4">
        <f t="shared" si="401"/>
        <v>0.56032247880849573</v>
      </c>
      <c r="AC452" s="4">
        <f t="shared" si="401"/>
        <v>0.46411326873185343</v>
      </c>
      <c r="AD452" s="4">
        <f t="shared" si="401"/>
        <v>0.36979727595523937</v>
      </c>
      <c r="AE452" s="4">
        <f t="shared" si="401"/>
        <v>0.28393948637231203</v>
      </c>
      <c r="AF452" s="4">
        <f t="shared" si="401"/>
        <v>0.21097259161117732</v>
      </c>
      <c r="AG452" s="4">
        <f t="shared" si="398"/>
        <v>0.15253917653798199</v>
      </c>
      <c r="AH452" s="4">
        <f t="shared" si="398"/>
        <v>0.10795188737709993</v>
      </c>
      <c r="AI452" s="4">
        <f t="shared" si="398"/>
        <v>7.5176653938091809E-2</v>
      </c>
      <c r="AJ452" s="4">
        <f t="shared" si="399"/>
        <v>5.1742836177502194E-2</v>
      </c>
      <c r="AK452" s="4">
        <f t="shared" si="399"/>
        <v>3.5319190625345942E-2</v>
      </c>
      <c r="AL452" s="4">
        <f t="shared" si="399"/>
        <v>2.3969442072658165E-2</v>
      </c>
      <c r="AM452" s="4">
        <f t="shared" si="399"/>
        <v>1.6202243558389728E-2</v>
      </c>
      <c r="AN452" s="4">
        <f t="shared" si="399"/>
        <v>1.0922240564108399E-2</v>
      </c>
      <c r="AO452" s="4">
        <f t="shared" si="399"/>
        <v>7.3493212906090566E-3</v>
      </c>
      <c r="AP452" s="4">
        <f t="shared" si="399"/>
        <v>4.9390262185057265E-3</v>
      </c>
      <c r="AQ452" s="4">
        <f t="shared" si="399"/>
        <v>3.3164275492956197E-3</v>
      </c>
      <c r="AR452" s="4">
        <f t="shared" si="399"/>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401"/>
        <v>0.9867978615748374</v>
      </c>
      <c r="R453" s="4">
        <f t="shared" si="401"/>
        <v>0.98114509762858249</v>
      </c>
      <c r="S453" s="4">
        <f t="shared" si="401"/>
        <v>0.97311898315872036</v>
      </c>
      <c r="T453" s="4">
        <f t="shared" si="401"/>
        <v>0.96177484161592774</v>
      </c>
      <c r="U453" s="4">
        <f t="shared" si="401"/>
        <v>0.94584787155511363</v>
      </c>
      <c r="V453" s="4">
        <f t="shared" si="401"/>
        <v>0.92370360150141495</v>
      </c>
      <c r="W453" s="4">
        <f t="shared" si="401"/>
        <v>0.89334463567658451</v>
      </c>
      <c r="X453" s="4">
        <f t="shared" si="401"/>
        <v>0.85254543874327005</v>
      </c>
      <c r="Y453" s="4">
        <f t="shared" si="401"/>
        <v>0.79921300652623883</v>
      </c>
      <c r="Z453" s="4">
        <f t="shared" si="401"/>
        <v>0.73204982249993378</v>
      </c>
      <c r="AA453" s="4">
        <f t="shared" si="401"/>
        <v>0.65145592958786691</v>
      </c>
      <c r="AB453" s="4">
        <f t="shared" si="401"/>
        <v>0.56032247880849573</v>
      </c>
      <c r="AC453" s="4">
        <f t="shared" si="401"/>
        <v>0.46411326873185343</v>
      </c>
      <c r="AD453" s="4">
        <f t="shared" si="401"/>
        <v>0.36979727595523937</v>
      </c>
      <c r="AE453" s="4">
        <f t="shared" si="401"/>
        <v>0.28393948637231203</v>
      </c>
      <c r="AF453" s="4">
        <f t="shared" si="401"/>
        <v>0.21097259161117732</v>
      </c>
      <c r="AG453" s="4">
        <f t="shared" si="398"/>
        <v>0.15253917653798199</v>
      </c>
      <c r="AH453" s="4">
        <f t="shared" si="398"/>
        <v>0.10795188737709993</v>
      </c>
      <c r="AI453" s="4">
        <f t="shared" si="398"/>
        <v>7.5176653938091809E-2</v>
      </c>
      <c r="AJ453" s="4">
        <f t="shared" si="399"/>
        <v>5.1742836177502194E-2</v>
      </c>
      <c r="AK453" s="4">
        <f t="shared" si="399"/>
        <v>3.5319190625345942E-2</v>
      </c>
      <c r="AL453" s="4">
        <f t="shared" si="399"/>
        <v>2.3969442072658165E-2</v>
      </c>
      <c r="AM453" s="4">
        <f t="shared" si="399"/>
        <v>1.6202243558389728E-2</v>
      </c>
      <c r="AN453" s="4">
        <f t="shared" si="399"/>
        <v>1.0922240564108399E-2</v>
      </c>
      <c r="AO453" s="4">
        <f t="shared" si="399"/>
        <v>7.3493212906090566E-3</v>
      </c>
      <c r="AP453" s="4">
        <f t="shared" si="399"/>
        <v>4.9390262185057265E-3</v>
      </c>
      <c r="AQ453" s="4">
        <f t="shared" si="399"/>
        <v>3.3164275492956197E-3</v>
      </c>
      <c r="AR453" s="4">
        <f t="shared" si="399"/>
        <v>2.2256362146679809E-3</v>
      </c>
    </row>
    <row r="454" spans="1:44" x14ac:dyDescent="0.25">
      <c r="A454" s="24" t="s">
        <v>73</v>
      </c>
      <c r="B454" s="72">
        <f>'Parameter Input'!$L$165</f>
        <v>0</v>
      </c>
      <c r="C454" s="73">
        <f>'Parameter Input'!$M$165</f>
        <v>0</v>
      </c>
      <c r="D454" s="1" t="s">
        <v>57</v>
      </c>
      <c r="L454" s="54">
        <f>'Parameter Input'!$O$165</f>
        <v>12</v>
      </c>
      <c r="M454" s="37">
        <v>0</v>
      </c>
      <c r="N454" s="37">
        <v>1</v>
      </c>
      <c r="O454" s="37">
        <f>'Parameter Input'!$P$165</f>
        <v>0.9</v>
      </c>
      <c r="P454" s="55">
        <f>'Parameter Input'!$Q$165</f>
        <v>0.4</v>
      </c>
      <c r="Q454" s="4">
        <f t="shared" si="401"/>
        <v>0.9867978615748374</v>
      </c>
      <c r="R454" s="4">
        <f t="shared" si="401"/>
        <v>0.98114509762858249</v>
      </c>
      <c r="S454" s="4">
        <f t="shared" si="401"/>
        <v>0.97311898315872036</v>
      </c>
      <c r="T454" s="4">
        <f t="shared" si="401"/>
        <v>0.96177484161592774</v>
      </c>
      <c r="U454" s="4">
        <f t="shared" si="401"/>
        <v>0.94584787155511363</v>
      </c>
      <c r="V454" s="4">
        <f t="shared" si="401"/>
        <v>0.92370360150141495</v>
      </c>
      <c r="W454" s="4">
        <f t="shared" si="401"/>
        <v>0.89334463567658451</v>
      </c>
      <c r="X454" s="4">
        <f t="shared" si="401"/>
        <v>0.85254543874327005</v>
      </c>
      <c r="Y454" s="4">
        <f t="shared" si="401"/>
        <v>0.79921300652623883</v>
      </c>
      <c r="Z454" s="4">
        <f t="shared" si="401"/>
        <v>0.73204982249993378</v>
      </c>
      <c r="AA454" s="4">
        <f t="shared" si="401"/>
        <v>0.65145592958786691</v>
      </c>
      <c r="AB454" s="4">
        <f t="shared" si="401"/>
        <v>0.56032247880849573</v>
      </c>
      <c r="AC454" s="4">
        <f t="shared" si="401"/>
        <v>0.46411326873185343</v>
      </c>
      <c r="AD454" s="4">
        <f t="shared" si="401"/>
        <v>0.36979727595523937</v>
      </c>
      <c r="AE454" s="4">
        <f t="shared" si="401"/>
        <v>0.28393948637231203</v>
      </c>
      <c r="AF454" s="4">
        <f t="shared" si="401"/>
        <v>0.21097259161117732</v>
      </c>
      <c r="AG454" s="4">
        <f t="shared" si="398"/>
        <v>0.15253917653798199</v>
      </c>
      <c r="AH454" s="4">
        <f t="shared" si="398"/>
        <v>0.10795188737709993</v>
      </c>
      <c r="AI454" s="4">
        <f t="shared" si="398"/>
        <v>7.5176653938091809E-2</v>
      </c>
      <c r="AJ454" s="4">
        <f t="shared" si="399"/>
        <v>5.1742836177502194E-2</v>
      </c>
      <c r="AK454" s="4">
        <f t="shared" si="399"/>
        <v>3.5319190625345942E-2</v>
      </c>
      <c r="AL454" s="4">
        <f t="shared" si="399"/>
        <v>2.3969442072658165E-2</v>
      </c>
      <c r="AM454" s="4">
        <f t="shared" si="399"/>
        <v>1.6202243558389728E-2</v>
      </c>
      <c r="AN454" s="4">
        <f t="shared" si="399"/>
        <v>1.0922240564108399E-2</v>
      </c>
      <c r="AO454" s="4">
        <f t="shared" si="399"/>
        <v>7.3493212906090566E-3</v>
      </c>
      <c r="AP454" s="4">
        <f t="shared" si="399"/>
        <v>4.9390262185057265E-3</v>
      </c>
      <c r="AQ454" s="4">
        <f t="shared" si="399"/>
        <v>3.3164275492956197E-3</v>
      </c>
      <c r="AR454" s="4">
        <f t="shared" si="399"/>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401"/>
        <v>0.9867978615748374</v>
      </c>
      <c r="R455" s="4">
        <f t="shared" si="401"/>
        <v>0.98114509762858249</v>
      </c>
      <c r="S455" s="4">
        <f t="shared" si="401"/>
        <v>0.97311898315872036</v>
      </c>
      <c r="T455" s="4">
        <f t="shared" si="401"/>
        <v>0.96177484161592774</v>
      </c>
      <c r="U455" s="4">
        <f t="shared" si="401"/>
        <v>0.94584787155511363</v>
      </c>
      <c r="V455" s="4">
        <f t="shared" si="401"/>
        <v>0.92370360150141495</v>
      </c>
      <c r="W455" s="4">
        <f t="shared" si="401"/>
        <v>0.89334463567658451</v>
      </c>
      <c r="X455" s="4">
        <f t="shared" si="401"/>
        <v>0.85254543874327005</v>
      </c>
      <c r="Y455" s="4">
        <f t="shared" si="401"/>
        <v>0.79921300652623883</v>
      </c>
      <c r="Z455" s="4">
        <f t="shared" si="401"/>
        <v>0.73204982249993378</v>
      </c>
      <c r="AA455" s="4">
        <f t="shared" si="401"/>
        <v>0.65145592958786691</v>
      </c>
      <c r="AB455" s="4">
        <f t="shared" si="401"/>
        <v>0.56032247880849573</v>
      </c>
      <c r="AC455" s="4">
        <f t="shared" si="401"/>
        <v>0.46411326873185343</v>
      </c>
      <c r="AD455" s="4">
        <f t="shared" si="401"/>
        <v>0.36979727595523937</v>
      </c>
      <c r="AE455" s="4">
        <f t="shared" si="401"/>
        <v>0.28393948637231203</v>
      </c>
      <c r="AF455" s="4">
        <f t="shared" si="401"/>
        <v>0.21097259161117732</v>
      </c>
      <c r="AG455" s="4">
        <f t="shared" si="398"/>
        <v>0.15253917653798199</v>
      </c>
      <c r="AH455" s="4">
        <f t="shared" si="398"/>
        <v>0.10795188737709993</v>
      </c>
      <c r="AI455" s="4">
        <f t="shared" si="398"/>
        <v>7.5176653938091809E-2</v>
      </c>
      <c r="AJ455" s="4">
        <f t="shared" si="399"/>
        <v>5.1742836177502194E-2</v>
      </c>
      <c r="AK455" s="4">
        <f t="shared" si="399"/>
        <v>3.5319190625345942E-2</v>
      </c>
      <c r="AL455" s="4">
        <f t="shared" si="399"/>
        <v>2.3969442072658165E-2</v>
      </c>
      <c r="AM455" s="4">
        <f t="shared" si="399"/>
        <v>1.6202243558389728E-2</v>
      </c>
      <c r="AN455" s="4">
        <f t="shared" si="399"/>
        <v>1.0922240564108399E-2</v>
      </c>
      <c r="AO455" s="4">
        <f t="shared" si="399"/>
        <v>7.3493212906090566E-3</v>
      </c>
      <c r="AP455" s="4">
        <f t="shared" si="399"/>
        <v>4.9390262185057265E-3</v>
      </c>
      <c r="AQ455" s="4">
        <f t="shared" si="399"/>
        <v>3.3164275492956197E-3</v>
      </c>
      <c r="AR455" s="4">
        <f t="shared" si="39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2">A439</f>
        <v>Capex vehicle</v>
      </c>
      <c r="B459" s="62">
        <f t="shared" ref="B459:B467" si="403">$B439+($C439-$B439)*(1-Q439)</f>
        <v>5000000</v>
      </c>
      <c r="C459" s="62">
        <f t="shared" ref="C459:C467" si="404">$B439+($C439-$B439)*(1-R439)</f>
        <v>5000000</v>
      </c>
      <c r="D459" s="62">
        <f t="shared" ref="D459:D467" si="405">$B439+($C439-$B439)*(1-S439)</f>
        <v>5000000</v>
      </c>
      <c r="E459" s="62">
        <f t="shared" ref="E459:E467" si="406">$B439+($C439-$B439)*(1-T439)</f>
        <v>5000000</v>
      </c>
      <c r="F459" s="62">
        <f t="shared" ref="F459:F467" si="407">$B439+($C439-$B439)*(1-U439)</f>
        <v>5000000</v>
      </c>
      <c r="G459" s="62">
        <f t="shared" ref="G459:G467" si="408">$B439+($C439-$B439)*(1-V439)</f>
        <v>5000000</v>
      </c>
      <c r="H459" s="62">
        <f t="shared" ref="H459:H467" si="409">$B439+($C439-$B439)*(1-W439)</f>
        <v>5000000</v>
      </c>
      <c r="I459" s="62">
        <f t="shared" ref="I459:I467" si="410">$B439+($C439-$B439)*(1-X439)</f>
        <v>5000000</v>
      </c>
      <c r="J459" s="62">
        <f t="shared" ref="J459:J467" si="411">$B439+($C439-$B439)*(1-Y439)</f>
        <v>5000000</v>
      </c>
      <c r="K459" s="62">
        <f t="shared" ref="K459:K467" si="412">$B439+($C439-$B439)*(1-Z439)</f>
        <v>5000000</v>
      </c>
      <c r="L459" s="62">
        <f t="shared" ref="L459:L467" si="413">$B439+($C439-$B439)*(1-AA439)</f>
        <v>5000000</v>
      </c>
      <c r="M459" s="62">
        <f t="shared" ref="M459:M467" si="414">$B439+($C439-$B439)*(1-AB439)</f>
        <v>5000000</v>
      </c>
      <c r="N459" s="62">
        <f t="shared" ref="N459:N467" si="415">$B439+($C439-$B439)*(1-AC439)</f>
        <v>5000000</v>
      </c>
      <c r="O459" s="62">
        <f t="shared" ref="O459:O467" si="416">$B439+($C439-$B439)*(1-AD439)</f>
        <v>5000000</v>
      </c>
      <c r="P459" s="62">
        <f t="shared" ref="P459:P467" si="417">$B439+($C439-$B439)*(1-AE439)</f>
        <v>5000000</v>
      </c>
      <c r="Q459" s="62">
        <f t="shared" ref="Q459:Q467" si="418">$B439+($C439-$B439)*(1-AF439)</f>
        <v>5000000</v>
      </c>
      <c r="R459" s="62">
        <f t="shared" ref="R459:R467" si="419">$B439+($C439-$B439)*(1-AG439)</f>
        <v>5000000</v>
      </c>
      <c r="S459" s="62">
        <f t="shared" ref="S459:S467" si="420">$B439+($C439-$B439)*(1-AH439)</f>
        <v>5000000</v>
      </c>
      <c r="T459" s="62">
        <f t="shared" ref="T459:T467" si="421">$B439+($C439-$B439)*(1-AI439)</f>
        <v>5000000</v>
      </c>
      <c r="U459" s="62">
        <f t="shared" ref="U459:U467" si="422">$B439+($C439-$B439)*(1-AJ439)</f>
        <v>5000000</v>
      </c>
      <c r="V459" s="62">
        <f t="shared" ref="V459:V467" si="423">$B439+($C439-$B439)*(1-AK439)</f>
        <v>5000000</v>
      </c>
      <c r="W459" s="62">
        <f t="shared" ref="W459:W467" si="424">$B439+($C439-$B439)*(1-AL439)</f>
        <v>5000000</v>
      </c>
      <c r="X459" s="62">
        <f t="shared" ref="X459:X467" si="425">$B439+($C439-$B439)*(1-AM439)</f>
        <v>5000000</v>
      </c>
      <c r="Y459" s="62">
        <f t="shared" ref="Y459:Y467" si="426">$B439+($C439-$B439)*(1-AN439)</f>
        <v>5000000</v>
      </c>
      <c r="Z459" s="62">
        <f t="shared" ref="Z459:Z467" si="427">$B439+($C439-$B439)*(1-AO439)</f>
        <v>5000000</v>
      </c>
      <c r="AA459" s="62">
        <f t="shared" ref="AA459:AA467" si="428">$B439+($C439-$B439)*(1-AP439)</f>
        <v>5000000</v>
      </c>
      <c r="AB459" s="62">
        <f t="shared" ref="AB459:AB467" si="429">$B439+($C439-$B439)*(1-AQ439)</f>
        <v>5000000</v>
      </c>
      <c r="AC459" s="62">
        <f t="shared" ref="AC459:AC467" si="430">$B439+($C439-$B439)*(1-AR439)</f>
        <v>5000000</v>
      </c>
    </row>
    <row r="460" spans="1:44" x14ac:dyDescent="0.25">
      <c r="A460" s="30" t="str">
        <f t="shared" si="402"/>
        <v>Residual value (vehicle)</v>
      </c>
      <c r="B460" s="62">
        <f t="shared" si="403"/>
        <v>-750000</v>
      </c>
      <c r="C460" s="62">
        <f t="shared" si="404"/>
        <v>-750000</v>
      </c>
      <c r="D460" s="62">
        <f t="shared" si="405"/>
        <v>-750000</v>
      </c>
      <c r="E460" s="62">
        <f t="shared" si="406"/>
        <v>-750000</v>
      </c>
      <c r="F460" s="62">
        <f t="shared" si="407"/>
        <v>-750000</v>
      </c>
      <c r="G460" s="62">
        <f t="shared" si="408"/>
        <v>-750000</v>
      </c>
      <c r="H460" s="62">
        <f t="shared" si="409"/>
        <v>-750000</v>
      </c>
      <c r="I460" s="62">
        <f t="shared" si="410"/>
        <v>-750000</v>
      </c>
      <c r="J460" s="62">
        <f t="shared" si="411"/>
        <v>-750000</v>
      </c>
      <c r="K460" s="62">
        <f t="shared" si="412"/>
        <v>-750000</v>
      </c>
      <c r="L460" s="62">
        <f t="shared" si="413"/>
        <v>-750000</v>
      </c>
      <c r="M460" s="62">
        <f t="shared" si="414"/>
        <v>-750000</v>
      </c>
      <c r="N460" s="62">
        <f t="shared" si="415"/>
        <v>-750000</v>
      </c>
      <c r="O460" s="62">
        <f t="shared" si="416"/>
        <v>-750000</v>
      </c>
      <c r="P460" s="62">
        <f t="shared" si="417"/>
        <v>-750000</v>
      </c>
      <c r="Q460" s="62">
        <f t="shared" si="418"/>
        <v>-750000</v>
      </c>
      <c r="R460" s="62">
        <f t="shared" si="419"/>
        <v>-750000</v>
      </c>
      <c r="S460" s="62">
        <f t="shared" si="420"/>
        <v>-750000</v>
      </c>
      <c r="T460" s="62">
        <f t="shared" si="421"/>
        <v>-750000</v>
      </c>
      <c r="U460" s="62">
        <f t="shared" si="422"/>
        <v>-750000</v>
      </c>
      <c r="V460" s="62">
        <f t="shared" si="423"/>
        <v>-750000</v>
      </c>
      <c r="W460" s="62">
        <f t="shared" si="424"/>
        <v>-750000</v>
      </c>
      <c r="X460" s="62">
        <f t="shared" si="425"/>
        <v>-750000</v>
      </c>
      <c r="Y460" s="62">
        <f t="shared" si="426"/>
        <v>-750000</v>
      </c>
      <c r="Z460" s="62">
        <f t="shared" si="427"/>
        <v>-750000</v>
      </c>
      <c r="AA460" s="62">
        <f t="shared" si="428"/>
        <v>-750000</v>
      </c>
      <c r="AB460" s="62">
        <f t="shared" si="429"/>
        <v>-750000</v>
      </c>
      <c r="AC460" s="62">
        <f t="shared" si="430"/>
        <v>-750000</v>
      </c>
    </row>
    <row r="461" spans="1:44" x14ac:dyDescent="0.25">
      <c r="A461" s="30" t="str">
        <f t="shared" si="402"/>
        <v>Capex costumization</v>
      </c>
      <c r="B461" s="62">
        <f t="shared" si="403"/>
        <v>3500000</v>
      </c>
      <c r="C461" s="62">
        <f t="shared" si="404"/>
        <v>3500000</v>
      </c>
      <c r="D461" s="62">
        <f t="shared" si="405"/>
        <v>3500000</v>
      </c>
      <c r="E461" s="62">
        <f t="shared" si="406"/>
        <v>3500000</v>
      </c>
      <c r="F461" s="62">
        <f t="shared" si="407"/>
        <v>3500000</v>
      </c>
      <c r="G461" s="62">
        <f t="shared" si="408"/>
        <v>3500000</v>
      </c>
      <c r="H461" s="62">
        <f t="shared" si="409"/>
        <v>3500000</v>
      </c>
      <c r="I461" s="62">
        <f t="shared" si="410"/>
        <v>3500000</v>
      </c>
      <c r="J461" s="62">
        <f t="shared" si="411"/>
        <v>3500000</v>
      </c>
      <c r="K461" s="62">
        <f t="shared" si="412"/>
        <v>3500000</v>
      </c>
      <c r="L461" s="62">
        <f t="shared" si="413"/>
        <v>3500000</v>
      </c>
      <c r="M461" s="62">
        <f t="shared" si="414"/>
        <v>3500000</v>
      </c>
      <c r="N461" s="62">
        <f t="shared" si="415"/>
        <v>3500000</v>
      </c>
      <c r="O461" s="62">
        <f t="shared" si="416"/>
        <v>3500000</v>
      </c>
      <c r="P461" s="62">
        <f t="shared" si="417"/>
        <v>3500000</v>
      </c>
      <c r="Q461" s="62">
        <f t="shared" si="418"/>
        <v>3500000</v>
      </c>
      <c r="R461" s="62">
        <f t="shared" si="419"/>
        <v>3500000</v>
      </c>
      <c r="S461" s="62">
        <f t="shared" si="420"/>
        <v>3500000</v>
      </c>
      <c r="T461" s="62">
        <f t="shared" si="421"/>
        <v>3500000</v>
      </c>
      <c r="U461" s="62">
        <f t="shared" si="422"/>
        <v>3500000</v>
      </c>
      <c r="V461" s="62">
        <f t="shared" si="423"/>
        <v>3500000</v>
      </c>
      <c r="W461" s="62">
        <f t="shared" si="424"/>
        <v>3500000</v>
      </c>
      <c r="X461" s="62">
        <f t="shared" si="425"/>
        <v>3500000</v>
      </c>
      <c r="Y461" s="62">
        <f t="shared" si="426"/>
        <v>3500000</v>
      </c>
      <c r="Z461" s="62">
        <f t="shared" si="427"/>
        <v>3500000</v>
      </c>
      <c r="AA461" s="62">
        <f t="shared" si="428"/>
        <v>3500000</v>
      </c>
      <c r="AB461" s="62">
        <f t="shared" si="429"/>
        <v>3500000</v>
      </c>
      <c r="AC461" s="62">
        <f t="shared" si="430"/>
        <v>3500000</v>
      </c>
    </row>
    <row r="462" spans="1:44" x14ac:dyDescent="0.25">
      <c r="A462" s="30" t="str">
        <f t="shared" si="402"/>
        <v>Residual value (costumization)</v>
      </c>
      <c r="B462" s="62">
        <f t="shared" si="403"/>
        <v>-175000</v>
      </c>
      <c r="C462" s="62">
        <f t="shared" si="404"/>
        <v>-175000</v>
      </c>
      <c r="D462" s="62">
        <f t="shared" si="405"/>
        <v>-175000</v>
      </c>
      <c r="E462" s="62">
        <f t="shared" si="406"/>
        <v>-175000</v>
      </c>
      <c r="F462" s="62">
        <f t="shared" si="407"/>
        <v>-175000</v>
      </c>
      <c r="G462" s="62">
        <f t="shared" si="408"/>
        <v>-175000</v>
      </c>
      <c r="H462" s="62">
        <f t="shared" si="409"/>
        <v>-175000</v>
      </c>
      <c r="I462" s="62">
        <f t="shared" si="410"/>
        <v>-175000</v>
      </c>
      <c r="J462" s="62">
        <f t="shared" si="411"/>
        <v>-175000</v>
      </c>
      <c r="K462" s="62">
        <f t="shared" si="412"/>
        <v>-175000</v>
      </c>
      <c r="L462" s="62">
        <f t="shared" si="413"/>
        <v>-175000</v>
      </c>
      <c r="M462" s="62">
        <f t="shared" si="414"/>
        <v>-175000</v>
      </c>
      <c r="N462" s="62">
        <f t="shared" si="415"/>
        <v>-175000</v>
      </c>
      <c r="O462" s="62">
        <f t="shared" si="416"/>
        <v>-175000</v>
      </c>
      <c r="P462" s="62">
        <f t="shared" si="417"/>
        <v>-175000</v>
      </c>
      <c r="Q462" s="62">
        <f t="shared" si="418"/>
        <v>-175000</v>
      </c>
      <c r="R462" s="62">
        <f t="shared" si="419"/>
        <v>-175000</v>
      </c>
      <c r="S462" s="62">
        <f t="shared" si="420"/>
        <v>-175000</v>
      </c>
      <c r="T462" s="62">
        <f t="shared" si="421"/>
        <v>-175000</v>
      </c>
      <c r="U462" s="62">
        <f t="shared" si="422"/>
        <v>-175000</v>
      </c>
      <c r="V462" s="62">
        <f t="shared" si="423"/>
        <v>-175000</v>
      </c>
      <c r="W462" s="62">
        <f t="shared" si="424"/>
        <v>-175000</v>
      </c>
      <c r="X462" s="62">
        <f t="shared" si="425"/>
        <v>-175000</v>
      </c>
      <c r="Y462" s="62">
        <f t="shared" si="426"/>
        <v>-175000</v>
      </c>
      <c r="Z462" s="62">
        <f t="shared" si="427"/>
        <v>-175000</v>
      </c>
      <c r="AA462" s="62">
        <f t="shared" si="428"/>
        <v>-175000</v>
      </c>
      <c r="AB462" s="62">
        <f t="shared" si="429"/>
        <v>-175000</v>
      </c>
      <c r="AC462" s="62">
        <f t="shared" si="430"/>
        <v>-175000</v>
      </c>
    </row>
    <row r="463" spans="1:44" x14ac:dyDescent="0.25">
      <c r="A463" s="30" t="str">
        <f t="shared" si="402"/>
        <v>WACC</v>
      </c>
      <c r="B463" s="62">
        <f t="shared" si="403"/>
        <v>0.06</v>
      </c>
      <c r="C463" s="62">
        <f t="shared" si="404"/>
        <v>0.06</v>
      </c>
      <c r="D463" s="62">
        <f t="shared" si="405"/>
        <v>0.06</v>
      </c>
      <c r="E463" s="62">
        <f t="shared" si="406"/>
        <v>0.06</v>
      </c>
      <c r="F463" s="62">
        <f t="shared" si="407"/>
        <v>0.06</v>
      </c>
      <c r="G463" s="62">
        <f t="shared" si="408"/>
        <v>0.06</v>
      </c>
      <c r="H463" s="62">
        <f t="shared" si="409"/>
        <v>0.06</v>
      </c>
      <c r="I463" s="62">
        <f t="shared" si="410"/>
        <v>0.06</v>
      </c>
      <c r="J463" s="62">
        <f t="shared" si="411"/>
        <v>0.06</v>
      </c>
      <c r="K463" s="62">
        <f t="shared" si="412"/>
        <v>0.06</v>
      </c>
      <c r="L463" s="62">
        <f t="shared" si="413"/>
        <v>0.06</v>
      </c>
      <c r="M463" s="62">
        <f t="shared" si="414"/>
        <v>0.06</v>
      </c>
      <c r="N463" s="62">
        <f t="shared" si="415"/>
        <v>0.06</v>
      </c>
      <c r="O463" s="62">
        <f t="shared" si="416"/>
        <v>0.06</v>
      </c>
      <c r="P463" s="62">
        <f t="shared" si="417"/>
        <v>0.06</v>
      </c>
      <c r="Q463" s="62">
        <f t="shared" si="418"/>
        <v>0.06</v>
      </c>
      <c r="R463" s="62">
        <f t="shared" si="419"/>
        <v>0.06</v>
      </c>
      <c r="S463" s="62">
        <f t="shared" si="420"/>
        <v>0.06</v>
      </c>
      <c r="T463" s="62">
        <f t="shared" si="421"/>
        <v>0.06</v>
      </c>
      <c r="U463" s="62">
        <f t="shared" si="422"/>
        <v>0.06</v>
      </c>
      <c r="V463" s="62">
        <f t="shared" si="423"/>
        <v>0.06</v>
      </c>
      <c r="W463" s="62">
        <f t="shared" si="424"/>
        <v>0.06</v>
      </c>
      <c r="X463" s="62">
        <f t="shared" si="425"/>
        <v>0.06</v>
      </c>
      <c r="Y463" s="62">
        <f t="shared" si="426"/>
        <v>0.06</v>
      </c>
      <c r="Z463" s="62">
        <f t="shared" si="427"/>
        <v>0.06</v>
      </c>
      <c r="AA463" s="62">
        <f t="shared" si="428"/>
        <v>0.06</v>
      </c>
      <c r="AB463" s="62">
        <f t="shared" si="429"/>
        <v>0.06</v>
      </c>
      <c r="AC463" s="62">
        <f t="shared" si="430"/>
        <v>0.06</v>
      </c>
    </row>
    <row r="464" spans="1:44" x14ac:dyDescent="0.25">
      <c r="A464" s="30" t="str">
        <f t="shared" si="402"/>
        <v>Opex fix (admin, crew, insurance)</v>
      </c>
      <c r="B464" s="62">
        <f t="shared" si="403"/>
        <v>650000</v>
      </c>
      <c r="C464" s="62">
        <f t="shared" si="404"/>
        <v>650000</v>
      </c>
      <c r="D464" s="62">
        <f t="shared" si="405"/>
        <v>650000</v>
      </c>
      <c r="E464" s="62">
        <f t="shared" si="406"/>
        <v>650000</v>
      </c>
      <c r="F464" s="62">
        <f t="shared" si="407"/>
        <v>650000</v>
      </c>
      <c r="G464" s="62">
        <f t="shared" si="408"/>
        <v>650000</v>
      </c>
      <c r="H464" s="62">
        <f t="shared" si="409"/>
        <v>650000</v>
      </c>
      <c r="I464" s="62">
        <f t="shared" si="410"/>
        <v>650000</v>
      </c>
      <c r="J464" s="62">
        <f t="shared" si="411"/>
        <v>650000</v>
      </c>
      <c r="K464" s="62">
        <f t="shared" si="412"/>
        <v>650000</v>
      </c>
      <c r="L464" s="62">
        <f t="shared" si="413"/>
        <v>650000</v>
      </c>
      <c r="M464" s="62">
        <f t="shared" si="414"/>
        <v>650000</v>
      </c>
      <c r="N464" s="62">
        <f t="shared" si="415"/>
        <v>650000</v>
      </c>
      <c r="O464" s="62">
        <f t="shared" si="416"/>
        <v>650000</v>
      </c>
      <c r="P464" s="62">
        <f t="shared" si="417"/>
        <v>650000</v>
      </c>
      <c r="Q464" s="62">
        <f t="shared" si="418"/>
        <v>650000</v>
      </c>
      <c r="R464" s="62">
        <f t="shared" si="419"/>
        <v>650000</v>
      </c>
      <c r="S464" s="62">
        <f t="shared" si="420"/>
        <v>650000</v>
      </c>
      <c r="T464" s="62">
        <f t="shared" si="421"/>
        <v>650000</v>
      </c>
      <c r="U464" s="62">
        <f t="shared" si="422"/>
        <v>650000</v>
      </c>
      <c r="V464" s="62">
        <f t="shared" si="423"/>
        <v>650000</v>
      </c>
      <c r="W464" s="62">
        <f t="shared" si="424"/>
        <v>650000</v>
      </c>
      <c r="X464" s="62">
        <f t="shared" si="425"/>
        <v>650000</v>
      </c>
      <c r="Y464" s="62">
        <f t="shared" si="426"/>
        <v>650000</v>
      </c>
      <c r="Z464" s="62">
        <f t="shared" si="427"/>
        <v>650000</v>
      </c>
      <c r="AA464" s="62">
        <f t="shared" si="428"/>
        <v>650000</v>
      </c>
      <c r="AB464" s="62">
        <f t="shared" si="429"/>
        <v>650000</v>
      </c>
      <c r="AC464" s="62">
        <f t="shared" si="430"/>
        <v>650000</v>
      </c>
    </row>
    <row r="465" spans="1:29" x14ac:dyDescent="0.25">
      <c r="A465" s="30" t="str">
        <f t="shared" si="402"/>
        <v>Opex maintenance &amp; repair</v>
      </c>
      <c r="B465" s="62">
        <f t="shared" si="403"/>
        <v>650000</v>
      </c>
      <c r="C465" s="62">
        <f t="shared" si="404"/>
        <v>650000</v>
      </c>
      <c r="D465" s="62">
        <f t="shared" si="405"/>
        <v>650000</v>
      </c>
      <c r="E465" s="62">
        <f t="shared" si="406"/>
        <v>650000</v>
      </c>
      <c r="F465" s="62">
        <f t="shared" si="407"/>
        <v>650000</v>
      </c>
      <c r="G465" s="62">
        <f t="shared" si="408"/>
        <v>650000</v>
      </c>
      <c r="H465" s="62">
        <f t="shared" si="409"/>
        <v>650000</v>
      </c>
      <c r="I465" s="62">
        <f t="shared" si="410"/>
        <v>650000</v>
      </c>
      <c r="J465" s="62">
        <f t="shared" si="411"/>
        <v>650000</v>
      </c>
      <c r="K465" s="62">
        <f t="shared" si="412"/>
        <v>650000</v>
      </c>
      <c r="L465" s="62">
        <f t="shared" si="413"/>
        <v>650000</v>
      </c>
      <c r="M465" s="62">
        <f t="shared" si="414"/>
        <v>650000</v>
      </c>
      <c r="N465" s="62">
        <f t="shared" si="415"/>
        <v>650000</v>
      </c>
      <c r="O465" s="62">
        <f t="shared" si="416"/>
        <v>650000</v>
      </c>
      <c r="P465" s="62">
        <f t="shared" si="417"/>
        <v>650000</v>
      </c>
      <c r="Q465" s="62">
        <f t="shared" si="418"/>
        <v>650000</v>
      </c>
      <c r="R465" s="62">
        <f t="shared" si="419"/>
        <v>650000</v>
      </c>
      <c r="S465" s="62">
        <f t="shared" si="420"/>
        <v>650000</v>
      </c>
      <c r="T465" s="62">
        <f t="shared" si="421"/>
        <v>650000</v>
      </c>
      <c r="U465" s="62">
        <f t="shared" si="422"/>
        <v>650000</v>
      </c>
      <c r="V465" s="62">
        <f t="shared" si="423"/>
        <v>650000</v>
      </c>
      <c r="W465" s="62">
        <f t="shared" si="424"/>
        <v>650000</v>
      </c>
      <c r="X465" s="62">
        <f t="shared" si="425"/>
        <v>650000</v>
      </c>
      <c r="Y465" s="62">
        <f t="shared" si="426"/>
        <v>650000</v>
      </c>
      <c r="Z465" s="62">
        <f t="shared" si="427"/>
        <v>650000</v>
      </c>
      <c r="AA465" s="62">
        <f t="shared" si="428"/>
        <v>650000</v>
      </c>
      <c r="AB465" s="62">
        <f t="shared" si="429"/>
        <v>650000</v>
      </c>
      <c r="AC465" s="62">
        <f t="shared" si="430"/>
        <v>650000</v>
      </c>
    </row>
    <row r="466" spans="1:29" x14ac:dyDescent="0.25">
      <c r="A466" s="30" t="str">
        <f t="shared" si="402"/>
        <v>Opex var (mode-fees, shunting)</v>
      </c>
      <c r="B466" s="62">
        <f t="shared" si="403"/>
        <v>3.9215686274509802</v>
      </c>
      <c r="C466" s="62">
        <f t="shared" si="404"/>
        <v>3.9215686274509802</v>
      </c>
      <c r="D466" s="62">
        <f t="shared" si="405"/>
        <v>3.9215686274509802</v>
      </c>
      <c r="E466" s="62">
        <f t="shared" si="406"/>
        <v>3.9215686274509802</v>
      </c>
      <c r="F466" s="62">
        <f t="shared" si="407"/>
        <v>3.9215686274509802</v>
      </c>
      <c r="G466" s="62">
        <f t="shared" si="408"/>
        <v>3.9215686274509802</v>
      </c>
      <c r="H466" s="62">
        <f t="shared" si="409"/>
        <v>3.9215686274509802</v>
      </c>
      <c r="I466" s="62">
        <f t="shared" si="410"/>
        <v>3.9215686274509802</v>
      </c>
      <c r="J466" s="62">
        <f t="shared" si="411"/>
        <v>3.9215686274509802</v>
      </c>
      <c r="K466" s="62">
        <f t="shared" si="412"/>
        <v>3.9215686274509802</v>
      </c>
      <c r="L466" s="62">
        <f t="shared" si="413"/>
        <v>3.9215686274509802</v>
      </c>
      <c r="M466" s="62">
        <f t="shared" si="414"/>
        <v>3.9215686274509802</v>
      </c>
      <c r="N466" s="62">
        <f t="shared" si="415"/>
        <v>3.9215686274509802</v>
      </c>
      <c r="O466" s="62">
        <f t="shared" si="416"/>
        <v>3.9215686274509802</v>
      </c>
      <c r="P466" s="62">
        <f t="shared" si="417"/>
        <v>3.9215686274509802</v>
      </c>
      <c r="Q466" s="62">
        <f t="shared" si="418"/>
        <v>3.9215686274509802</v>
      </c>
      <c r="R466" s="62">
        <f t="shared" si="419"/>
        <v>3.9215686274509802</v>
      </c>
      <c r="S466" s="62">
        <f t="shared" si="420"/>
        <v>3.9215686274509802</v>
      </c>
      <c r="T466" s="62">
        <f t="shared" si="421"/>
        <v>3.9215686274509802</v>
      </c>
      <c r="U466" s="62">
        <f t="shared" si="422"/>
        <v>3.9215686274509802</v>
      </c>
      <c r="V466" s="62">
        <f t="shared" si="423"/>
        <v>3.9215686274509802</v>
      </c>
      <c r="W466" s="62">
        <f t="shared" si="424"/>
        <v>3.9215686274509802</v>
      </c>
      <c r="X466" s="62">
        <f t="shared" si="425"/>
        <v>3.9215686274509802</v>
      </c>
      <c r="Y466" s="62">
        <f t="shared" si="426"/>
        <v>3.9215686274509802</v>
      </c>
      <c r="Z466" s="62">
        <f t="shared" si="427"/>
        <v>3.9215686274509802</v>
      </c>
      <c r="AA466" s="62">
        <f t="shared" si="428"/>
        <v>3.9215686274509802</v>
      </c>
      <c r="AB466" s="62">
        <f t="shared" si="429"/>
        <v>3.9215686274509802</v>
      </c>
      <c r="AC466" s="62">
        <f t="shared" si="430"/>
        <v>3.9215686274509802</v>
      </c>
    </row>
    <row r="467" spans="1:29" x14ac:dyDescent="0.25">
      <c r="A467" s="30" t="str">
        <f t="shared" si="402"/>
        <v>Fuel Economy</v>
      </c>
      <c r="B467" s="62">
        <f t="shared" si="403"/>
        <v>31.614305882352937</v>
      </c>
      <c r="C467" s="62">
        <f t="shared" si="404"/>
        <v>31.614305882352937</v>
      </c>
      <c r="D467" s="62">
        <f t="shared" si="405"/>
        <v>31.614305882352937</v>
      </c>
      <c r="E467" s="62">
        <f t="shared" si="406"/>
        <v>31.614305882352937</v>
      </c>
      <c r="F467" s="62">
        <f t="shared" si="407"/>
        <v>31.614305882352937</v>
      </c>
      <c r="G467" s="62">
        <f t="shared" si="408"/>
        <v>31.614305882352937</v>
      </c>
      <c r="H467" s="62">
        <f t="shared" si="409"/>
        <v>31.614305882352937</v>
      </c>
      <c r="I467" s="62">
        <f t="shared" si="410"/>
        <v>31.614305882352937</v>
      </c>
      <c r="J467" s="62">
        <f t="shared" si="411"/>
        <v>31.614305882352937</v>
      </c>
      <c r="K467" s="62">
        <f t="shared" si="412"/>
        <v>31.614305882352937</v>
      </c>
      <c r="L467" s="62">
        <f t="shared" si="413"/>
        <v>31.614305882352937</v>
      </c>
      <c r="M467" s="62">
        <f t="shared" si="414"/>
        <v>31.614305882352937</v>
      </c>
      <c r="N467" s="62">
        <f t="shared" si="415"/>
        <v>31.614305882352937</v>
      </c>
      <c r="O467" s="62">
        <f t="shared" si="416"/>
        <v>31.614305882352937</v>
      </c>
      <c r="P467" s="62">
        <f t="shared" si="417"/>
        <v>31.614305882352937</v>
      </c>
      <c r="Q467" s="62">
        <f t="shared" si="418"/>
        <v>31.614305882352937</v>
      </c>
      <c r="R467" s="62">
        <f t="shared" si="419"/>
        <v>31.614305882352937</v>
      </c>
      <c r="S467" s="62">
        <f t="shared" si="420"/>
        <v>31.614305882352937</v>
      </c>
      <c r="T467" s="62">
        <f t="shared" si="421"/>
        <v>31.614305882352937</v>
      </c>
      <c r="U467" s="62">
        <f t="shared" si="422"/>
        <v>31.614305882352937</v>
      </c>
      <c r="V467" s="62">
        <f t="shared" si="423"/>
        <v>31.614305882352937</v>
      </c>
      <c r="W467" s="62">
        <f t="shared" si="424"/>
        <v>31.614305882352937</v>
      </c>
      <c r="X467" s="62">
        <f t="shared" si="425"/>
        <v>31.614305882352937</v>
      </c>
      <c r="Y467" s="62">
        <f t="shared" si="426"/>
        <v>31.614305882352937</v>
      </c>
      <c r="Z467" s="62">
        <f t="shared" si="427"/>
        <v>31.614305882352937</v>
      </c>
      <c r="AA467" s="62">
        <f t="shared" si="428"/>
        <v>31.614305882352937</v>
      </c>
      <c r="AB467" s="62">
        <f t="shared" si="429"/>
        <v>31.614305882352937</v>
      </c>
      <c r="AC467" s="62">
        <f t="shared" si="430"/>
        <v>31.614305882352937</v>
      </c>
    </row>
    <row r="468" spans="1:29" x14ac:dyDescent="0.25">
      <c r="A468" s="30" t="str">
        <f t="shared" si="402"/>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431">A449</f>
        <v>Emission Cost</v>
      </c>
      <c r="B469" s="66">
        <f>$B449+($C449-$B449)*(1-Q449)</f>
        <v>0</v>
      </c>
      <c r="C469" s="66">
        <f t="shared" ref="C469" si="432">$B449+($C449-$B449)*(1-R449)</f>
        <v>0</v>
      </c>
      <c r="D469" s="66">
        <f t="shared" ref="D469" si="433">$B449+($C449-$B449)*(1-S449)</f>
        <v>0</v>
      </c>
      <c r="E469" s="66">
        <f t="shared" ref="E469" si="434">$B449+($C449-$B449)*(1-T449)</f>
        <v>0</v>
      </c>
      <c r="F469" s="66">
        <f t="shared" ref="F469" si="435">$B449+($C449-$B449)*(1-U449)</f>
        <v>0</v>
      </c>
      <c r="G469" s="66">
        <f t="shared" ref="G469" si="436">$B449+($C449-$B449)*(1-V449)</f>
        <v>0</v>
      </c>
      <c r="H469" s="66">
        <f t="shared" ref="H469" si="437">$B449+($C449-$B449)*(1-W449)</f>
        <v>0</v>
      </c>
      <c r="I469" s="66">
        <f t="shared" ref="I469" si="438">$B449+($C449-$B449)*(1-X449)</f>
        <v>0</v>
      </c>
      <c r="J469" s="66">
        <f t="shared" ref="J469" si="439">$B449+($C449-$B449)*(1-Y449)</f>
        <v>0</v>
      </c>
      <c r="K469" s="66">
        <f t="shared" ref="K469" si="440">$B449+($C449-$B449)*(1-Z449)</f>
        <v>0</v>
      </c>
      <c r="L469" s="66">
        <f t="shared" ref="L469" si="441">$B449+($C449-$B449)*(1-AA449)</f>
        <v>0</v>
      </c>
      <c r="M469" s="66">
        <f t="shared" ref="M469" si="442">$B449+($C449-$B449)*(1-AB449)</f>
        <v>0</v>
      </c>
      <c r="N469" s="66">
        <f t="shared" ref="N469" si="443">$B449+($C449-$B449)*(1-AC449)</f>
        <v>0</v>
      </c>
      <c r="O469" s="66">
        <f t="shared" ref="O469" si="444">$B449+($C449-$B449)*(1-AD449)</f>
        <v>0</v>
      </c>
      <c r="P469" s="66">
        <f t="shared" ref="P469" si="445">$B449+($C449-$B449)*(1-AE449)</f>
        <v>0</v>
      </c>
      <c r="Q469" s="66">
        <f t="shared" ref="Q469" si="446">$B449+($C449-$B449)*(1-AF449)</f>
        <v>0</v>
      </c>
      <c r="R469" s="66">
        <f t="shared" ref="R469" si="447">$B449+($C449-$B449)*(1-AG449)</f>
        <v>0</v>
      </c>
      <c r="S469" s="66">
        <f t="shared" ref="S469" si="448">$B449+($C449-$B449)*(1-AH449)</f>
        <v>0</v>
      </c>
      <c r="T469" s="66">
        <f t="shared" ref="T469" si="449">$B449+($C449-$B449)*(1-AI449)</f>
        <v>0</v>
      </c>
      <c r="U469" s="66">
        <f t="shared" ref="U469" si="450">$B449+($C449-$B449)*(1-AJ449)</f>
        <v>0</v>
      </c>
      <c r="V469" s="66">
        <f t="shared" ref="V469" si="451">$B449+($C449-$B449)*(1-AK449)</f>
        <v>0</v>
      </c>
      <c r="W469" s="66">
        <f t="shared" ref="W469" si="452">$B449+($C449-$B449)*(1-AL449)</f>
        <v>0</v>
      </c>
      <c r="X469" s="66">
        <f t="shared" ref="X469" si="453">$B449+($C449-$B449)*(1-AM449)</f>
        <v>0</v>
      </c>
      <c r="Y469" s="66">
        <f t="shared" ref="Y469" si="454">$B449+($C449-$B449)*(1-AN449)</f>
        <v>0</v>
      </c>
      <c r="Z469" s="66">
        <f t="shared" ref="Z469" si="455">$B449+($C449-$B449)*(1-AO449)</f>
        <v>0</v>
      </c>
      <c r="AA469" s="66">
        <f t="shared" ref="AA469" si="456">$B449+($C449-$B449)*(1-AP449)</f>
        <v>0</v>
      </c>
      <c r="AB469" s="66">
        <f t="shared" ref="AB469" si="457">$B449+($C449-$B449)*(1-AQ449)</f>
        <v>0</v>
      </c>
      <c r="AC469" s="66">
        <f t="shared" ref="AC469" si="458">$B449+($C449-$B449)*(1-AR449)</f>
        <v>0</v>
      </c>
    </row>
    <row r="470" spans="1:29" x14ac:dyDescent="0.25">
      <c r="A470" s="30" t="str">
        <f>A450</f>
        <v>Lifetime vehicle</v>
      </c>
      <c r="B470" s="62">
        <f>$B450+($C450-$B450)*(1-Q450)</f>
        <v>20</v>
      </c>
      <c r="C470" s="62">
        <f t="shared" ref="C470:L472" si="459">$B450+($C450-$B450)*(1-R450)</f>
        <v>20</v>
      </c>
      <c r="D470" s="62">
        <f t="shared" si="459"/>
        <v>20</v>
      </c>
      <c r="E470" s="62">
        <f t="shared" si="459"/>
        <v>20</v>
      </c>
      <c r="F470" s="62">
        <f t="shared" si="459"/>
        <v>20</v>
      </c>
      <c r="G470" s="62">
        <f t="shared" si="459"/>
        <v>20</v>
      </c>
      <c r="H470" s="62">
        <f t="shared" si="459"/>
        <v>20</v>
      </c>
      <c r="I470" s="62">
        <f t="shared" si="459"/>
        <v>20</v>
      </c>
      <c r="J470" s="62">
        <f t="shared" si="459"/>
        <v>20</v>
      </c>
      <c r="K470" s="62">
        <f t="shared" si="459"/>
        <v>20</v>
      </c>
      <c r="L470" s="62">
        <f t="shared" si="459"/>
        <v>20</v>
      </c>
      <c r="M470" s="62">
        <f t="shared" ref="M470:V472" si="460">$B450+($C450-$B450)*(1-AB450)</f>
        <v>20</v>
      </c>
      <c r="N470" s="62">
        <f t="shared" si="460"/>
        <v>20</v>
      </c>
      <c r="O470" s="62">
        <f t="shared" si="460"/>
        <v>20</v>
      </c>
      <c r="P470" s="62">
        <f t="shared" si="460"/>
        <v>20</v>
      </c>
      <c r="Q470" s="62">
        <f t="shared" si="460"/>
        <v>20</v>
      </c>
      <c r="R470" s="62">
        <f t="shared" si="460"/>
        <v>20</v>
      </c>
      <c r="S470" s="62">
        <f t="shared" si="460"/>
        <v>20</v>
      </c>
      <c r="T470" s="62">
        <f t="shared" si="460"/>
        <v>20</v>
      </c>
      <c r="U470" s="62">
        <f t="shared" si="460"/>
        <v>20</v>
      </c>
      <c r="V470" s="62">
        <f t="shared" si="460"/>
        <v>20</v>
      </c>
      <c r="W470" s="62">
        <f t="shared" ref="W470:AC472" si="461">$B450+($C450-$B450)*(1-AL450)</f>
        <v>20</v>
      </c>
      <c r="X470" s="62">
        <f t="shared" si="461"/>
        <v>20</v>
      </c>
      <c r="Y470" s="62">
        <f t="shared" si="461"/>
        <v>20</v>
      </c>
      <c r="Z470" s="62">
        <f t="shared" si="461"/>
        <v>20</v>
      </c>
      <c r="AA470" s="62">
        <f t="shared" si="461"/>
        <v>20</v>
      </c>
      <c r="AB470" s="62">
        <f t="shared" si="461"/>
        <v>20</v>
      </c>
      <c r="AC470" s="62">
        <f t="shared" si="461"/>
        <v>20</v>
      </c>
    </row>
    <row r="471" spans="1:29" x14ac:dyDescent="0.25">
      <c r="A471" s="30" t="str">
        <f>A451</f>
        <v>Lifetime costumization</v>
      </c>
      <c r="B471" s="62">
        <f>$B451+($C451-$B451)*(1-Q451)</f>
        <v>30</v>
      </c>
      <c r="C471" s="62">
        <f t="shared" si="459"/>
        <v>30</v>
      </c>
      <c r="D471" s="62">
        <f t="shared" si="459"/>
        <v>30</v>
      </c>
      <c r="E471" s="62">
        <f t="shared" si="459"/>
        <v>30</v>
      </c>
      <c r="F471" s="62">
        <f t="shared" si="459"/>
        <v>30</v>
      </c>
      <c r="G471" s="62">
        <f t="shared" si="459"/>
        <v>30</v>
      </c>
      <c r="H471" s="62">
        <f t="shared" si="459"/>
        <v>30</v>
      </c>
      <c r="I471" s="62">
        <f t="shared" si="459"/>
        <v>30</v>
      </c>
      <c r="J471" s="62">
        <f t="shared" si="459"/>
        <v>30</v>
      </c>
      <c r="K471" s="62">
        <f t="shared" si="459"/>
        <v>30</v>
      </c>
      <c r="L471" s="62">
        <f t="shared" si="459"/>
        <v>30</v>
      </c>
      <c r="M471" s="62">
        <f t="shared" si="460"/>
        <v>30</v>
      </c>
      <c r="N471" s="62">
        <f t="shared" si="460"/>
        <v>30</v>
      </c>
      <c r="O471" s="62">
        <f t="shared" si="460"/>
        <v>30</v>
      </c>
      <c r="P471" s="62">
        <f t="shared" si="460"/>
        <v>30</v>
      </c>
      <c r="Q471" s="62">
        <f t="shared" si="460"/>
        <v>30</v>
      </c>
      <c r="R471" s="62">
        <f t="shared" si="460"/>
        <v>30</v>
      </c>
      <c r="S471" s="62">
        <f t="shared" si="460"/>
        <v>30</v>
      </c>
      <c r="T471" s="62">
        <f t="shared" si="460"/>
        <v>30</v>
      </c>
      <c r="U471" s="62">
        <f t="shared" si="460"/>
        <v>30</v>
      </c>
      <c r="V471" s="62">
        <f t="shared" si="460"/>
        <v>30</v>
      </c>
      <c r="W471" s="62">
        <f t="shared" si="461"/>
        <v>30</v>
      </c>
      <c r="X471" s="62">
        <f t="shared" si="461"/>
        <v>30</v>
      </c>
      <c r="Y471" s="62">
        <f t="shared" si="461"/>
        <v>30</v>
      </c>
      <c r="Z471" s="62">
        <f t="shared" si="461"/>
        <v>30</v>
      </c>
      <c r="AA471" s="62">
        <f t="shared" si="461"/>
        <v>30</v>
      </c>
      <c r="AB471" s="62">
        <f t="shared" si="461"/>
        <v>30</v>
      </c>
      <c r="AC471" s="62">
        <f t="shared" si="461"/>
        <v>30</v>
      </c>
    </row>
    <row r="472" spans="1:29" x14ac:dyDescent="0.25">
      <c r="A472" s="30" t="str">
        <f>A452</f>
        <v>Tonnage .</v>
      </c>
      <c r="B472" s="62">
        <f>$B452+($C452-$B452)*(1-Q452)</f>
        <v>2800</v>
      </c>
      <c r="C472" s="62">
        <f t="shared" si="459"/>
        <v>2800</v>
      </c>
      <c r="D472" s="62">
        <f t="shared" si="459"/>
        <v>2800</v>
      </c>
      <c r="E472" s="62">
        <f t="shared" si="459"/>
        <v>2800</v>
      </c>
      <c r="F472" s="62">
        <f t="shared" si="459"/>
        <v>2800</v>
      </c>
      <c r="G472" s="62">
        <f t="shared" si="459"/>
        <v>2800</v>
      </c>
      <c r="H472" s="62">
        <f t="shared" si="459"/>
        <v>2800</v>
      </c>
      <c r="I472" s="62">
        <f t="shared" si="459"/>
        <v>2800</v>
      </c>
      <c r="J472" s="62">
        <f t="shared" si="459"/>
        <v>2800</v>
      </c>
      <c r="K472" s="62">
        <f t="shared" si="459"/>
        <v>2800</v>
      </c>
      <c r="L472" s="62">
        <f t="shared" si="459"/>
        <v>2800</v>
      </c>
      <c r="M472" s="62">
        <f t="shared" si="460"/>
        <v>2800</v>
      </c>
      <c r="N472" s="62">
        <f t="shared" si="460"/>
        <v>2800</v>
      </c>
      <c r="O472" s="62">
        <f t="shared" si="460"/>
        <v>2800</v>
      </c>
      <c r="P472" s="62">
        <f t="shared" si="460"/>
        <v>2800</v>
      </c>
      <c r="Q472" s="62">
        <f t="shared" si="460"/>
        <v>2800</v>
      </c>
      <c r="R472" s="62">
        <f t="shared" si="460"/>
        <v>2800</v>
      </c>
      <c r="S472" s="62">
        <f t="shared" si="460"/>
        <v>2800</v>
      </c>
      <c r="T472" s="62">
        <f t="shared" si="460"/>
        <v>2800</v>
      </c>
      <c r="U472" s="62">
        <f t="shared" si="460"/>
        <v>2800</v>
      </c>
      <c r="V472" s="62">
        <f t="shared" si="460"/>
        <v>2800</v>
      </c>
      <c r="W472" s="62">
        <f t="shared" si="461"/>
        <v>2800</v>
      </c>
      <c r="X472" s="62">
        <f t="shared" si="461"/>
        <v>2800</v>
      </c>
      <c r="Y472" s="62">
        <f t="shared" si="461"/>
        <v>2800</v>
      </c>
      <c r="Z472" s="62">
        <f t="shared" si="461"/>
        <v>2800</v>
      </c>
      <c r="AA472" s="62">
        <f t="shared" si="461"/>
        <v>2800</v>
      </c>
      <c r="AB472" s="62">
        <f t="shared" si="461"/>
        <v>2800</v>
      </c>
      <c r="AC472" s="62">
        <f t="shared" si="461"/>
        <v>2800</v>
      </c>
    </row>
    <row r="473" spans="1:29" x14ac:dyDescent="0.25">
      <c r="A473" s="30" t="str">
        <f>A453</f>
        <v>Market failure (av. utilization)</v>
      </c>
      <c r="B473" s="62">
        <f t="shared" ref="B473:K474" si="462">($B453+($C453-$B453)*(1-Q453))*B$44</f>
        <v>955.73333333333335</v>
      </c>
      <c r="C473" s="62">
        <f t="shared" si="462"/>
        <v>955.73333333333335</v>
      </c>
      <c r="D473" s="62">
        <f t="shared" si="462"/>
        <v>955.73333333333335</v>
      </c>
      <c r="E473" s="62">
        <f t="shared" si="462"/>
        <v>955.73333333333335</v>
      </c>
      <c r="F473" s="62">
        <f t="shared" si="462"/>
        <v>955.73333333333335</v>
      </c>
      <c r="G473" s="62">
        <f t="shared" si="462"/>
        <v>955.73333333333335</v>
      </c>
      <c r="H473" s="62">
        <f t="shared" si="462"/>
        <v>955.73333333333335</v>
      </c>
      <c r="I473" s="62">
        <f t="shared" si="462"/>
        <v>955.73333333333335</v>
      </c>
      <c r="J473" s="62">
        <f t="shared" si="462"/>
        <v>955.73333333333335</v>
      </c>
      <c r="K473" s="62">
        <f t="shared" si="462"/>
        <v>955.73333333333335</v>
      </c>
      <c r="L473" s="62">
        <f t="shared" ref="L473:U474" si="463">($B453+($C453-$B453)*(1-AA453))*L$44</f>
        <v>955.73333333333335</v>
      </c>
      <c r="M473" s="62">
        <f t="shared" si="463"/>
        <v>955.73333333333335</v>
      </c>
      <c r="N473" s="62">
        <f t="shared" si="463"/>
        <v>955.73333333333335</v>
      </c>
      <c r="O473" s="62">
        <f t="shared" si="463"/>
        <v>955.73333333333335</v>
      </c>
      <c r="P473" s="62">
        <f t="shared" si="463"/>
        <v>955.73333333333335</v>
      </c>
      <c r="Q473" s="62">
        <f t="shared" si="463"/>
        <v>955.73333333333335</v>
      </c>
      <c r="R473" s="62">
        <f t="shared" si="463"/>
        <v>955.73333333333335</v>
      </c>
      <c r="S473" s="62">
        <f t="shared" si="463"/>
        <v>955.73333333333335</v>
      </c>
      <c r="T473" s="62">
        <f t="shared" si="463"/>
        <v>955.73333333333335</v>
      </c>
      <c r="U473" s="62">
        <f t="shared" si="463"/>
        <v>955.73333333333335</v>
      </c>
      <c r="V473" s="62">
        <f t="shared" ref="V473:AC474" si="464">($B453+($C453-$B453)*(1-AK453))*V$44</f>
        <v>955.73333333333335</v>
      </c>
      <c r="W473" s="62">
        <f t="shared" si="464"/>
        <v>955.73333333333335</v>
      </c>
      <c r="X473" s="62">
        <f t="shared" si="464"/>
        <v>955.73333333333335</v>
      </c>
      <c r="Y473" s="62">
        <f t="shared" si="464"/>
        <v>955.73333333333335</v>
      </c>
      <c r="Z473" s="62">
        <f t="shared" si="464"/>
        <v>955.73333333333335</v>
      </c>
      <c r="AA473" s="62">
        <f t="shared" si="464"/>
        <v>955.73333333333335</v>
      </c>
      <c r="AB473" s="62">
        <f t="shared" si="464"/>
        <v>955.73333333333335</v>
      </c>
      <c r="AC473" s="62">
        <f t="shared" si="464"/>
        <v>955.73333333333335</v>
      </c>
    </row>
    <row r="474" spans="1:29" x14ac:dyDescent="0.25">
      <c r="A474" s="30" t="s">
        <v>73</v>
      </c>
      <c r="B474" s="62">
        <f t="shared" si="462"/>
        <v>0</v>
      </c>
      <c r="C474" s="62">
        <f t="shared" si="462"/>
        <v>0</v>
      </c>
      <c r="D474" s="62">
        <f t="shared" si="462"/>
        <v>0</v>
      </c>
      <c r="E474" s="62">
        <f t="shared" si="462"/>
        <v>0</v>
      </c>
      <c r="F474" s="62">
        <f t="shared" si="462"/>
        <v>0</v>
      </c>
      <c r="G474" s="62">
        <f t="shared" si="462"/>
        <v>0</v>
      </c>
      <c r="H474" s="62">
        <f t="shared" si="462"/>
        <v>0</v>
      </c>
      <c r="I474" s="62">
        <f t="shared" si="462"/>
        <v>0</v>
      </c>
      <c r="J474" s="62">
        <f t="shared" si="462"/>
        <v>0</v>
      </c>
      <c r="K474" s="62">
        <f t="shared" si="462"/>
        <v>0</v>
      </c>
      <c r="L474" s="62">
        <f t="shared" si="463"/>
        <v>0</v>
      </c>
      <c r="M474" s="62">
        <f t="shared" si="463"/>
        <v>0</v>
      </c>
      <c r="N474" s="62">
        <f t="shared" si="463"/>
        <v>0</v>
      </c>
      <c r="O474" s="62">
        <f t="shared" si="463"/>
        <v>0</v>
      </c>
      <c r="P474" s="62">
        <f t="shared" si="463"/>
        <v>0</v>
      </c>
      <c r="Q474" s="62">
        <f t="shared" si="463"/>
        <v>0</v>
      </c>
      <c r="R474" s="62">
        <f t="shared" si="463"/>
        <v>0</v>
      </c>
      <c r="S474" s="62">
        <f t="shared" si="463"/>
        <v>0</v>
      </c>
      <c r="T474" s="62">
        <f t="shared" si="463"/>
        <v>0</v>
      </c>
      <c r="U474" s="62">
        <f t="shared" si="463"/>
        <v>0</v>
      </c>
      <c r="V474" s="62">
        <f t="shared" si="464"/>
        <v>0</v>
      </c>
      <c r="W474" s="62">
        <f t="shared" si="464"/>
        <v>0</v>
      </c>
      <c r="X474" s="62">
        <f t="shared" si="464"/>
        <v>0</v>
      </c>
      <c r="Y474" s="62">
        <f t="shared" si="464"/>
        <v>0</v>
      </c>
      <c r="Z474" s="62">
        <f t="shared" si="464"/>
        <v>0</v>
      </c>
      <c r="AA474" s="62">
        <f t="shared" si="464"/>
        <v>0</v>
      </c>
      <c r="AB474" s="62">
        <f t="shared" si="464"/>
        <v>0</v>
      </c>
      <c r="AC474" s="62">
        <f t="shared" si="464"/>
        <v>0</v>
      </c>
    </row>
    <row r="475" spans="1:29" x14ac:dyDescent="0.25">
      <c r="A475" s="30" t="str">
        <f>A455</f>
        <v>Annual Mileage</v>
      </c>
      <c r="B475" s="62">
        <f t="shared" ref="B475:AC475" si="465">$B455+($C455-$B455)*(1-Q455)</f>
        <v>178500</v>
      </c>
      <c r="C475" s="62">
        <f t="shared" si="465"/>
        <v>178500</v>
      </c>
      <c r="D475" s="62">
        <f t="shared" si="465"/>
        <v>178500</v>
      </c>
      <c r="E475" s="62">
        <f t="shared" si="465"/>
        <v>178500</v>
      </c>
      <c r="F475" s="62">
        <f t="shared" si="465"/>
        <v>178500</v>
      </c>
      <c r="G475" s="62">
        <f t="shared" si="465"/>
        <v>178500</v>
      </c>
      <c r="H475" s="62">
        <f t="shared" si="465"/>
        <v>178500</v>
      </c>
      <c r="I475" s="62">
        <f t="shared" si="465"/>
        <v>178500</v>
      </c>
      <c r="J475" s="62">
        <f t="shared" si="465"/>
        <v>178500</v>
      </c>
      <c r="K475" s="62">
        <f t="shared" si="465"/>
        <v>178500</v>
      </c>
      <c r="L475" s="62">
        <f t="shared" si="465"/>
        <v>178500</v>
      </c>
      <c r="M475" s="62">
        <f t="shared" si="465"/>
        <v>178500</v>
      </c>
      <c r="N475" s="62">
        <f t="shared" si="465"/>
        <v>178500</v>
      </c>
      <c r="O475" s="62">
        <f t="shared" si="465"/>
        <v>178500</v>
      </c>
      <c r="P475" s="62">
        <f t="shared" si="465"/>
        <v>178500</v>
      </c>
      <c r="Q475" s="62">
        <f t="shared" si="465"/>
        <v>178500</v>
      </c>
      <c r="R475" s="62">
        <f t="shared" si="465"/>
        <v>178500</v>
      </c>
      <c r="S475" s="62">
        <f t="shared" si="465"/>
        <v>178500</v>
      </c>
      <c r="T475" s="62">
        <f t="shared" si="465"/>
        <v>178500</v>
      </c>
      <c r="U475" s="62">
        <f t="shared" si="465"/>
        <v>178500</v>
      </c>
      <c r="V475" s="62">
        <f t="shared" si="465"/>
        <v>178500</v>
      </c>
      <c r="W475" s="62">
        <f t="shared" si="465"/>
        <v>178500</v>
      </c>
      <c r="X475" s="62">
        <f t="shared" si="465"/>
        <v>178500</v>
      </c>
      <c r="Y475" s="62">
        <f t="shared" si="465"/>
        <v>178500</v>
      </c>
      <c r="Z475" s="62">
        <f t="shared" si="465"/>
        <v>178500</v>
      </c>
      <c r="AA475" s="62">
        <f t="shared" si="465"/>
        <v>178500</v>
      </c>
      <c r="AB475" s="62">
        <f t="shared" si="465"/>
        <v>178500</v>
      </c>
      <c r="AC475" s="62">
        <f t="shared" si="465"/>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6">((1+C463)^C470)*C463/(((1+C463)^C470)-1)*(C459)</f>
        <v>435922.78488425701</v>
      </c>
      <c r="D478" s="63">
        <f t="shared" si="466"/>
        <v>435922.78488425701</v>
      </c>
      <c r="E478" s="63">
        <f t="shared" si="466"/>
        <v>435922.78488425701</v>
      </c>
      <c r="F478" s="63">
        <f t="shared" si="466"/>
        <v>435922.78488425701</v>
      </c>
      <c r="G478" s="63">
        <f t="shared" si="466"/>
        <v>435922.78488425701</v>
      </c>
      <c r="H478" s="63">
        <f t="shared" si="466"/>
        <v>435922.78488425701</v>
      </c>
      <c r="I478" s="63">
        <f t="shared" si="466"/>
        <v>435922.78488425701</v>
      </c>
      <c r="J478" s="63">
        <f t="shared" si="466"/>
        <v>435922.78488425701</v>
      </c>
      <c r="K478" s="63">
        <f t="shared" si="466"/>
        <v>435922.78488425701</v>
      </c>
      <c r="L478" s="63">
        <f t="shared" si="466"/>
        <v>435922.78488425701</v>
      </c>
      <c r="M478" s="63">
        <f t="shared" si="466"/>
        <v>435922.78488425701</v>
      </c>
      <c r="N478" s="63">
        <f t="shared" si="466"/>
        <v>435922.78488425701</v>
      </c>
      <c r="O478" s="63">
        <f t="shared" si="466"/>
        <v>435922.78488425701</v>
      </c>
      <c r="P478" s="63">
        <f t="shared" si="466"/>
        <v>435922.78488425701</v>
      </c>
      <c r="Q478" s="63">
        <f t="shared" si="466"/>
        <v>435922.78488425701</v>
      </c>
      <c r="R478" s="63">
        <f t="shared" si="466"/>
        <v>435922.78488425701</v>
      </c>
      <c r="S478" s="63">
        <f t="shared" si="466"/>
        <v>435922.78488425701</v>
      </c>
      <c r="T478" s="63">
        <f t="shared" si="466"/>
        <v>435922.78488425701</v>
      </c>
      <c r="U478" s="63">
        <f t="shared" si="466"/>
        <v>435922.78488425701</v>
      </c>
      <c r="V478" s="63">
        <f t="shared" si="466"/>
        <v>435922.78488425701</v>
      </c>
      <c r="W478" s="63">
        <f t="shared" si="466"/>
        <v>435922.78488425701</v>
      </c>
      <c r="X478" s="63">
        <f t="shared" si="466"/>
        <v>435922.78488425701</v>
      </c>
      <c r="Y478" s="63">
        <f t="shared" si="466"/>
        <v>435922.78488425701</v>
      </c>
      <c r="Z478" s="63">
        <f t="shared" si="466"/>
        <v>435922.78488425701</v>
      </c>
      <c r="AA478" s="63">
        <f t="shared" si="466"/>
        <v>435922.78488425701</v>
      </c>
      <c r="AB478" s="63">
        <f t="shared" si="466"/>
        <v>435922.78488425701</v>
      </c>
      <c r="AC478" s="63">
        <f t="shared" si="466"/>
        <v>435922.78488425701</v>
      </c>
    </row>
    <row r="479" spans="1:29" x14ac:dyDescent="0.25">
      <c r="A479" s="30" t="str">
        <f>A460</f>
        <v>Residual value (vehicle)</v>
      </c>
      <c r="B479" s="62">
        <f>((1+B463)^B470)*B463/(((1+B463)^B470)-1)*(B460)</f>
        <v>-65388.417732638554</v>
      </c>
      <c r="C479" s="62">
        <f t="shared" ref="C479:AC479" si="467">((1+C463)^C470)*C463/(((1+C463)^C470)-1)*(C460)</f>
        <v>-65388.417732638554</v>
      </c>
      <c r="D479" s="62">
        <f t="shared" si="467"/>
        <v>-65388.417732638554</v>
      </c>
      <c r="E479" s="62">
        <f t="shared" si="467"/>
        <v>-65388.417732638554</v>
      </c>
      <c r="F479" s="62">
        <f t="shared" si="467"/>
        <v>-65388.417732638554</v>
      </c>
      <c r="G479" s="62">
        <f t="shared" si="467"/>
        <v>-65388.417732638554</v>
      </c>
      <c r="H479" s="62">
        <f t="shared" si="467"/>
        <v>-65388.417732638554</v>
      </c>
      <c r="I479" s="62">
        <f t="shared" si="467"/>
        <v>-65388.417732638554</v>
      </c>
      <c r="J479" s="62">
        <f t="shared" si="467"/>
        <v>-65388.417732638554</v>
      </c>
      <c r="K479" s="62">
        <f t="shared" si="467"/>
        <v>-65388.417732638554</v>
      </c>
      <c r="L479" s="62">
        <f t="shared" si="467"/>
        <v>-65388.417732638554</v>
      </c>
      <c r="M479" s="62">
        <f t="shared" si="467"/>
        <v>-65388.417732638554</v>
      </c>
      <c r="N479" s="62">
        <f t="shared" si="467"/>
        <v>-65388.417732638554</v>
      </c>
      <c r="O479" s="62">
        <f t="shared" si="467"/>
        <v>-65388.417732638554</v>
      </c>
      <c r="P479" s="62">
        <f t="shared" si="467"/>
        <v>-65388.417732638554</v>
      </c>
      <c r="Q479" s="62">
        <f t="shared" si="467"/>
        <v>-65388.417732638554</v>
      </c>
      <c r="R479" s="62">
        <f t="shared" si="467"/>
        <v>-65388.417732638554</v>
      </c>
      <c r="S479" s="62">
        <f t="shared" si="467"/>
        <v>-65388.417732638554</v>
      </c>
      <c r="T479" s="62">
        <f t="shared" si="467"/>
        <v>-65388.417732638554</v>
      </c>
      <c r="U479" s="62">
        <f t="shared" si="467"/>
        <v>-65388.417732638554</v>
      </c>
      <c r="V479" s="62">
        <f t="shared" si="467"/>
        <v>-65388.417732638554</v>
      </c>
      <c r="W479" s="62">
        <f t="shared" si="467"/>
        <v>-65388.417732638554</v>
      </c>
      <c r="X479" s="62">
        <f t="shared" si="467"/>
        <v>-65388.417732638554</v>
      </c>
      <c r="Y479" s="62">
        <f t="shared" si="467"/>
        <v>-65388.417732638554</v>
      </c>
      <c r="Z479" s="62">
        <f t="shared" si="467"/>
        <v>-65388.417732638554</v>
      </c>
      <c r="AA479" s="62">
        <f t="shared" si="467"/>
        <v>-65388.417732638554</v>
      </c>
      <c r="AB479" s="62">
        <f t="shared" si="467"/>
        <v>-65388.417732638554</v>
      </c>
      <c r="AC479" s="62">
        <f t="shared" si="467"/>
        <v>-65388.417732638554</v>
      </c>
    </row>
    <row r="480" spans="1:29" x14ac:dyDescent="0.25">
      <c r="A480" s="30" t="str">
        <f>A461</f>
        <v>Capex costumization</v>
      </c>
      <c r="B480" s="62">
        <f>((1+B463)^B471)*B463/(((1+B463)^B471)-1)*(B461)</f>
        <v>254271.19021516517</v>
      </c>
      <c r="C480" s="62">
        <f t="shared" ref="C480:AC480" si="468">((1+C463)^C471)*C463/(((1+C463)^C471)-1)*(C461)</f>
        <v>254271.19021516517</v>
      </c>
      <c r="D480" s="62">
        <f t="shared" si="468"/>
        <v>254271.19021516517</v>
      </c>
      <c r="E480" s="62">
        <f t="shared" si="468"/>
        <v>254271.19021516517</v>
      </c>
      <c r="F480" s="62">
        <f t="shared" si="468"/>
        <v>254271.19021516517</v>
      </c>
      <c r="G480" s="62">
        <f t="shared" si="468"/>
        <v>254271.19021516517</v>
      </c>
      <c r="H480" s="62">
        <f t="shared" si="468"/>
        <v>254271.19021516517</v>
      </c>
      <c r="I480" s="62">
        <f t="shared" si="468"/>
        <v>254271.19021516517</v>
      </c>
      <c r="J480" s="62">
        <f t="shared" si="468"/>
        <v>254271.19021516517</v>
      </c>
      <c r="K480" s="62">
        <f t="shared" si="468"/>
        <v>254271.19021516517</v>
      </c>
      <c r="L480" s="62">
        <f t="shared" si="468"/>
        <v>254271.19021516517</v>
      </c>
      <c r="M480" s="62">
        <f t="shared" si="468"/>
        <v>254271.19021516517</v>
      </c>
      <c r="N480" s="62">
        <f t="shared" si="468"/>
        <v>254271.19021516517</v>
      </c>
      <c r="O480" s="62">
        <f t="shared" si="468"/>
        <v>254271.19021516517</v>
      </c>
      <c r="P480" s="62">
        <f t="shared" si="468"/>
        <v>254271.19021516517</v>
      </c>
      <c r="Q480" s="62">
        <f t="shared" si="468"/>
        <v>254271.19021516517</v>
      </c>
      <c r="R480" s="62">
        <f t="shared" si="468"/>
        <v>254271.19021516517</v>
      </c>
      <c r="S480" s="62">
        <f t="shared" si="468"/>
        <v>254271.19021516517</v>
      </c>
      <c r="T480" s="62">
        <f t="shared" si="468"/>
        <v>254271.19021516517</v>
      </c>
      <c r="U480" s="62">
        <f t="shared" si="468"/>
        <v>254271.19021516517</v>
      </c>
      <c r="V480" s="62">
        <f t="shared" si="468"/>
        <v>254271.19021516517</v>
      </c>
      <c r="W480" s="62">
        <f t="shared" si="468"/>
        <v>254271.19021516517</v>
      </c>
      <c r="X480" s="62">
        <f t="shared" si="468"/>
        <v>254271.19021516517</v>
      </c>
      <c r="Y480" s="62">
        <f t="shared" si="468"/>
        <v>254271.19021516517</v>
      </c>
      <c r="Z480" s="62">
        <f t="shared" si="468"/>
        <v>254271.19021516517</v>
      </c>
      <c r="AA480" s="62">
        <f t="shared" si="468"/>
        <v>254271.19021516517</v>
      </c>
      <c r="AB480" s="62">
        <f t="shared" si="468"/>
        <v>254271.19021516517</v>
      </c>
      <c r="AC480" s="62">
        <f t="shared" si="468"/>
        <v>254271.19021516517</v>
      </c>
    </row>
    <row r="481" spans="1:29" x14ac:dyDescent="0.25">
      <c r="A481" s="30" t="str">
        <f>A462</f>
        <v>Residual value (costumization)</v>
      </c>
      <c r="B481" s="62">
        <f>((1+B463)^B471)*B463/(((1+B463)^B471)-1)*(B462)</f>
        <v>-12713.559510758259</v>
      </c>
      <c r="C481" s="62">
        <f t="shared" ref="C481:AC481" si="469">((1+C463)^C471)*C463/(((1+C463)^C471)-1)*(C462)</f>
        <v>-12713.559510758259</v>
      </c>
      <c r="D481" s="62">
        <f t="shared" si="469"/>
        <v>-12713.559510758259</v>
      </c>
      <c r="E481" s="62">
        <f t="shared" si="469"/>
        <v>-12713.559510758259</v>
      </c>
      <c r="F481" s="62">
        <f t="shared" si="469"/>
        <v>-12713.559510758259</v>
      </c>
      <c r="G481" s="62">
        <f t="shared" si="469"/>
        <v>-12713.559510758259</v>
      </c>
      <c r="H481" s="62">
        <f t="shared" si="469"/>
        <v>-12713.559510758259</v>
      </c>
      <c r="I481" s="62">
        <f t="shared" si="469"/>
        <v>-12713.559510758259</v>
      </c>
      <c r="J481" s="62">
        <f t="shared" si="469"/>
        <v>-12713.559510758259</v>
      </c>
      <c r="K481" s="62">
        <f t="shared" si="469"/>
        <v>-12713.559510758259</v>
      </c>
      <c r="L481" s="62">
        <f t="shared" si="469"/>
        <v>-12713.559510758259</v>
      </c>
      <c r="M481" s="62">
        <f t="shared" si="469"/>
        <v>-12713.559510758259</v>
      </c>
      <c r="N481" s="62">
        <f t="shared" si="469"/>
        <v>-12713.559510758259</v>
      </c>
      <c r="O481" s="62">
        <f t="shared" si="469"/>
        <v>-12713.559510758259</v>
      </c>
      <c r="P481" s="62">
        <f t="shared" si="469"/>
        <v>-12713.559510758259</v>
      </c>
      <c r="Q481" s="62">
        <f t="shared" si="469"/>
        <v>-12713.559510758259</v>
      </c>
      <c r="R481" s="62">
        <f t="shared" si="469"/>
        <v>-12713.559510758259</v>
      </c>
      <c r="S481" s="62">
        <f t="shared" si="469"/>
        <v>-12713.559510758259</v>
      </c>
      <c r="T481" s="62">
        <f t="shared" si="469"/>
        <v>-12713.559510758259</v>
      </c>
      <c r="U481" s="62">
        <f t="shared" si="469"/>
        <v>-12713.559510758259</v>
      </c>
      <c r="V481" s="62">
        <f t="shared" si="469"/>
        <v>-12713.559510758259</v>
      </c>
      <c r="W481" s="62">
        <f t="shared" si="469"/>
        <v>-12713.559510758259</v>
      </c>
      <c r="X481" s="62">
        <f t="shared" si="469"/>
        <v>-12713.559510758259</v>
      </c>
      <c r="Y481" s="62">
        <f t="shared" si="469"/>
        <v>-12713.559510758259</v>
      </c>
      <c r="Z481" s="62">
        <f t="shared" si="469"/>
        <v>-12713.559510758259</v>
      </c>
      <c r="AA481" s="62">
        <f t="shared" si="469"/>
        <v>-12713.559510758259</v>
      </c>
      <c r="AB481" s="62">
        <f t="shared" si="469"/>
        <v>-12713.559510758259</v>
      </c>
      <c r="AC481" s="62">
        <f t="shared" si="469"/>
        <v>-12713.559510758259</v>
      </c>
    </row>
    <row r="482" spans="1:29" x14ac:dyDescent="0.25">
      <c r="A482" s="30" t="str">
        <f t="shared" ref="A482:AC482" si="470">A464</f>
        <v>Opex fix (admin, crew, insurance)</v>
      </c>
      <c r="B482" s="62">
        <f t="shared" si="470"/>
        <v>650000</v>
      </c>
      <c r="C482" s="62">
        <f t="shared" si="470"/>
        <v>650000</v>
      </c>
      <c r="D482" s="62">
        <f t="shared" si="470"/>
        <v>650000</v>
      </c>
      <c r="E482" s="62">
        <f t="shared" si="470"/>
        <v>650000</v>
      </c>
      <c r="F482" s="62">
        <f t="shared" si="470"/>
        <v>650000</v>
      </c>
      <c r="G482" s="62">
        <f t="shared" si="470"/>
        <v>650000</v>
      </c>
      <c r="H482" s="62">
        <f t="shared" si="470"/>
        <v>650000</v>
      </c>
      <c r="I482" s="62">
        <f t="shared" si="470"/>
        <v>650000</v>
      </c>
      <c r="J482" s="62">
        <f t="shared" si="470"/>
        <v>650000</v>
      </c>
      <c r="K482" s="62">
        <f t="shared" si="470"/>
        <v>650000</v>
      </c>
      <c r="L482" s="62">
        <f t="shared" si="470"/>
        <v>650000</v>
      </c>
      <c r="M482" s="62">
        <f t="shared" si="470"/>
        <v>650000</v>
      </c>
      <c r="N482" s="62">
        <f t="shared" si="470"/>
        <v>650000</v>
      </c>
      <c r="O482" s="62">
        <f t="shared" si="470"/>
        <v>650000</v>
      </c>
      <c r="P482" s="62">
        <f t="shared" si="470"/>
        <v>650000</v>
      </c>
      <c r="Q482" s="62">
        <f t="shared" si="470"/>
        <v>650000</v>
      </c>
      <c r="R482" s="62">
        <f t="shared" si="470"/>
        <v>650000</v>
      </c>
      <c r="S482" s="62">
        <f t="shared" si="470"/>
        <v>650000</v>
      </c>
      <c r="T482" s="62">
        <f t="shared" si="470"/>
        <v>650000</v>
      </c>
      <c r="U482" s="62">
        <f t="shared" si="470"/>
        <v>650000</v>
      </c>
      <c r="V482" s="62">
        <f t="shared" si="470"/>
        <v>650000</v>
      </c>
      <c r="W482" s="62">
        <f t="shared" si="470"/>
        <v>650000</v>
      </c>
      <c r="X482" s="62">
        <f t="shared" si="470"/>
        <v>650000</v>
      </c>
      <c r="Y482" s="62">
        <f t="shared" si="470"/>
        <v>650000</v>
      </c>
      <c r="Z482" s="62">
        <f t="shared" si="470"/>
        <v>650000</v>
      </c>
      <c r="AA482" s="62">
        <f t="shared" si="470"/>
        <v>650000</v>
      </c>
      <c r="AB482" s="62">
        <f t="shared" si="470"/>
        <v>650000</v>
      </c>
      <c r="AC482" s="62">
        <f t="shared" si="470"/>
        <v>650000</v>
      </c>
    </row>
    <row r="483" spans="1:29" x14ac:dyDescent="0.25">
      <c r="A483" s="30" t="str">
        <f t="shared" ref="A483:AC483" si="471">A465</f>
        <v>Opex maintenance &amp; repair</v>
      </c>
      <c r="B483" s="62">
        <f t="shared" si="471"/>
        <v>650000</v>
      </c>
      <c r="C483" s="62">
        <f t="shared" si="471"/>
        <v>650000</v>
      </c>
      <c r="D483" s="62">
        <f t="shared" si="471"/>
        <v>650000</v>
      </c>
      <c r="E483" s="62">
        <f t="shared" si="471"/>
        <v>650000</v>
      </c>
      <c r="F483" s="62">
        <f t="shared" si="471"/>
        <v>650000</v>
      </c>
      <c r="G483" s="62">
        <f t="shared" si="471"/>
        <v>650000</v>
      </c>
      <c r="H483" s="62">
        <f t="shared" si="471"/>
        <v>650000</v>
      </c>
      <c r="I483" s="62">
        <f t="shared" si="471"/>
        <v>650000</v>
      </c>
      <c r="J483" s="62">
        <f t="shared" si="471"/>
        <v>650000</v>
      </c>
      <c r="K483" s="62">
        <f t="shared" si="471"/>
        <v>650000</v>
      </c>
      <c r="L483" s="62">
        <f t="shared" si="471"/>
        <v>650000</v>
      </c>
      <c r="M483" s="62">
        <f t="shared" si="471"/>
        <v>650000</v>
      </c>
      <c r="N483" s="62">
        <f t="shared" si="471"/>
        <v>650000</v>
      </c>
      <c r="O483" s="62">
        <f t="shared" si="471"/>
        <v>650000</v>
      </c>
      <c r="P483" s="62">
        <f t="shared" si="471"/>
        <v>650000</v>
      </c>
      <c r="Q483" s="62">
        <f t="shared" si="471"/>
        <v>650000</v>
      </c>
      <c r="R483" s="62">
        <f t="shared" si="471"/>
        <v>650000</v>
      </c>
      <c r="S483" s="62">
        <f t="shared" si="471"/>
        <v>650000</v>
      </c>
      <c r="T483" s="62">
        <f t="shared" si="471"/>
        <v>650000</v>
      </c>
      <c r="U483" s="62">
        <f t="shared" si="471"/>
        <v>650000</v>
      </c>
      <c r="V483" s="62">
        <f t="shared" si="471"/>
        <v>650000</v>
      </c>
      <c r="W483" s="62">
        <f t="shared" si="471"/>
        <v>650000</v>
      </c>
      <c r="X483" s="62">
        <f t="shared" si="471"/>
        <v>650000</v>
      </c>
      <c r="Y483" s="62">
        <f t="shared" si="471"/>
        <v>650000</v>
      </c>
      <c r="Z483" s="62">
        <f t="shared" si="471"/>
        <v>650000</v>
      </c>
      <c r="AA483" s="62">
        <f t="shared" si="471"/>
        <v>650000</v>
      </c>
      <c r="AB483" s="62">
        <f t="shared" si="471"/>
        <v>650000</v>
      </c>
      <c r="AC483" s="62">
        <f t="shared" si="471"/>
        <v>650000</v>
      </c>
    </row>
    <row r="484" spans="1:29" x14ac:dyDescent="0.25">
      <c r="A484" s="30" t="str">
        <f>A466</f>
        <v>Opex var (mode-fees, shunting)</v>
      </c>
      <c r="B484" s="62">
        <f>B466*B475</f>
        <v>700000</v>
      </c>
      <c r="C484" s="62">
        <f t="shared" ref="C484:AC484" si="472">C466*C475</f>
        <v>700000</v>
      </c>
      <c r="D484" s="62">
        <f t="shared" si="472"/>
        <v>700000</v>
      </c>
      <c r="E484" s="62">
        <f t="shared" si="472"/>
        <v>700000</v>
      </c>
      <c r="F484" s="62">
        <f t="shared" si="472"/>
        <v>700000</v>
      </c>
      <c r="G484" s="62">
        <f t="shared" si="472"/>
        <v>700000</v>
      </c>
      <c r="H484" s="62">
        <f t="shared" si="472"/>
        <v>700000</v>
      </c>
      <c r="I484" s="62">
        <f t="shared" si="472"/>
        <v>700000</v>
      </c>
      <c r="J484" s="62">
        <f t="shared" si="472"/>
        <v>700000</v>
      </c>
      <c r="K484" s="62">
        <f t="shared" si="472"/>
        <v>700000</v>
      </c>
      <c r="L484" s="62">
        <f t="shared" si="472"/>
        <v>700000</v>
      </c>
      <c r="M484" s="62">
        <f t="shared" si="472"/>
        <v>700000</v>
      </c>
      <c r="N484" s="62">
        <f t="shared" si="472"/>
        <v>700000</v>
      </c>
      <c r="O484" s="62">
        <f t="shared" si="472"/>
        <v>700000</v>
      </c>
      <c r="P484" s="62">
        <f t="shared" si="472"/>
        <v>700000</v>
      </c>
      <c r="Q484" s="62">
        <f t="shared" si="472"/>
        <v>700000</v>
      </c>
      <c r="R484" s="62">
        <f t="shared" si="472"/>
        <v>700000</v>
      </c>
      <c r="S484" s="62">
        <f t="shared" si="472"/>
        <v>700000</v>
      </c>
      <c r="T484" s="62">
        <f t="shared" si="472"/>
        <v>700000</v>
      </c>
      <c r="U484" s="62">
        <f t="shared" si="472"/>
        <v>700000</v>
      </c>
      <c r="V484" s="62">
        <f t="shared" si="472"/>
        <v>700000</v>
      </c>
      <c r="W484" s="62">
        <f t="shared" si="472"/>
        <v>700000</v>
      </c>
      <c r="X484" s="62">
        <f t="shared" si="472"/>
        <v>700000</v>
      </c>
      <c r="Y484" s="62">
        <f t="shared" si="472"/>
        <v>700000</v>
      </c>
      <c r="Z484" s="62">
        <f t="shared" si="472"/>
        <v>700000</v>
      </c>
      <c r="AA484" s="62">
        <f t="shared" si="472"/>
        <v>700000</v>
      </c>
      <c r="AB484" s="62">
        <f t="shared" si="472"/>
        <v>700000</v>
      </c>
      <c r="AC484" s="62">
        <f t="shared" si="472"/>
        <v>700000</v>
      </c>
    </row>
    <row r="485" spans="1:29" x14ac:dyDescent="0.25">
      <c r="A485" s="30" t="str">
        <f>A468</f>
        <v>Fuel Cost</v>
      </c>
      <c r="B485" s="62">
        <f>B467*B468*B475</f>
        <v>531396.93343291793</v>
      </c>
      <c r="C485" s="62">
        <f t="shared" ref="C485:AC485" si="473">C467*C468*C475</f>
        <v>531396.93343291793</v>
      </c>
      <c r="D485" s="62">
        <f t="shared" si="473"/>
        <v>531396.93343291793</v>
      </c>
      <c r="E485" s="62">
        <f t="shared" si="473"/>
        <v>531396.93343291793</v>
      </c>
      <c r="F485" s="62">
        <f t="shared" si="473"/>
        <v>531396.93343291793</v>
      </c>
      <c r="G485" s="62">
        <f t="shared" si="473"/>
        <v>531396.93343291793</v>
      </c>
      <c r="H485" s="62">
        <f t="shared" si="473"/>
        <v>531396.93343291793</v>
      </c>
      <c r="I485" s="62">
        <f t="shared" si="473"/>
        <v>531396.93343291793</v>
      </c>
      <c r="J485" s="62">
        <f t="shared" si="473"/>
        <v>541742.71399833972</v>
      </c>
      <c r="K485" s="62">
        <f t="shared" si="473"/>
        <v>552088.49456376163</v>
      </c>
      <c r="L485" s="62">
        <f t="shared" si="473"/>
        <v>562434.27512918354</v>
      </c>
      <c r="M485" s="62">
        <f t="shared" si="473"/>
        <v>572780.05569460534</v>
      </c>
      <c r="N485" s="62">
        <f t="shared" si="473"/>
        <v>583125.83626002714</v>
      </c>
      <c r="O485" s="62">
        <f t="shared" si="473"/>
        <v>577482.68322434241</v>
      </c>
      <c r="P485" s="62">
        <f t="shared" si="473"/>
        <v>571839.53018865781</v>
      </c>
      <c r="Q485" s="62">
        <f t="shared" si="473"/>
        <v>566196.37715297309</v>
      </c>
      <c r="R485" s="62">
        <f t="shared" si="473"/>
        <v>560553.22411728848</v>
      </c>
      <c r="S485" s="62">
        <f t="shared" si="473"/>
        <v>554910.07108160388</v>
      </c>
      <c r="T485" s="62">
        <f t="shared" si="473"/>
        <v>549266.91804591927</v>
      </c>
      <c r="U485" s="62">
        <f t="shared" si="473"/>
        <v>543623.76501023455</v>
      </c>
      <c r="V485" s="62">
        <f t="shared" si="473"/>
        <v>537980.61197454983</v>
      </c>
      <c r="W485" s="62">
        <f t="shared" si="473"/>
        <v>532337.45893886534</v>
      </c>
      <c r="X485" s="62">
        <f t="shared" si="473"/>
        <v>526694.30590318074</v>
      </c>
      <c r="Y485" s="62">
        <f t="shared" si="473"/>
        <v>521051.15286749613</v>
      </c>
      <c r="Z485" s="62">
        <f t="shared" si="473"/>
        <v>515407.99983181141</v>
      </c>
      <c r="AA485" s="62">
        <f t="shared" si="473"/>
        <v>509764.84679612675</v>
      </c>
      <c r="AB485" s="62">
        <f t="shared" si="473"/>
        <v>504121.69376044202</v>
      </c>
      <c r="AC485" s="62">
        <f t="shared" si="473"/>
        <v>498478.54072475765</v>
      </c>
    </row>
    <row r="486" spans="1:29" ht="15.75" thickBot="1" x14ac:dyDescent="0.3">
      <c r="A486" s="59" t="str">
        <f>A449</f>
        <v>Emission Cost</v>
      </c>
      <c r="B486" s="62">
        <f>B469*B475</f>
        <v>0</v>
      </c>
      <c r="C486" s="62">
        <f t="shared" ref="C486:AC486" si="474">C469*C475</f>
        <v>0</v>
      </c>
      <c r="D486" s="62">
        <f t="shared" si="474"/>
        <v>0</v>
      </c>
      <c r="E486" s="62">
        <f t="shared" si="474"/>
        <v>0</v>
      </c>
      <c r="F486" s="62">
        <f t="shared" si="474"/>
        <v>0</v>
      </c>
      <c r="G486" s="62">
        <f t="shared" si="474"/>
        <v>0</v>
      </c>
      <c r="H486" s="62">
        <f t="shared" si="474"/>
        <v>0</v>
      </c>
      <c r="I486" s="62">
        <f t="shared" si="474"/>
        <v>0</v>
      </c>
      <c r="J486" s="62">
        <f t="shared" si="474"/>
        <v>0</v>
      </c>
      <c r="K486" s="62">
        <f t="shared" si="474"/>
        <v>0</v>
      </c>
      <c r="L486" s="62">
        <f t="shared" si="474"/>
        <v>0</v>
      </c>
      <c r="M486" s="62">
        <f t="shared" si="474"/>
        <v>0</v>
      </c>
      <c r="N486" s="62">
        <f t="shared" si="474"/>
        <v>0</v>
      </c>
      <c r="O486" s="62">
        <f t="shared" si="474"/>
        <v>0</v>
      </c>
      <c r="P486" s="62">
        <f t="shared" si="474"/>
        <v>0</v>
      </c>
      <c r="Q486" s="62">
        <f t="shared" si="474"/>
        <v>0</v>
      </c>
      <c r="R486" s="62">
        <f t="shared" si="474"/>
        <v>0</v>
      </c>
      <c r="S486" s="62">
        <f t="shared" si="474"/>
        <v>0</v>
      </c>
      <c r="T486" s="62">
        <f t="shared" si="474"/>
        <v>0</v>
      </c>
      <c r="U486" s="62">
        <f t="shared" si="474"/>
        <v>0</v>
      </c>
      <c r="V486" s="62">
        <f t="shared" si="474"/>
        <v>0</v>
      </c>
      <c r="W486" s="62">
        <f t="shared" si="474"/>
        <v>0</v>
      </c>
      <c r="X486" s="62">
        <f t="shared" si="474"/>
        <v>0</v>
      </c>
      <c r="Y486" s="62">
        <f t="shared" si="474"/>
        <v>0</v>
      </c>
      <c r="Z486" s="62">
        <f t="shared" si="474"/>
        <v>0</v>
      </c>
      <c r="AA486" s="62">
        <f t="shared" si="474"/>
        <v>0</v>
      </c>
      <c r="AB486" s="62">
        <f t="shared" si="474"/>
        <v>0</v>
      </c>
      <c r="AC486" s="62">
        <f t="shared" si="474"/>
        <v>0</v>
      </c>
    </row>
    <row r="487" spans="1:29" ht="15.75" thickBot="1" x14ac:dyDescent="0.3">
      <c r="A487" s="31" t="s">
        <v>209</v>
      </c>
      <c r="B487" s="64">
        <f>B478+B479+B480+B481+B482+B483+B484+B485+B486</f>
        <v>3143488.9312889436</v>
      </c>
      <c r="C487" s="64">
        <f t="shared" ref="C487:AC487" si="475">C478+C479+C480+C481+C482+C483+C484+C485+C486</f>
        <v>3143488.9312889436</v>
      </c>
      <c r="D487" s="64">
        <f t="shared" si="475"/>
        <v>3143488.9312889436</v>
      </c>
      <c r="E487" s="64">
        <f t="shared" si="475"/>
        <v>3143488.9312889436</v>
      </c>
      <c r="F487" s="64">
        <f t="shared" si="475"/>
        <v>3143488.9312889436</v>
      </c>
      <c r="G487" s="64">
        <f t="shared" si="475"/>
        <v>3143488.9312889436</v>
      </c>
      <c r="H487" s="64">
        <f t="shared" si="475"/>
        <v>3143488.9312889436</v>
      </c>
      <c r="I487" s="64">
        <f t="shared" si="475"/>
        <v>3143488.9312889436</v>
      </c>
      <c r="J487" s="64">
        <f t="shared" si="475"/>
        <v>3153834.7118543652</v>
      </c>
      <c r="K487" s="64">
        <f t="shared" si="475"/>
        <v>3164180.4924197872</v>
      </c>
      <c r="L487" s="64">
        <f t="shared" si="475"/>
        <v>3174526.2729852092</v>
      </c>
      <c r="M487" s="64">
        <f t="shared" si="475"/>
        <v>3184872.0535506308</v>
      </c>
      <c r="N487" s="64">
        <f t="shared" si="475"/>
        <v>3195217.8341160528</v>
      </c>
      <c r="O487" s="64">
        <f t="shared" si="475"/>
        <v>3189574.6810803679</v>
      </c>
      <c r="P487" s="64">
        <f t="shared" si="475"/>
        <v>3183931.5280446834</v>
      </c>
      <c r="Q487" s="64">
        <f t="shared" si="475"/>
        <v>3178288.3750089984</v>
      </c>
      <c r="R487" s="64">
        <f t="shared" si="475"/>
        <v>3172645.221973314</v>
      </c>
      <c r="S487" s="64">
        <f t="shared" si="475"/>
        <v>3167002.0689376295</v>
      </c>
      <c r="T487" s="64">
        <f t="shared" si="475"/>
        <v>3161358.915901945</v>
      </c>
      <c r="U487" s="64">
        <f t="shared" si="475"/>
        <v>3155715.76286626</v>
      </c>
      <c r="V487" s="64">
        <f t="shared" si="475"/>
        <v>3150072.6098305755</v>
      </c>
      <c r="W487" s="64">
        <f t="shared" si="475"/>
        <v>3144429.456794891</v>
      </c>
      <c r="X487" s="64">
        <f t="shared" si="475"/>
        <v>3138786.3037592061</v>
      </c>
      <c r="Y487" s="64">
        <f t="shared" si="475"/>
        <v>3133143.1507235216</v>
      </c>
      <c r="Z487" s="64">
        <f t="shared" si="475"/>
        <v>3127499.9976878371</v>
      </c>
      <c r="AA487" s="64">
        <f t="shared" si="475"/>
        <v>3121856.8446521522</v>
      </c>
      <c r="AB487" s="64">
        <f t="shared" si="475"/>
        <v>3116213.6916164677</v>
      </c>
      <c r="AC487" s="64">
        <f t="shared" si="475"/>
        <v>3110570.5385807832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6">A478</f>
        <v>Capex vehicle</v>
      </c>
      <c r="B490" s="65">
        <f>((1+B463)^B470)*B463/(((1+B463)^B470)-1)*(B459)/B475</f>
        <v>2.4421444531330927</v>
      </c>
      <c r="C490" s="65">
        <f t="shared" ref="C490:AC490" si="477">((1+C463)^C470)*C463/(((1+C463)^C470)-1)*(C459)/C475</f>
        <v>2.4421444531330927</v>
      </c>
      <c r="D490" s="65">
        <f t="shared" si="477"/>
        <v>2.4421444531330927</v>
      </c>
      <c r="E490" s="65">
        <f t="shared" si="477"/>
        <v>2.4421444531330927</v>
      </c>
      <c r="F490" s="65">
        <f t="shared" si="477"/>
        <v>2.4421444531330927</v>
      </c>
      <c r="G490" s="65">
        <f t="shared" si="477"/>
        <v>2.4421444531330927</v>
      </c>
      <c r="H490" s="65">
        <f t="shared" si="477"/>
        <v>2.4421444531330927</v>
      </c>
      <c r="I490" s="65">
        <f t="shared" si="477"/>
        <v>2.4421444531330927</v>
      </c>
      <c r="J490" s="65">
        <f t="shared" si="477"/>
        <v>2.4421444531330927</v>
      </c>
      <c r="K490" s="65">
        <f t="shared" si="477"/>
        <v>2.4421444531330927</v>
      </c>
      <c r="L490" s="65">
        <f t="shared" si="477"/>
        <v>2.4421444531330927</v>
      </c>
      <c r="M490" s="65">
        <f t="shared" si="477"/>
        <v>2.4421444531330927</v>
      </c>
      <c r="N490" s="65">
        <f t="shared" si="477"/>
        <v>2.4421444531330927</v>
      </c>
      <c r="O490" s="65">
        <f t="shared" si="477"/>
        <v>2.4421444531330927</v>
      </c>
      <c r="P490" s="65">
        <f t="shared" si="477"/>
        <v>2.4421444531330927</v>
      </c>
      <c r="Q490" s="65">
        <f t="shared" si="477"/>
        <v>2.4421444531330927</v>
      </c>
      <c r="R490" s="65">
        <f t="shared" si="477"/>
        <v>2.4421444531330927</v>
      </c>
      <c r="S490" s="65">
        <f t="shared" si="477"/>
        <v>2.4421444531330927</v>
      </c>
      <c r="T490" s="65">
        <f t="shared" si="477"/>
        <v>2.4421444531330927</v>
      </c>
      <c r="U490" s="65">
        <f t="shared" si="477"/>
        <v>2.4421444531330927</v>
      </c>
      <c r="V490" s="65">
        <f t="shared" si="477"/>
        <v>2.4421444531330927</v>
      </c>
      <c r="W490" s="65">
        <f t="shared" si="477"/>
        <v>2.4421444531330927</v>
      </c>
      <c r="X490" s="65">
        <f t="shared" si="477"/>
        <v>2.4421444531330927</v>
      </c>
      <c r="Y490" s="65">
        <f t="shared" si="477"/>
        <v>2.4421444531330927</v>
      </c>
      <c r="Z490" s="65">
        <f t="shared" si="477"/>
        <v>2.4421444531330927</v>
      </c>
      <c r="AA490" s="65">
        <f t="shared" si="477"/>
        <v>2.4421444531330927</v>
      </c>
      <c r="AB490" s="65">
        <f t="shared" si="477"/>
        <v>2.4421444531330927</v>
      </c>
      <c r="AC490" s="65">
        <f t="shared" si="477"/>
        <v>2.4421444531330927</v>
      </c>
    </row>
    <row r="491" spans="1:29" x14ac:dyDescent="0.25">
      <c r="A491" s="30" t="str">
        <f t="shared" si="476"/>
        <v>Residual value (vehicle)</v>
      </c>
      <c r="B491" s="66">
        <f>((1+B463)^B470)*B463/(((1+B463)^B470)-1)*(B460)/B475</f>
        <v>-0.3663216679699639</v>
      </c>
      <c r="C491" s="66">
        <f t="shared" ref="C491:AC491" si="478">((1+C463)^C470)*C463/(((1+C463)^C470)-1)*(C460)/C475</f>
        <v>-0.3663216679699639</v>
      </c>
      <c r="D491" s="66">
        <f t="shared" si="478"/>
        <v>-0.3663216679699639</v>
      </c>
      <c r="E491" s="66">
        <f t="shared" si="478"/>
        <v>-0.3663216679699639</v>
      </c>
      <c r="F491" s="66">
        <f t="shared" si="478"/>
        <v>-0.3663216679699639</v>
      </c>
      <c r="G491" s="66">
        <f t="shared" si="478"/>
        <v>-0.3663216679699639</v>
      </c>
      <c r="H491" s="66">
        <f t="shared" si="478"/>
        <v>-0.3663216679699639</v>
      </c>
      <c r="I491" s="66">
        <f t="shared" si="478"/>
        <v>-0.3663216679699639</v>
      </c>
      <c r="J491" s="66">
        <f t="shared" si="478"/>
        <v>-0.3663216679699639</v>
      </c>
      <c r="K491" s="66">
        <f t="shared" si="478"/>
        <v>-0.3663216679699639</v>
      </c>
      <c r="L491" s="66">
        <f t="shared" si="478"/>
        <v>-0.3663216679699639</v>
      </c>
      <c r="M491" s="66">
        <f t="shared" si="478"/>
        <v>-0.3663216679699639</v>
      </c>
      <c r="N491" s="66">
        <f t="shared" si="478"/>
        <v>-0.3663216679699639</v>
      </c>
      <c r="O491" s="66">
        <f t="shared" si="478"/>
        <v>-0.3663216679699639</v>
      </c>
      <c r="P491" s="66">
        <f t="shared" si="478"/>
        <v>-0.3663216679699639</v>
      </c>
      <c r="Q491" s="66">
        <f t="shared" si="478"/>
        <v>-0.3663216679699639</v>
      </c>
      <c r="R491" s="66">
        <f t="shared" si="478"/>
        <v>-0.3663216679699639</v>
      </c>
      <c r="S491" s="66">
        <f t="shared" si="478"/>
        <v>-0.3663216679699639</v>
      </c>
      <c r="T491" s="66">
        <f t="shared" si="478"/>
        <v>-0.3663216679699639</v>
      </c>
      <c r="U491" s="66">
        <f t="shared" si="478"/>
        <v>-0.3663216679699639</v>
      </c>
      <c r="V491" s="66">
        <f t="shared" si="478"/>
        <v>-0.3663216679699639</v>
      </c>
      <c r="W491" s="66">
        <f t="shared" si="478"/>
        <v>-0.3663216679699639</v>
      </c>
      <c r="X491" s="66">
        <f t="shared" si="478"/>
        <v>-0.3663216679699639</v>
      </c>
      <c r="Y491" s="66">
        <f t="shared" si="478"/>
        <v>-0.3663216679699639</v>
      </c>
      <c r="Z491" s="66">
        <f t="shared" si="478"/>
        <v>-0.3663216679699639</v>
      </c>
      <c r="AA491" s="66">
        <f t="shared" si="478"/>
        <v>-0.3663216679699639</v>
      </c>
      <c r="AB491" s="66">
        <f t="shared" si="478"/>
        <v>-0.3663216679699639</v>
      </c>
      <c r="AC491" s="66">
        <f t="shared" si="478"/>
        <v>-0.3663216679699639</v>
      </c>
    </row>
    <row r="492" spans="1:29" x14ac:dyDescent="0.25">
      <c r="A492" s="30" t="str">
        <f t="shared" si="476"/>
        <v>Capex costumization</v>
      </c>
      <c r="B492" s="66">
        <f>((1+B463)^B471)*B463/(((1+B463)^B471)-1)*(B461)/B475</f>
        <v>1.4244884605891606</v>
      </c>
      <c r="C492" s="66">
        <f t="shared" ref="C492:AC492" si="479">((1+C463)^C471)*C463/(((1+C463)^C471)-1)*(C461)/C475</f>
        <v>1.4244884605891606</v>
      </c>
      <c r="D492" s="66">
        <f t="shared" si="479"/>
        <v>1.4244884605891606</v>
      </c>
      <c r="E492" s="66">
        <f t="shared" si="479"/>
        <v>1.4244884605891606</v>
      </c>
      <c r="F492" s="66">
        <f t="shared" si="479"/>
        <v>1.4244884605891606</v>
      </c>
      <c r="G492" s="66">
        <f t="shared" si="479"/>
        <v>1.4244884605891606</v>
      </c>
      <c r="H492" s="66">
        <f t="shared" si="479"/>
        <v>1.4244884605891606</v>
      </c>
      <c r="I492" s="66">
        <f t="shared" si="479"/>
        <v>1.4244884605891606</v>
      </c>
      <c r="J492" s="66">
        <f t="shared" si="479"/>
        <v>1.4244884605891606</v>
      </c>
      <c r="K492" s="66">
        <f t="shared" si="479"/>
        <v>1.4244884605891606</v>
      </c>
      <c r="L492" s="66">
        <f t="shared" si="479"/>
        <v>1.4244884605891606</v>
      </c>
      <c r="M492" s="66">
        <f t="shared" si="479"/>
        <v>1.4244884605891606</v>
      </c>
      <c r="N492" s="66">
        <f t="shared" si="479"/>
        <v>1.4244884605891606</v>
      </c>
      <c r="O492" s="66">
        <f t="shared" si="479"/>
        <v>1.4244884605891606</v>
      </c>
      <c r="P492" s="66">
        <f t="shared" si="479"/>
        <v>1.4244884605891606</v>
      </c>
      <c r="Q492" s="66">
        <f t="shared" si="479"/>
        <v>1.4244884605891606</v>
      </c>
      <c r="R492" s="66">
        <f t="shared" si="479"/>
        <v>1.4244884605891606</v>
      </c>
      <c r="S492" s="66">
        <f t="shared" si="479"/>
        <v>1.4244884605891606</v>
      </c>
      <c r="T492" s="66">
        <f t="shared" si="479"/>
        <v>1.4244884605891606</v>
      </c>
      <c r="U492" s="66">
        <f t="shared" si="479"/>
        <v>1.4244884605891606</v>
      </c>
      <c r="V492" s="66">
        <f t="shared" si="479"/>
        <v>1.4244884605891606</v>
      </c>
      <c r="W492" s="66">
        <f t="shared" si="479"/>
        <v>1.4244884605891606</v>
      </c>
      <c r="X492" s="66">
        <f t="shared" si="479"/>
        <v>1.4244884605891606</v>
      </c>
      <c r="Y492" s="66">
        <f t="shared" si="479"/>
        <v>1.4244884605891606</v>
      </c>
      <c r="Z492" s="66">
        <f t="shared" si="479"/>
        <v>1.4244884605891606</v>
      </c>
      <c r="AA492" s="66">
        <f t="shared" si="479"/>
        <v>1.4244884605891606</v>
      </c>
      <c r="AB492" s="66">
        <f t="shared" si="479"/>
        <v>1.4244884605891606</v>
      </c>
      <c r="AC492" s="66">
        <f t="shared" si="479"/>
        <v>1.4244884605891606</v>
      </c>
    </row>
    <row r="493" spans="1:29" x14ac:dyDescent="0.25">
      <c r="A493" s="30" t="str">
        <f t="shared" si="476"/>
        <v>Residual value (costumization)</v>
      </c>
      <c r="B493" s="66">
        <f>((1+B463)^B471)*B463/(((1+B463)^B471)-1)*(B462)/B475</f>
        <v>-7.1224423029458042E-2</v>
      </c>
      <c r="C493" s="66">
        <f t="shared" ref="C493:AC493" si="480">((1+C463)^C471)*C463/(((1+C463)^C471)-1)*(C462)/C475</f>
        <v>-7.1224423029458042E-2</v>
      </c>
      <c r="D493" s="66">
        <f t="shared" si="480"/>
        <v>-7.1224423029458042E-2</v>
      </c>
      <c r="E493" s="66">
        <f t="shared" si="480"/>
        <v>-7.1224423029458042E-2</v>
      </c>
      <c r="F493" s="66">
        <f t="shared" si="480"/>
        <v>-7.1224423029458042E-2</v>
      </c>
      <c r="G493" s="66">
        <f t="shared" si="480"/>
        <v>-7.1224423029458042E-2</v>
      </c>
      <c r="H493" s="66">
        <f t="shared" si="480"/>
        <v>-7.1224423029458042E-2</v>
      </c>
      <c r="I493" s="66">
        <f t="shared" si="480"/>
        <v>-7.1224423029458042E-2</v>
      </c>
      <c r="J493" s="66">
        <f t="shared" si="480"/>
        <v>-7.1224423029458042E-2</v>
      </c>
      <c r="K493" s="66">
        <f t="shared" si="480"/>
        <v>-7.1224423029458042E-2</v>
      </c>
      <c r="L493" s="66">
        <f t="shared" si="480"/>
        <v>-7.1224423029458042E-2</v>
      </c>
      <c r="M493" s="66">
        <f t="shared" si="480"/>
        <v>-7.1224423029458042E-2</v>
      </c>
      <c r="N493" s="66">
        <f t="shared" si="480"/>
        <v>-7.1224423029458042E-2</v>
      </c>
      <c r="O493" s="66">
        <f t="shared" si="480"/>
        <v>-7.1224423029458042E-2</v>
      </c>
      <c r="P493" s="66">
        <f t="shared" si="480"/>
        <v>-7.1224423029458042E-2</v>
      </c>
      <c r="Q493" s="66">
        <f t="shared" si="480"/>
        <v>-7.1224423029458042E-2</v>
      </c>
      <c r="R493" s="66">
        <f t="shared" si="480"/>
        <v>-7.1224423029458042E-2</v>
      </c>
      <c r="S493" s="66">
        <f t="shared" si="480"/>
        <v>-7.1224423029458042E-2</v>
      </c>
      <c r="T493" s="66">
        <f t="shared" si="480"/>
        <v>-7.1224423029458042E-2</v>
      </c>
      <c r="U493" s="66">
        <f t="shared" si="480"/>
        <v>-7.1224423029458042E-2</v>
      </c>
      <c r="V493" s="66">
        <f t="shared" si="480"/>
        <v>-7.1224423029458042E-2</v>
      </c>
      <c r="W493" s="66">
        <f t="shared" si="480"/>
        <v>-7.1224423029458042E-2</v>
      </c>
      <c r="X493" s="66">
        <f t="shared" si="480"/>
        <v>-7.1224423029458042E-2</v>
      </c>
      <c r="Y493" s="66">
        <f t="shared" si="480"/>
        <v>-7.1224423029458042E-2</v>
      </c>
      <c r="Z493" s="66">
        <f t="shared" si="480"/>
        <v>-7.1224423029458042E-2</v>
      </c>
      <c r="AA493" s="66">
        <f t="shared" si="480"/>
        <v>-7.1224423029458042E-2</v>
      </c>
      <c r="AB493" s="66">
        <f t="shared" si="480"/>
        <v>-7.1224423029458042E-2</v>
      </c>
      <c r="AC493" s="66">
        <f t="shared" si="480"/>
        <v>-7.1224423029458042E-2</v>
      </c>
    </row>
    <row r="494" spans="1:29" x14ac:dyDescent="0.25">
      <c r="A494" s="30" t="str">
        <f t="shared" si="476"/>
        <v>Opex fix (admin, crew, insurance)</v>
      </c>
      <c r="B494" s="66">
        <f>B464/B475</f>
        <v>3.6414565826330532</v>
      </c>
      <c r="C494" s="66">
        <f t="shared" ref="C494:AC494" si="481">C464/C475</f>
        <v>3.6414565826330532</v>
      </c>
      <c r="D494" s="66">
        <f t="shared" si="481"/>
        <v>3.6414565826330532</v>
      </c>
      <c r="E494" s="66">
        <f t="shared" si="481"/>
        <v>3.6414565826330532</v>
      </c>
      <c r="F494" s="66">
        <f t="shared" si="481"/>
        <v>3.6414565826330532</v>
      </c>
      <c r="G494" s="66">
        <f t="shared" si="481"/>
        <v>3.6414565826330532</v>
      </c>
      <c r="H494" s="66">
        <f t="shared" si="481"/>
        <v>3.6414565826330532</v>
      </c>
      <c r="I494" s="66">
        <f t="shared" si="481"/>
        <v>3.6414565826330532</v>
      </c>
      <c r="J494" s="66">
        <f t="shared" si="481"/>
        <v>3.6414565826330532</v>
      </c>
      <c r="K494" s="66">
        <f t="shared" si="481"/>
        <v>3.6414565826330532</v>
      </c>
      <c r="L494" s="66">
        <f t="shared" si="481"/>
        <v>3.6414565826330532</v>
      </c>
      <c r="M494" s="66">
        <f t="shared" si="481"/>
        <v>3.6414565826330532</v>
      </c>
      <c r="N494" s="66">
        <f t="shared" si="481"/>
        <v>3.6414565826330532</v>
      </c>
      <c r="O494" s="66">
        <f t="shared" si="481"/>
        <v>3.6414565826330532</v>
      </c>
      <c r="P494" s="66">
        <f t="shared" si="481"/>
        <v>3.6414565826330532</v>
      </c>
      <c r="Q494" s="66">
        <f t="shared" si="481"/>
        <v>3.6414565826330532</v>
      </c>
      <c r="R494" s="66">
        <f t="shared" si="481"/>
        <v>3.6414565826330532</v>
      </c>
      <c r="S494" s="66">
        <f t="shared" si="481"/>
        <v>3.6414565826330532</v>
      </c>
      <c r="T494" s="66">
        <f t="shared" si="481"/>
        <v>3.6414565826330532</v>
      </c>
      <c r="U494" s="66">
        <f t="shared" si="481"/>
        <v>3.6414565826330532</v>
      </c>
      <c r="V494" s="66">
        <f t="shared" si="481"/>
        <v>3.6414565826330532</v>
      </c>
      <c r="W494" s="66">
        <f t="shared" si="481"/>
        <v>3.6414565826330532</v>
      </c>
      <c r="X494" s="66">
        <f t="shared" si="481"/>
        <v>3.6414565826330532</v>
      </c>
      <c r="Y494" s="66">
        <f t="shared" si="481"/>
        <v>3.6414565826330532</v>
      </c>
      <c r="Z494" s="66">
        <f t="shared" si="481"/>
        <v>3.6414565826330532</v>
      </c>
      <c r="AA494" s="66">
        <f t="shared" si="481"/>
        <v>3.6414565826330532</v>
      </c>
      <c r="AB494" s="66">
        <f t="shared" si="481"/>
        <v>3.6414565826330532</v>
      </c>
      <c r="AC494" s="66">
        <f t="shared" si="481"/>
        <v>3.6414565826330532</v>
      </c>
    </row>
    <row r="495" spans="1:29" x14ac:dyDescent="0.25">
      <c r="A495" s="30" t="str">
        <f t="shared" si="476"/>
        <v>Opex maintenance &amp; repair</v>
      </c>
      <c r="B495" s="66">
        <f>B465/B475</f>
        <v>3.6414565826330532</v>
      </c>
      <c r="C495" s="66">
        <f t="shared" ref="C495:AC495" si="482">C465/C475</f>
        <v>3.6414565826330532</v>
      </c>
      <c r="D495" s="66">
        <f t="shared" si="482"/>
        <v>3.6414565826330532</v>
      </c>
      <c r="E495" s="66">
        <f t="shared" si="482"/>
        <v>3.6414565826330532</v>
      </c>
      <c r="F495" s="66">
        <f t="shared" si="482"/>
        <v>3.6414565826330532</v>
      </c>
      <c r="G495" s="66">
        <f t="shared" si="482"/>
        <v>3.6414565826330532</v>
      </c>
      <c r="H495" s="66">
        <f t="shared" si="482"/>
        <v>3.6414565826330532</v>
      </c>
      <c r="I495" s="66">
        <f t="shared" si="482"/>
        <v>3.6414565826330532</v>
      </c>
      <c r="J495" s="66">
        <f t="shared" si="482"/>
        <v>3.6414565826330532</v>
      </c>
      <c r="K495" s="66">
        <f t="shared" si="482"/>
        <v>3.6414565826330532</v>
      </c>
      <c r="L495" s="66">
        <f t="shared" si="482"/>
        <v>3.6414565826330532</v>
      </c>
      <c r="M495" s="66">
        <f t="shared" si="482"/>
        <v>3.6414565826330532</v>
      </c>
      <c r="N495" s="66">
        <f t="shared" si="482"/>
        <v>3.6414565826330532</v>
      </c>
      <c r="O495" s="66">
        <f t="shared" si="482"/>
        <v>3.6414565826330532</v>
      </c>
      <c r="P495" s="66">
        <f t="shared" si="482"/>
        <v>3.6414565826330532</v>
      </c>
      <c r="Q495" s="66">
        <f t="shared" si="482"/>
        <v>3.6414565826330532</v>
      </c>
      <c r="R495" s="66">
        <f t="shared" si="482"/>
        <v>3.6414565826330532</v>
      </c>
      <c r="S495" s="66">
        <f t="shared" si="482"/>
        <v>3.6414565826330532</v>
      </c>
      <c r="T495" s="66">
        <f t="shared" si="482"/>
        <v>3.6414565826330532</v>
      </c>
      <c r="U495" s="66">
        <f t="shared" si="482"/>
        <v>3.6414565826330532</v>
      </c>
      <c r="V495" s="66">
        <f t="shared" si="482"/>
        <v>3.6414565826330532</v>
      </c>
      <c r="W495" s="66">
        <f t="shared" si="482"/>
        <v>3.6414565826330532</v>
      </c>
      <c r="X495" s="66">
        <f t="shared" si="482"/>
        <v>3.6414565826330532</v>
      </c>
      <c r="Y495" s="66">
        <f t="shared" si="482"/>
        <v>3.6414565826330532</v>
      </c>
      <c r="Z495" s="66">
        <f t="shared" si="482"/>
        <v>3.6414565826330532</v>
      </c>
      <c r="AA495" s="66">
        <f t="shared" si="482"/>
        <v>3.6414565826330532</v>
      </c>
      <c r="AB495" s="66">
        <f t="shared" si="482"/>
        <v>3.6414565826330532</v>
      </c>
      <c r="AC495" s="66">
        <f t="shared" si="482"/>
        <v>3.6414565826330532</v>
      </c>
    </row>
    <row r="496" spans="1:29" x14ac:dyDescent="0.25">
      <c r="A496" s="30" t="str">
        <f t="shared" si="476"/>
        <v>Opex var (mode-fees, shunting)</v>
      </c>
      <c r="B496" s="66">
        <f>B466*B475/B475</f>
        <v>3.9215686274509802</v>
      </c>
      <c r="C496" s="66">
        <f t="shared" ref="C496:AC496" si="483">C466*C475/C475</f>
        <v>3.9215686274509802</v>
      </c>
      <c r="D496" s="66">
        <f t="shared" si="483"/>
        <v>3.9215686274509802</v>
      </c>
      <c r="E496" s="66">
        <f t="shared" si="483"/>
        <v>3.9215686274509802</v>
      </c>
      <c r="F496" s="66">
        <f t="shared" si="483"/>
        <v>3.9215686274509802</v>
      </c>
      <c r="G496" s="66">
        <f t="shared" si="483"/>
        <v>3.9215686274509802</v>
      </c>
      <c r="H496" s="66">
        <f t="shared" si="483"/>
        <v>3.9215686274509802</v>
      </c>
      <c r="I496" s="66">
        <f t="shared" si="483"/>
        <v>3.9215686274509802</v>
      </c>
      <c r="J496" s="66">
        <f t="shared" si="483"/>
        <v>3.9215686274509802</v>
      </c>
      <c r="K496" s="66">
        <f t="shared" si="483"/>
        <v>3.9215686274509802</v>
      </c>
      <c r="L496" s="66">
        <f t="shared" si="483"/>
        <v>3.9215686274509802</v>
      </c>
      <c r="M496" s="66">
        <f t="shared" si="483"/>
        <v>3.9215686274509802</v>
      </c>
      <c r="N496" s="66">
        <f t="shared" si="483"/>
        <v>3.9215686274509802</v>
      </c>
      <c r="O496" s="66">
        <f t="shared" si="483"/>
        <v>3.9215686274509802</v>
      </c>
      <c r="P496" s="66">
        <f t="shared" si="483"/>
        <v>3.9215686274509802</v>
      </c>
      <c r="Q496" s="66">
        <f t="shared" si="483"/>
        <v>3.9215686274509802</v>
      </c>
      <c r="R496" s="66">
        <f t="shared" si="483"/>
        <v>3.9215686274509802</v>
      </c>
      <c r="S496" s="66">
        <f t="shared" si="483"/>
        <v>3.9215686274509802</v>
      </c>
      <c r="T496" s="66">
        <f t="shared" si="483"/>
        <v>3.9215686274509802</v>
      </c>
      <c r="U496" s="66">
        <f t="shared" si="483"/>
        <v>3.9215686274509802</v>
      </c>
      <c r="V496" s="66">
        <f t="shared" si="483"/>
        <v>3.9215686274509802</v>
      </c>
      <c r="W496" s="66">
        <f t="shared" si="483"/>
        <v>3.9215686274509802</v>
      </c>
      <c r="X496" s="66">
        <f t="shared" si="483"/>
        <v>3.9215686274509802</v>
      </c>
      <c r="Y496" s="66">
        <f t="shared" si="483"/>
        <v>3.9215686274509802</v>
      </c>
      <c r="Z496" s="66">
        <f t="shared" si="483"/>
        <v>3.9215686274509802</v>
      </c>
      <c r="AA496" s="66">
        <f t="shared" si="483"/>
        <v>3.9215686274509802</v>
      </c>
      <c r="AB496" s="66">
        <f t="shared" si="483"/>
        <v>3.9215686274509802</v>
      </c>
      <c r="AC496" s="66">
        <f t="shared" si="483"/>
        <v>3.9215686274509802</v>
      </c>
    </row>
    <row r="497" spans="1:29" x14ac:dyDescent="0.25">
      <c r="A497" s="30" t="str">
        <f t="shared" si="476"/>
        <v>Fuel Cost</v>
      </c>
      <c r="B497" s="66">
        <f>B467*B468*B475/B475</f>
        <v>2.9770136326774113</v>
      </c>
      <c r="C497" s="66">
        <f t="shared" ref="C497:AC497" si="484">C467*C468*C475/C475</f>
        <v>2.9770136326774113</v>
      </c>
      <c r="D497" s="66">
        <f t="shared" si="484"/>
        <v>2.9770136326774113</v>
      </c>
      <c r="E497" s="66">
        <f t="shared" si="484"/>
        <v>2.9770136326774113</v>
      </c>
      <c r="F497" s="66">
        <f t="shared" si="484"/>
        <v>2.9770136326774113</v>
      </c>
      <c r="G497" s="66">
        <f t="shared" si="484"/>
        <v>2.9770136326774113</v>
      </c>
      <c r="H497" s="66">
        <f t="shared" si="484"/>
        <v>2.9770136326774113</v>
      </c>
      <c r="I497" s="66">
        <f t="shared" si="484"/>
        <v>2.9770136326774113</v>
      </c>
      <c r="J497" s="66">
        <f t="shared" si="484"/>
        <v>3.0349731876657686</v>
      </c>
      <c r="K497" s="66">
        <f t="shared" si="484"/>
        <v>3.0929327426541269</v>
      </c>
      <c r="L497" s="66">
        <f t="shared" si="484"/>
        <v>3.1508922976424847</v>
      </c>
      <c r="M497" s="66">
        <f t="shared" si="484"/>
        <v>3.208851852630842</v>
      </c>
      <c r="N497" s="66">
        <f t="shared" si="484"/>
        <v>3.2668114076191999</v>
      </c>
      <c r="O497" s="66">
        <f t="shared" si="484"/>
        <v>3.2351971048982766</v>
      </c>
      <c r="P497" s="66">
        <f t="shared" si="484"/>
        <v>3.2035828021773547</v>
      </c>
      <c r="Q497" s="66">
        <f t="shared" si="484"/>
        <v>3.1719684994564319</v>
      </c>
      <c r="R497" s="66">
        <f t="shared" si="484"/>
        <v>3.1403541967355095</v>
      </c>
      <c r="S497" s="66">
        <f t="shared" si="484"/>
        <v>3.1087398940145876</v>
      </c>
      <c r="T497" s="66">
        <f t="shared" si="484"/>
        <v>3.0771255912936653</v>
      </c>
      <c r="U497" s="66">
        <f t="shared" si="484"/>
        <v>3.0455112885727424</v>
      </c>
      <c r="V497" s="66">
        <f t="shared" si="484"/>
        <v>3.0138969858518196</v>
      </c>
      <c r="W497" s="66">
        <f t="shared" si="484"/>
        <v>2.9822826831308982</v>
      </c>
      <c r="X497" s="66">
        <f t="shared" si="484"/>
        <v>2.9506683804099763</v>
      </c>
      <c r="Y497" s="66">
        <f t="shared" si="484"/>
        <v>2.9190540776890539</v>
      </c>
      <c r="Z497" s="66">
        <f t="shared" si="484"/>
        <v>2.8874397749681311</v>
      </c>
      <c r="AA497" s="66">
        <f t="shared" si="484"/>
        <v>2.8558254722472087</v>
      </c>
      <c r="AB497" s="66">
        <f t="shared" si="484"/>
        <v>2.8242111695262859</v>
      </c>
      <c r="AC497" s="66">
        <f t="shared" si="484"/>
        <v>2.7925968668053649</v>
      </c>
    </row>
    <row r="498" spans="1:29" ht="15.75" thickBot="1" x14ac:dyDescent="0.3">
      <c r="A498" s="59" t="str">
        <f t="shared" ref="A498" si="485">A486</f>
        <v>Emission Cost</v>
      </c>
      <c r="B498" s="66">
        <f>B469</f>
        <v>0</v>
      </c>
      <c r="C498" s="66">
        <f t="shared" ref="C498:AC498" si="486">C469</f>
        <v>0</v>
      </c>
      <c r="D498" s="66">
        <f t="shared" si="486"/>
        <v>0</v>
      </c>
      <c r="E498" s="66">
        <f t="shared" si="486"/>
        <v>0</v>
      </c>
      <c r="F498" s="66">
        <f t="shared" si="486"/>
        <v>0</v>
      </c>
      <c r="G498" s="66">
        <f t="shared" si="486"/>
        <v>0</v>
      </c>
      <c r="H498" s="66">
        <f t="shared" si="486"/>
        <v>0</v>
      </c>
      <c r="I498" s="66">
        <f t="shared" si="486"/>
        <v>0</v>
      </c>
      <c r="J498" s="66">
        <f t="shared" si="486"/>
        <v>0</v>
      </c>
      <c r="K498" s="66">
        <f t="shared" si="486"/>
        <v>0</v>
      </c>
      <c r="L498" s="66">
        <f t="shared" si="486"/>
        <v>0</v>
      </c>
      <c r="M498" s="66">
        <f t="shared" si="486"/>
        <v>0</v>
      </c>
      <c r="N498" s="66">
        <f t="shared" si="486"/>
        <v>0</v>
      </c>
      <c r="O498" s="66">
        <f t="shared" si="486"/>
        <v>0</v>
      </c>
      <c r="P498" s="66">
        <f t="shared" si="486"/>
        <v>0</v>
      </c>
      <c r="Q498" s="66">
        <f t="shared" si="486"/>
        <v>0</v>
      </c>
      <c r="R498" s="66">
        <f t="shared" si="486"/>
        <v>0</v>
      </c>
      <c r="S498" s="66">
        <f t="shared" si="486"/>
        <v>0</v>
      </c>
      <c r="T498" s="66">
        <f t="shared" si="486"/>
        <v>0</v>
      </c>
      <c r="U498" s="66">
        <f t="shared" si="486"/>
        <v>0</v>
      </c>
      <c r="V498" s="66">
        <f t="shared" si="486"/>
        <v>0</v>
      </c>
      <c r="W498" s="66">
        <f t="shared" si="486"/>
        <v>0</v>
      </c>
      <c r="X498" s="66">
        <f t="shared" si="486"/>
        <v>0</v>
      </c>
      <c r="Y498" s="66">
        <f t="shared" si="486"/>
        <v>0</v>
      </c>
      <c r="Z498" s="66">
        <f t="shared" si="486"/>
        <v>0</v>
      </c>
      <c r="AA498" s="66">
        <f t="shared" si="486"/>
        <v>0</v>
      </c>
      <c r="AB498" s="66">
        <f t="shared" si="486"/>
        <v>0</v>
      </c>
      <c r="AC498" s="66">
        <f t="shared" si="486"/>
        <v>0</v>
      </c>
    </row>
    <row r="499" spans="1:29" ht="15.75" thickBot="1" x14ac:dyDescent="0.3">
      <c r="A499" s="31" t="s">
        <v>63</v>
      </c>
      <c r="B499" s="76">
        <f>B490+B491+B492-B493+B494+B495+B496+B497+B498</f>
        <v>17.753031094176247</v>
      </c>
      <c r="C499" s="76">
        <f t="shared" ref="C499:AC499" si="487">C490+C491+C492-C493+C494+C495+C496+C497+C498</f>
        <v>17.753031094176247</v>
      </c>
      <c r="D499" s="76">
        <f t="shared" si="487"/>
        <v>17.753031094176247</v>
      </c>
      <c r="E499" s="76">
        <f t="shared" si="487"/>
        <v>17.753031094176247</v>
      </c>
      <c r="F499" s="76">
        <f t="shared" si="487"/>
        <v>17.753031094176247</v>
      </c>
      <c r="G499" s="76">
        <f t="shared" si="487"/>
        <v>17.753031094176247</v>
      </c>
      <c r="H499" s="76">
        <f t="shared" si="487"/>
        <v>17.753031094176247</v>
      </c>
      <c r="I499" s="76">
        <f t="shared" si="487"/>
        <v>17.753031094176247</v>
      </c>
      <c r="J499" s="76">
        <f t="shared" si="487"/>
        <v>17.810990649164605</v>
      </c>
      <c r="K499" s="76">
        <f t="shared" si="487"/>
        <v>17.868950204152963</v>
      </c>
      <c r="L499" s="76">
        <f t="shared" si="487"/>
        <v>17.926909759141321</v>
      </c>
      <c r="M499" s="76">
        <f t="shared" si="487"/>
        <v>17.984869314129678</v>
      </c>
      <c r="N499" s="76">
        <f t="shared" si="487"/>
        <v>18.042828869118036</v>
      </c>
      <c r="O499" s="76">
        <f t="shared" si="487"/>
        <v>18.011214566397111</v>
      </c>
      <c r="P499" s="76">
        <f t="shared" si="487"/>
        <v>17.97960026367619</v>
      </c>
      <c r="Q499" s="76">
        <f t="shared" si="487"/>
        <v>17.947985960955268</v>
      </c>
      <c r="R499" s="76">
        <f t="shared" si="487"/>
        <v>17.916371658234343</v>
      </c>
      <c r="S499" s="76">
        <f t="shared" si="487"/>
        <v>17.884757355513422</v>
      </c>
      <c r="T499" s="76">
        <f t="shared" si="487"/>
        <v>17.8531430527925</v>
      </c>
      <c r="U499" s="76">
        <f t="shared" si="487"/>
        <v>17.821528750071579</v>
      </c>
      <c r="V499" s="76">
        <f t="shared" si="487"/>
        <v>17.789914447350654</v>
      </c>
      <c r="W499" s="76">
        <f t="shared" si="487"/>
        <v>17.758300144629732</v>
      </c>
      <c r="X499" s="76">
        <f t="shared" si="487"/>
        <v>17.726685841908811</v>
      </c>
      <c r="Y499" s="76">
        <f t="shared" si="487"/>
        <v>17.695071539187889</v>
      </c>
      <c r="Z499" s="76">
        <f t="shared" si="487"/>
        <v>17.663457236466968</v>
      </c>
      <c r="AA499" s="76">
        <f t="shared" si="487"/>
        <v>17.631842933746043</v>
      </c>
      <c r="AB499" s="76">
        <f t="shared" si="487"/>
        <v>17.600228631025121</v>
      </c>
      <c r="AC499" s="76">
        <f t="shared" si="487"/>
        <v>17.5686143283042</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8">A478</f>
        <v>Capex vehicle</v>
      </c>
      <c r="B502" s="65">
        <f>((1+B463)^B470)*B463/(((1+B463)^B470)-1)*(B459)/B475/(B472)</f>
        <v>8.7219444754753307E-4</v>
      </c>
      <c r="C502" s="65">
        <f t="shared" ref="C502:AC502" si="489">((1+C463)^C470)*C463/(((1+C463)^C470)-1)*(C459)/C475/(C472)</f>
        <v>8.7219444754753307E-4</v>
      </c>
      <c r="D502" s="65">
        <f t="shared" si="489"/>
        <v>8.7219444754753307E-4</v>
      </c>
      <c r="E502" s="65">
        <f t="shared" si="489"/>
        <v>8.7219444754753307E-4</v>
      </c>
      <c r="F502" s="65">
        <f t="shared" si="489"/>
        <v>8.7219444754753307E-4</v>
      </c>
      <c r="G502" s="65">
        <f t="shared" si="489"/>
        <v>8.7219444754753307E-4</v>
      </c>
      <c r="H502" s="65">
        <f t="shared" si="489"/>
        <v>8.7219444754753307E-4</v>
      </c>
      <c r="I502" s="65">
        <f t="shared" si="489"/>
        <v>8.7219444754753307E-4</v>
      </c>
      <c r="J502" s="65">
        <f t="shared" si="489"/>
        <v>8.7219444754753307E-4</v>
      </c>
      <c r="K502" s="65">
        <f t="shared" si="489"/>
        <v>8.7219444754753307E-4</v>
      </c>
      <c r="L502" s="65">
        <f t="shared" si="489"/>
        <v>8.7219444754753307E-4</v>
      </c>
      <c r="M502" s="65">
        <f t="shared" si="489"/>
        <v>8.7219444754753307E-4</v>
      </c>
      <c r="N502" s="65">
        <f t="shared" si="489"/>
        <v>8.7219444754753307E-4</v>
      </c>
      <c r="O502" s="65">
        <f t="shared" si="489"/>
        <v>8.7219444754753307E-4</v>
      </c>
      <c r="P502" s="65">
        <f t="shared" si="489"/>
        <v>8.7219444754753307E-4</v>
      </c>
      <c r="Q502" s="65">
        <f t="shared" si="489"/>
        <v>8.7219444754753307E-4</v>
      </c>
      <c r="R502" s="65">
        <f t="shared" si="489"/>
        <v>8.7219444754753307E-4</v>
      </c>
      <c r="S502" s="65">
        <f t="shared" si="489"/>
        <v>8.7219444754753307E-4</v>
      </c>
      <c r="T502" s="65">
        <f t="shared" si="489"/>
        <v>8.7219444754753307E-4</v>
      </c>
      <c r="U502" s="65">
        <f t="shared" si="489"/>
        <v>8.7219444754753307E-4</v>
      </c>
      <c r="V502" s="65">
        <f t="shared" si="489"/>
        <v>8.7219444754753307E-4</v>
      </c>
      <c r="W502" s="65">
        <f t="shared" si="489"/>
        <v>8.7219444754753307E-4</v>
      </c>
      <c r="X502" s="65">
        <f t="shared" si="489"/>
        <v>8.7219444754753307E-4</v>
      </c>
      <c r="Y502" s="65">
        <f t="shared" si="489"/>
        <v>8.7219444754753307E-4</v>
      </c>
      <c r="Z502" s="65">
        <f t="shared" si="489"/>
        <v>8.7219444754753307E-4</v>
      </c>
      <c r="AA502" s="65">
        <f t="shared" si="489"/>
        <v>8.7219444754753307E-4</v>
      </c>
      <c r="AB502" s="65">
        <f t="shared" si="489"/>
        <v>8.7219444754753307E-4</v>
      </c>
      <c r="AC502" s="65">
        <f t="shared" si="489"/>
        <v>8.7219444754753307E-4</v>
      </c>
    </row>
    <row r="503" spans="1:29" x14ac:dyDescent="0.25">
      <c r="A503" s="30" t="str">
        <f t="shared" si="488"/>
        <v>Residual value (vehicle)</v>
      </c>
      <c r="B503" s="68">
        <f>((1+B463)^B470)*B463/(((1+B463)^B470)-1)*(B460)/B475/(B472)</f>
        <v>-1.3082916713212997E-4</v>
      </c>
      <c r="C503" s="68">
        <f t="shared" ref="C503:AC503" si="490">((1+C463)^C470)*C463/(((1+C463)^C470)-1)*(C460)/C475/(C472)</f>
        <v>-1.3082916713212997E-4</v>
      </c>
      <c r="D503" s="68">
        <f t="shared" si="490"/>
        <v>-1.3082916713212997E-4</v>
      </c>
      <c r="E503" s="68">
        <f t="shared" si="490"/>
        <v>-1.3082916713212997E-4</v>
      </c>
      <c r="F503" s="68">
        <f t="shared" si="490"/>
        <v>-1.3082916713212997E-4</v>
      </c>
      <c r="G503" s="68">
        <f t="shared" si="490"/>
        <v>-1.3082916713212997E-4</v>
      </c>
      <c r="H503" s="68">
        <f t="shared" si="490"/>
        <v>-1.3082916713212997E-4</v>
      </c>
      <c r="I503" s="68">
        <f t="shared" si="490"/>
        <v>-1.3082916713212997E-4</v>
      </c>
      <c r="J503" s="68">
        <f t="shared" si="490"/>
        <v>-1.3082916713212997E-4</v>
      </c>
      <c r="K503" s="68">
        <f t="shared" si="490"/>
        <v>-1.3082916713212997E-4</v>
      </c>
      <c r="L503" s="68">
        <f t="shared" si="490"/>
        <v>-1.3082916713212997E-4</v>
      </c>
      <c r="M503" s="68">
        <f t="shared" si="490"/>
        <v>-1.3082916713212997E-4</v>
      </c>
      <c r="N503" s="68">
        <f t="shared" si="490"/>
        <v>-1.3082916713212997E-4</v>
      </c>
      <c r="O503" s="68">
        <f t="shared" si="490"/>
        <v>-1.3082916713212997E-4</v>
      </c>
      <c r="P503" s="68">
        <f t="shared" si="490"/>
        <v>-1.3082916713212997E-4</v>
      </c>
      <c r="Q503" s="68">
        <f t="shared" si="490"/>
        <v>-1.3082916713212997E-4</v>
      </c>
      <c r="R503" s="68">
        <f t="shared" si="490"/>
        <v>-1.3082916713212997E-4</v>
      </c>
      <c r="S503" s="68">
        <f t="shared" si="490"/>
        <v>-1.3082916713212997E-4</v>
      </c>
      <c r="T503" s="68">
        <f t="shared" si="490"/>
        <v>-1.3082916713212997E-4</v>
      </c>
      <c r="U503" s="68">
        <f t="shared" si="490"/>
        <v>-1.3082916713212997E-4</v>
      </c>
      <c r="V503" s="68">
        <f t="shared" si="490"/>
        <v>-1.3082916713212997E-4</v>
      </c>
      <c r="W503" s="68">
        <f t="shared" si="490"/>
        <v>-1.3082916713212997E-4</v>
      </c>
      <c r="X503" s="68">
        <f t="shared" si="490"/>
        <v>-1.3082916713212997E-4</v>
      </c>
      <c r="Y503" s="68">
        <f t="shared" si="490"/>
        <v>-1.3082916713212997E-4</v>
      </c>
      <c r="Z503" s="68">
        <f t="shared" si="490"/>
        <v>-1.3082916713212997E-4</v>
      </c>
      <c r="AA503" s="68">
        <f t="shared" si="490"/>
        <v>-1.3082916713212997E-4</v>
      </c>
      <c r="AB503" s="68">
        <f t="shared" si="490"/>
        <v>-1.3082916713212997E-4</v>
      </c>
      <c r="AC503" s="68">
        <f t="shared" si="490"/>
        <v>-1.3082916713212997E-4</v>
      </c>
    </row>
    <row r="504" spans="1:29" x14ac:dyDescent="0.25">
      <c r="A504" s="30" t="str">
        <f t="shared" si="488"/>
        <v>Capex costumization</v>
      </c>
      <c r="B504" s="66">
        <f>((1+B463)^B471)*B463/(((1+B463)^B471)-1)*(B461)/B475/(B472)</f>
        <v>5.0874587878184309E-4</v>
      </c>
      <c r="C504" s="66">
        <f t="shared" ref="C504:AC504" si="491">((1+C463)^C471)*C463/(((1+C463)^C471)-1)*(C461)/C475/(C472)</f>
        <v>5.0874587878184309E-4</v>
      </c>
      <c r="D504" s="66">
        <f t="shared" si="491"/>
        <v>5.0874587878184309E-4</v>
      </c>
      <c r="E504" s="66">
        <f t="shared" si="491"/>
        <v>5.0874587878184309E-4</v>
      </c>
      <c r="F504" s="66">
        <f t="shared" si="491"/>
        <v>5.0874587878184309E-4</v>
      </c>
      <c r="G504" s="66">
        <f t="shared" si="491"/>
        <v>5.0874587878184309E-4</v>
      </c>
      <c r="H504" s="66">
        <f t="shared" si="491"/>
        <v>5.0874587878184309E-4</v>
      </c>
      <c r="I504" s="66">
        <f t="shared" si="491"/>
        <v>5.0874587878184309E-4</v>
      </c>
      <c r="J504" s="66">
        <f t="shared" si="491"/>
        <v>5.0874587878184309E-4</v>
      </c>
      <c r="K504" s="66">
        <f t="shared" si="491"/>
        <v>5.0874587878184309E-4</v>
      </c>
      <c r="L504" s="66">
        <f t="shared" si="491"/>
        <v>5.0874587878184309E-4</v>
      </c>
      <c r="M504" s="66">
        <f t="shared" si="491"/>
        <v>5.0874587878184309E-4</v>
      </c>
      <c r="N504" s="66">
        <f t="shared" si="491"/>
        <v>5.0874587878184309E-4</v>
      </c>
      <c r="O504" s="66">
        <f t="shared" si="491"/>
        <v>5.0874587878184309E-4</v>
      </c>
      <c r="P504" s="66">
        <f t="shared" si="491"/>
        <v>5.0874587878184309E-4</v>
      </c>
      <c r="Q504" s="66">
        <f t="shared" si="491"/>
        <v>5.0874587878184309E-4</v>
      </c>
      <c r="R504" s="66">
        <f t="shared" si="491"/>
        <v>5.0874587878184309E-4</v>
      </c>
      <c r="S504" s="66">
        <f t="shared" si="491"/>
        <v>5.0874587878184309E-4</v>
      </c>
      <c r="T504" s="66">
        <f t="shared" si="491"/>
        <v>5.0874587878184309E-4</v>
      </c>
      <c r="U504" s="66">
        <f t="shared" si="491"/>
        <v>5.0874587878184309E-4</v>
      </c>
      <c r="V504" s="66">
        <f t="shared" si="491"/>
        <v>5.0874587878184309E-4</v>
      </c>
      <c r="W504" s="66">
        <f t="shared" si="491"/>
        <v>5.0874587878184309E-4</v>
      </c>
      <c r="X504" s="66">
        <f t="shared" si="491"/>
        <v>5.0874587878184309E-4</v>
      </c>
      <c r="Y504" s="66">
        <f t="shared" si="491"/>
        <v>5.0874587878184309E-4</v>
      </c>
      <c r="Z504" s="66">
        <f t="shared" si="491"/>
        <v>5.0874587878184309E-4</v>
      </c>
      <c r="AA504" s="66">
        <f t="shared" si="491"/>
        <v>5.0874587878184309E-4</v>
      </c>
      <c r="AB504" s="66">
        <f t="shared" si="491"/>
        <v>5.0874587878184309E-4</v>
      </c>
      <c r="AC504" s="66">
        <f t="shared" si="491"/>
        <v>5.0874587878184309E-4</v>
      </c>
    </row>
    <row r="505" spans="1:29" x14ac:dyDescent="0.25">
      <c r="A505" s="30" t="str">
        <f t="shared" si="488"/>
        <v>Residual value (costumization)</v>
      </c>
      <c r="B505" s="69">
        <f>((1+B463)^B471)*B463/(((1+B463)^B471)-1)*(B462)/B475/(B472)</f>
        <v>-2.5437293939092159E-5</v>
      </c>
      <c r="C505" s="69">
        <f t="shared" ref="C505:AC505" si="492">((1+C463)^C471)*C463/(((1+C463)^C471)-1)*(C462)/C475/(C472)</f>
        <v>-2.5437293939092159E-5</v>
      </c>
      <c r="D505" s="69">
        <f t="shared" si="492"/>
        <v>-2.5437293939092159E-5</v>
      </c>
      <c r="E505" s="69">
        <f t="shared" si="492"/>
        <v>-2.5437293939092159E-5</v>
      </c>
      <c r="F505" s="69">
        <f t="shared" si="492"/>
        <v>-2.5437293939092159E-5</v>
      </c>
      <c r="G505" s="69">
        <f t="shared" si="492"/>
        <v>-2.5437293939092159E-5</v>
      </c>
      <c r="H505" s="69">
        <f t="shared" si="492"/>
        <v>-2.5437293939092159E-5</v>
      </c>
      <c r="I505" s="69">
        <f t="shared" si="492"/>
        <v>-2.5437293939092159E-5</v>
      </c>
      <c r="J505" s="69">
        <f t="shared" si="492"/>
        <v>-2.5437293939092159E-5</v>
      </c>
      <c r="K505" s="69">
        <f t="shared" si="492"/>
        <v>-2.5437293939092159E-5</v>
      </c>
      <c r="L505" s="69">
        <f t="shared" si="492"/>
        <v>-2.5437293939092159E-5</v>
      </c>
      <c r="M505" s="69">
        <f t="shared" si="492"/>
        <v>-2.5437293939092159E-5</v>
      </c>
      <c r="N505" s="69">
        <f t="shared" si="492"/>
        <v>-2.5437293939092159E-5</v>
      </c>
      <c r="O505" s="69">
        <f t="shared" si="492"/>
        <v>-2.5437293939092159E-5</v>
      </c>
      <c r="P505" s="69">
        <f t="shared" si="492"/>
        <v>-2.5437293939092159E-5</v>
      </c>
      <c r="Q505" s="69">
        <f t="shared" si="492"/>
        <v>-2.5437293939092159E-5</v>
      </c>
      <c r="R505" s="69">
        <f t="shared" si="492"/>
        <v>-2.5437293939092159E-5</v>
      </c>
      <c r="S505" s="69">
        <f t="shared" si="492"/>
        <v>-2.5437293939092159E-5</v>
      </c>
      <c r="T505" s="69">
        <f t="shared" si="492"/>
        <v>-2.5437293939092159E-5</v>
      </c>
      <c r="U505" s="69">
        <f t="shared" si="492"/>
        <v>-2.5437293939092159E-5</v>
      </c>
      <c r="V505" s="69">
        <f t="shared" si="492"/>
        <v>-2.5437293939092159E-5</v>
      </c>
      <c r="W505" s="69">
        <f t="shared" si="492"/>
        <v>-2.5437293939092159E-5</v>
      </c>
      <c r="X505" s="69">
        <f t="shared" si="492"/>
        <v>-2.5437293939092159E-5</v>
      </c>
      <c r="Y505" s="69">
        <f t="shared" si="492"/>
        <v>-2.5437293939092159E-5</v>
      </c>
      <c r="Z505" s="69">
        <f t="shared" si="492"/>
        <v>-2.5437293939092159E-5</v>
      </c>
      <c r="AA505" s="69">
        <f t="shared" si="492"/>
        <v>-2.5437293939092159E-5</v>
      </c>
      <c r="AB505" s="69">
        <f t="shared" si="492"/>
        <v>-2.5437293939092159E-5</v>
      </c>
      <c r="AC505" s="69">
        <f t="shared" si="492"/>
        <v>-2.5437293939092159E-5</v>
      </c>
    </row>
    <row r="506" spans="1:29" x14ac:dyDescent="0.25">
      <c r="A506" s="30" t="str">
        <f t="shared" si="488"/>
        <v>Opex fix (admin, crew, insurance)</v>
      </c>
      <c r="B506" s="66">
        <f>B464/B475/(B472)</f>
        <v>1.3005202080832333E-3</v>
      </c>
      <c r="C506" s="66">
        <f t="shared" ref="C506:AC506" si="493">C464/C475/(C472)</f>
        <v>1.3005202080832333E-3</v>
      </c>
      <c r="D506" s="66">
        <f t="shared" si="493"/>
        <v>1.3005202080832333E-3</v>
      </c>
      <c r="E506" s="66">
        <f t="shared" si="493"/>
        <v>1.3005202080832333E-3</v>
      </c>
      <c r="F506" s="66">
        <f t="shared" si="493"/>
        <v>1.3005202080832333E-3</v>
      </c>
      <c r="G506" s="66">
        <f t="shared" si="493"/>
        <v>1.3005202080832333E-3</v>
      </c>
      <c r="H506" s="66">
        <f t="shared" si="493"/>
        <v>1.3005202080832333E-3</v>
      </c>
      <c r="I506" s="66">
        <f t="shared" si="493"/>
        <v>1.3005202080832333E-3</v>
      </c>
      <c r="J506" s="66">
        <f t="shared" si="493"/>
        <v>1.3005202080832333E-3</v>
      </c>
      <c r="K506" s="66">
        <f t="shared" si="493"/>
        <v>1.3005202080832333E-3</v>
      </c>
      <c r="L506" s="66">
        <f t="shared" si="493"/>
        <v>1.3005202080832333E-3</v>
      </c>
      <c r="M506" s="66">
        <f t="shared" si="493"/>
        <v>1.3005202080832333E-3</v>
      </c>
      <c r="N506" s="66">
        <f t="shared" si="493"/>
        <v>1.3005202080832333E-3</v>
      </c>
      <c r="O506" s="66">
        <f t="shared" si="493"/>
        <v>1.3005202080832333E-3</v>
      </c>
      <c r="P506" s="66">
        <f t="shared" si="493"/>
        <v>1.3005202080832333E-3</v>
      </c>
      <c r="Q506" s="66">
        <f t="shared" si="493"/>
        <v>1.3005202080832333E-3</v>
      </c>
      <c r="R506" s="66">
        <f t="shared" si="493"/>
        <v>1.3005202080832333E-3</v>
      </c>
      <c r="S506" s="66">
        <f t="shared" si="493"/>
        <v>1.3005202080832333E-3</v>
      </c>
      <c r="T506" s="66">
        <f t="shared" si="493"/>
        <v>1.3005202080832333E-3</v>
      </c>
      <c r="U506" s="66">
        <f t="shared" si="493"/>
        <v>1.3005202080832333E-3</v>
      </c>
      <c r="V506" s="66">
        <f t="shared" si="493"/>
        <v>1.3005202080832333E-3</v>
      </c>
      <c r="W506" s="66">
        <f t="shared" si="493"/>
        <v>1.3005202080832333E-3</v>
      </c>
      <c r="X506" s="66">
        <f t="shared" si="493"/>
        <v>1.3005202080832333E-3</v>
      </c>
      <c r="Y506" s="66">
        <f t="shared" si="493"/>
        <v>1.3005202080832333E-3</v>
      </c>
      <c r="Z506" s="66">
        <f t="shared" si="493"/>
        <v>1.3005202080832333E-3</v>
      </c>
      <c r="AA506" s="66">
        <f t="shared" si="493"/>
        <v>1.3005202080832333E-3</v>
      </c>
      <c r="AB506" s="66">
        <f t="shared" si="493"/>
        <v>1.3005202080832333E-3</v>
      </c>
      <c r="AC506" s="66">
        <f t="shared" si="493"/>
        <v>1.3005202080832333E-3</v>
      </c>
    </row>
    <row r="507" spans="1:29" x14ac:dyDescent="0.25">
      <c r="A507" s="30" t="str">
        <f t="shared" si="488"/>
        <v>Opex maintenance &amp; repair</v>
      </c>
      <c r="B507" s="66">
        <f>B465/B475/(B472)</f>
        <v>1.3005202080832333E-3</v>
      </c>
      <c r="C507" s="66">
        <f t="shared" ref="C507:AC507" si="494">C465/C475/(C472)</f>
        <v>1.3005202080832333E-3</v>
      </c>
      <c r="D507" s="66">
        <f t="shared" si="494"/>
        <v>1.3005202080832333E-3</v>
      </c>
      <c r="E507" s="66">
        <f t="shared" si="494"/>
        <v>1.3005202080832333E-3</v>
      </c>
      <c r="F507" s="66">
        <f t="shared" si="494"/>
        <v>1.3005202080832333E-3</v>
      </c>
      <c r="G507" s="66">
        <f t="shared" si="494"/>
        <v>1.3005202080832333E-3</v>
      </c>
      <c r="H507" s="66">
        <f t="shared" si="494"/>
        <v>1.3005202080832333E-3</v>
      </c>
      <c r="I507" s="66">
        <f t="shared" si="494"/>
        <v>1.3005202080832333E-3</v>
      </c>
      <c r="J507" s="66">
        <f t="shared" si="494"/>
        <v>1.3005202080832333E-3</v>
      </c>
      <c r="K507" s="66">
        <f t="shared" si="494"/>
        <v>1.3005202080832333E-3</v>
      </c>
      <c r="L507" s="66">
        <f t="shared" si="494"/>
        <v>1.3005202080832333E-3</v>
      </c>
      <c r="M507" s="66">
        <f t="shared" si="494"/>
        <v>1.3005202080832333E-3</v>
      </c>
      <c r="N507" s="66">
        <f t="shared" si="494"/>
        <v>1.3005202080832333E-3</v>
      </c>
      <c r="O507" s="66">
        <f t="shared" si="494"/>
        <v>1.3005202080832333E-3</v>
      </c>
      <c r="P507" s="66">
        <f t="shared" si="494"/>
        <v>1.3005202080832333E-3</v>
      </c>
      <c r="Q507" s="66">
        <f t="shared" si="494"/>
        <v>1.3005202080832333E-3</v>
      </c>
      <c r="R507" s="66">
        <f t="shared" si="494"/>
        <v>1.3005202080832333E-3</v>
      </c>
      <c r="S507" s="66">
        <f t="shared" si="494"/>
        <v>1.3005202080832333E-3</v>
      </c>
      <c r="T507" s="66">
        <f t="shared" si="494"/>
        <v>1.3005202080832333E-3</v>
      </c>
      <c r="U507" s="66">
        <f t="shared" si="494"/>
        <v>1.3005202080832333E-3</v>
      </c>
      <c r="V507" s="66">
        <f t="shared" si="494"/>
        <v>1.3005202080832333E-3</v>
      </c>
      <c r="W507" s="66">
        <f t="shared" si="494"/>
        <v>1.3005202080832333E-3</v>
      </c>
      <c r="X507" s="66">
        <f t="shared" si="494"/>
        <v>1.3005202080832333E-3</v>
      </c>
      <c r="Y507" s="66">
        <f t="shared" si="494"/>
        <v>1.3005202080832333E-3</v>
      </c>
      <c r="Z507" s="66">
        <f t="shared" si="494"/>
        <v>1.3005202080832333E-3</v>
      </c>
      <c r="AA507" s="66">
        <f t="shared" si="494"/>
        <v>1.3005202080832333E-3</v>
      </c>
      <c r="AB507" s="66">
        <f t="shared" si="494"/>
        <v>1.3005202080832333E-3</v>
      </c>
      <c r="AC507" s="66">
        <f t="shared" si="494"/>
        <v>1.3005202080832333E-3</v>
      </c>
    </row>
    <row r="508" spans="1:29" x14ac:dyDescent="0.25">
      <c r="A508" s="30" t="str">
        <f t="shared" si="488"/>
        <v>Opex var (mode-fees, shunting)</v>
      </c>
      <c r="B508" s="66">
        <f>B466*B475/B475/(B472)</f>
        <v>1.4005602240896359E-3</v>
      </c>
      <c r="C508" s="66">
        <f t="shared" ref="C508:AC508" si="495">C466*C475/C475/(C472)</f>
        <v>1.4005602240896359E-3</v>
      </c>
      <c r="D508" s="66">
        <f t="shared" si="495"/>
        <v>1.4005602240896359E-3</v>
      </c>
      <c r="E508" s="66">
        <f t="shared" si="495"/>
        <v>1.4005602240896359E-3</v>
      </c>
      <c r="F508" s="66">
        <f t="shared" si="495"/>
        <v>1.4005602240896359E-3</v>
      </c>
      <c r="G508" s="66">
        <f t="shared" si="495"/>
        <v>1.4005602240896359E-3</v>
      </c>
      <c r="H508" s="66">
        <f t="shared" si="495"/>
        <v>1.4005602240896359E-3</v>
      </c>
      <c r="I508" s="66">
        <f t="shared" si="495"/>
        <v>1.4005602240896359E-3</v>
      </c>
      <c r="J508" s="66">
        <f t="shared" si="495"/>
        <v>1.4005602240896359E-3</v>
      </c>
      <c r="K508" s="66">
        <f t="shared" si="495"/>
        <v>1.4005602240896359E-3</v>
      </c>
      <c r="L508" s="66">
        <f t="shared" si="495"/>
        <v>1.4005602240896359E-3</v>
      </c>
      <c r="M508" s="66">
        <f t="shared" si="495"/>
        <v>1.4005602240896359E-3</v>
      </c>
      <c r="N508" s="66">
        <f t="shared" si="495"/>
        <v>1.4005602240896359E-3</v>
      </c>
      <c r="O508" s="66">
        <f t="shared" si="495"/>
        <v>1.4005602240896359E-3</v>
      </c>
      <c r="P508" s="66">
        <f t="shared" si="495"/>
        <v>1.4005602240896359E-3</v>
      </c>
      <c r="Q508" s="66">
        <f t="shared" si="495"/>
        <v>1.4005602240896359E-3</v>
      </c>
      <c r="R508" s="66">
        <f t="shared" si="495"/>
        <v>1.4005602240896359E-3</v>
      </c>
      <c r="S508" s="66">
        <f t="shared" si="495"/>
        <v>1.4005602240896359E-3</v>
      </c>
      <c r="T508" s="66">
        <f t="shared" si="495"/>
        <v>1.4005602240896359E-3</v>
      </c>
      <c r="U508" s="66">
        <f t="shared" si="495"/>
        <v>1.4005602240896359E-3</v>
      </c>
      <c r="V508" s="66">
        <f t="shared" si="495"/>
        <v>1.4005602240896359E-3</v>
      </c>
      <c r="W508" s="66">
        <f t="shared" si="495"/>
        <v>1.4005602240896359E-3</v>
      </c>
      <c r="X508" s="66">
        <f t="shared" si="495"/>
        <v>1.4005602240896359E-3</v>
      </c>
      <c r="Y508" s="66">
        <f t="shared" si="495"/>
        <v>1.4005602240896359E-3</v>
      </c>
      <c r="Z508" s="66">
        <f t="shared" si="495"/>
        <v>1.4005602240896359E-3</v>
      </c>
      <c r="AA508" s="66">
        <f t="shared" si="495"/>
        <v>1.4005602240896359E-3</v>
      </c>
      <c r="AB508" s="66">
        <f t="shared" si="495"/>
        <v>1.4005602240896359E-3</v>
      </c>
      <c r="AC508" s="66">
        <f t="shared" si="495"/>
        <v>1.4005602240896359E-3</v>
      </c>
    </row>
    <row r="509" spans="1:29" x14ac:dyDescent="0.25">
      <c r="A509" s="30" t="str">
        <f t="shared" si="488"/>
        <v>Fuel Cost</v>
      </c>
      <c r="B509" s="66">
        <f>B467*B468*B475/B475/(B472)</f>
        <v>1.063219154527647E-3</v>
      </c>
      <c r="C509" s="66">
        <f t="shared" ref="C509:AC509" si="496">C467*C468*C475/C475/(C472)</f>
        <v>1.063219154527647E-3</v>
      </c>
      <c r="D509" s="66">
        <f t="shared" si="496"/>
        <v>1.063219154527647E-3</v>
      </c>
      <c r="E509" s="66">
        <f t="shared" si="496"/>
        <v>1.063219154527647E-3</v>
      </c>
      <c r="F509" s="66">
        <f t="shared" si="496"/>
        <v>1.063219154527647E-3</v>
      </c>
      <c r="G509" s="66">
        <f t="shared" si="496"/>
        <v>1.063219154527647E-3</v>
      </c>
      <c r="H509" s="66">
        <f t="shared" si="496"/>
        <v>1.063219154527647E-3</v>
      </c>
      <c r="I509" s="66">
        <f t="shared" si="496"/>
        <v>1.063219154527647E-3</v>
      </c>
      <c r="J509" s="66">
        <f t="shared" si="496"/>
        <v>1.0839189955949174E-3</v>
      </c>
      <c r="K509" s="66">
        <f t="shared" si="496"/>
        <v>1.1046188366621882E-3</v>
      </c>
      <c r="L509" s="66">
        <f t="shared" si="496"/>
        <v>1.1253186777294589E-3</v>
      </c>
      <c r="M509" s="66">
        <f t="shared" si="496"/>
        <v>1.1460185187967293E-3</v>
      </c>
      <c r="N509" s="66">
        <f t="shared" si="496"/>
        <v>1.1667183598639999E-3</v>
      </c>
      <c r="O509" s="66">
        <f t="shared" si="496"/>
        <v>1.1554275374636702E-3</v>
      </c>
      <c r="P509" s="66">
        <f t="shared" si="496"/>
        <v>1.144136715063341E-3</v>
      </c>
      <c r="Q509" s="66">
        <f t="shared" si="496"/>
        <v>1.1328458926630114E-3</v>
      </c>
      <c r="R509" s="66">
        <f t="shared" si="496"/>
        <v>1.1215550702626819E-3</v>
      </c>
      <c r="S509" s="66">
        <f t="shared" si="496"/>
        <v>1.1102642478623527E-3</v>
      </c>
      <c r="T509" s="66">
        <f t="shared" si="496"/>
        <v>1.0989734254620233E-3</v>
      </c>
      <c r="U509" s="66">
        <f t="shared" si="496"/>
        <v>1.0876826030616937E-3</v>
      </c>
      <c r="V509" s="66">
        <f t="shared" si="496"/>
        <v>1.0763917806613642E-3</v>
      </c>
      <c r="W509" s="66">
        <f t="shared" si="496"/>
        <v>1.065100958261035E-3</v>
      </c>
      <c r="X509" s="66">
        <f t="shared" si="496"/>
        <v>1.0538101358607058E-3</v>
      </c>
      <c r="Y509" s="66">
        <f t="shared" si="496"/>
        <v>1.0425193134603764E-3</v>
      </c>
      <c r="Z509" s="66">
        <f t="shared" si="496"/>
        <v>1.0312284910600467E-3</v>
      </c>
      <c r="AA509" s="66">
        <f t="shared" si="496"/>
        <v>1.0199376686597175E-3</v>
      </c>
      <c r="AB509" s="66">
        <f t="shared" si="496"/>
        <v>1.0086468462593878E-3</v>
      </c>
      <c r="AC509" s="66">
        <f t="shared" si="496"/>
        <v>9.9735602385905885E-4</v>
      </c>
    </row>
    <row r="510" spans="1:29" x14ac:dyDescent="0.25">
      <c r="A510" s="59" t="str">
        <f>A473</f>
        <v>Market failure (av. utilization)</v>
      </c>
      <c r="B510" s="66">
        <f t="shared" ref="B510:AC510" si="497">B499/B473-B499/B472</f>
        <v>1.2234929353408296E-2</v>
      </c>
      <c r="C510" s="66">
        <f t="shared" si="497"/>
        <v>1.2234929353408296E-2</v>
      </c>
      <c r="D510" s="66">
        <f t="shared" si="497"/>
        <v>1.2234929353408296E-2</v>
      </c>
      <c r="E510" s="66">
        <f t="shared" si="497"/>
        <v>1.2234929353408296E-2</v>
      </c>
      <c r="F510" s="66">
        <f t="shared" si="497"/>
        <v>1.2234929353408296E-2</v>
      </c>
      <c r="G510" s="66">
        <f t="shared" si="497"/>
        <v>1.2234929353408296E-2</v>
      </c>
      <c r="H510" s="66">
        <f t="shared" si="497"/>
        <v>1.2234929353408296E-2</v>
      </c>
      <c r="I510" s="66">
        <f t="shared" si="497"/>
        <v>1.2234929353408296E-2</v>
      </c>
      <c r="J510" s="66">
        <f t="shared" si="497"/>
        <v>1.2274873577967794E-2</v>
      </c>
      <c r="K510" s="66">
        <f t="shared" si="497"/>
        <v>1.2314817802527293E-2</v>
      </c>
      <c r="L510" s="66">
        <f t="shared" si="497"/>
        <v>1.2354762027086789E-2</v>
      </c>
      <c r="M510" s="66">
        <f t="shared" si="497"/>
        <v>1.2394706251646289E-2</v>
      </c>
      <c r="N510" s="66">
        <f t="shared" si="497"/>
        <v>1.2434650476205789E-2</v>
      </c>
      <c r="O510" s="66">
        <f t="shared" si="497"/>
        <v>1.2412862717355153E-2</v>
      </c>
      <c r="P510" s="66">
        <f t="shared" si="497"/>
        <v>1.2391074958504516E-2</v>
      </c>
      <c r="Q510" s="66">
        <f t="shared" si="497"/>
        <v>1.2369287199653882E-2</v>
      </c>
      <c r="R510" s="66">
        <f t="shared" si="497"/>
        <v>1.2347499440803246E-2</v>
      </c>
      <c r="S510" s="66">
        <f t="shared" si="497"/>
        <v>1.2325711681952609E-2</v>
      </c>
      <c r="T510" s="66">
        <f t="shared" si="497"/>
        <v>1.2303923923101975E-2</v>
      </c>
      <c r="U510" s="66">
        <f t="shared" si="497"/>
        <v>1.2282136164251337E-2</v>
      </c>
      <c r="V510" s="66">
        <f t="shared" si="497"/>
        <v>1.2260348405400702E-2</v>
      </c>
      <c r="W510" s="66">
        <f t="shared" si="497"/>
        <v>1.2238560646550068E-2</v>
      </c>
      <c r="X510" s="66">
        <f t="shared" si="497"/>
        <v>1.221677288769943E-2</v>
      </c>
      <c r="Y510" s="66">
        <f t="shared" si="497"/>
        <v>1.2194985128848796E-2</v>
      </c>
      <c r="Z510" s="66">
        <f t="shared" si="497"/>
        <v>1.2173197369998163E-2</v>
      </c>
      <c r="AA510" s="66">
        <f t="shared" si="497"/>
        <v>1.2151409611147523E-2</v>
      </c>
      <c r="AB510" s="66">
        <f t="shared" si="497"/>
        <v>1.2129621852296889E-2</v>
      </c>
      <c r="AC510" s="66">
        <f t="shared" si="497"/>
        <v>1.2107834093446252E-2</v>
      </c>
    </row>
    <row r="511" spans="1:29" x14ac:dyDescent="0.25">
      <c r="A511" s="59" t="str">
        <f>A474</f>
        <v>Payload loss (fuel)</v>
      </c>
      <c r="B511" s="66">
        <f>B499/(B472-B474)-B499/B472</f>
        <v>0</v>
      </c>
      <c r="C511" s="66">
        <f t="shared" ref="C511:AC511" si="498">C499/(C472-C474)-C499/C472</f>
        <v>0</v>
      </c>
      <c r="D511" s="66">
        <f t="shared" si="498"/>
        <v>0</v>
      </c>
      <c r="E511" s="66">
        <f t="shared" si="498"/>
        <v>0</v>
      </c>
      <c r="F511" s="66">
        <f t="shared" si="498"/>
        <v>0</v>
      </c>
      <c r="G511" s="66">
        <f t="shared" si="498"/>
        <v>0</v>
      </c>
      <c r="H511" s="66">
        <f t="shared" si="498"/>
        <v>0</v>
      </c>
      <c r="I511" s="66">
        <f t="shared" si="498"/>
        <v>0</v>
      </c>
      <c r="J511" s="66">
        <f t="shared" si="498"/>
        <v>0</v>
      </c>
      <c r="K511" s="66">
        <f t="shared" si="498"/>
        <v>0</v>
      </c>
      <c r="L511" s="66">
        <f t="shared" si="498"/>
        <v>0</v>
      </c>
      <c r="M511" s="66">
        <f t="shared" si="498"/>
        <v>0</v>
      </c>
      <c r="N511" s="66">
        <f t="shared" si="498"/>
        <v>0</v>
      </c>
      <c r="O511" s="66">
        <f t="shared" si="498"/>
        <v>0</v>
      </c>
      <c r="P511" s="66">
        <f t="shared" si="498"/>
        <v>0</v>
      </c>
      <c r="Q511" s="66">
        <f t="shared" si="498"/>
        <v>0</v>
      </c>
      <c r="R511" s="66">
        <f t="shared" si="498"/>
        <v>0</v>
      </c>
      <c r="S511" s="66">
        <f t="shared" si="498"/>
        <v>0</v>
      </c>
      <c r="T511" s="66">
        <f t="shared" si="498"/>
        <v>0</v>
      </c>
      <c r="U511" s="66">
        <f t="shared" si="498"/>
        <v>0</v>
      </c>
      <c r="V511" s="66">
        <f t="shared" si="498"/>
        <v>0</v>
      </c>
      <c r="W511" s="66">
        <f t="shared" si="498"/>
        <v>0</v>
      </c>
      <c r="X511" s="66">
        <f t="shared" si="498"/>
        <v>0</v>
      </c>
      <c r="Y511" s="66">
        <f t="shared" si="498"/>
        <v>0</v>
      </c>
      <c r="Z511" s="66">
        <f t="shared" si="498"/>
        <v>0</v>
      </c>
      <c r="AA511" s="66">
        <f t="shared" si="498"/>
        <v>0</v>
      </c>
      <c r="AB511" s="66">
        <f t="shared" si="498"/>
        <v>0</v>
      </c>
      <c r="AC511" s="66">
        <f t="shared" si="498"/>
        <v>0</v>
      </c>
    </row>
    <row r="512" spans="1:29" ht="15.75" thickBot="1" x14ac:dyDescent="0.3">
      <c r="A512" s="59" t="str">
        <f>A449</f>
        <v>Emission Cost</v>
      </c>
      <c r="B512" s="68">
        <f>B469*B475/B475/(B472)</f>
        <v>0</v>
      </c>
      <c r="C512" s="68">
        <f t="shared" ref="C512:AC512" si="499">C469*C475/C475/(C472)</f>
        <v>0</v>
      </c>
      <c r="D512" s="68">
        <f t="shared" si="499"/>
        <v>0</v>
      </c>
      <c r="E512" s="68">
        <f t="shared" si="499"/>
        <v>0</v>
      </c>
      <c r="F512" s="68">
        <f t="shared" si="499"/>
        <v>0</v>
      </c>
      <c r="G512" s="68">
        <f t="shared" si="499"/>
        <v>0</v>
      </c>
      <c r="H512" s="68">
        <f t="shared" si="499"/>
        <v>0</v>
      </c>
      <c r="I512" s="68">
        <f t="shared" si="499"/>
        <v>0</v>
      </c>
      <c r="J512" s="68">
        <f t="shared" si="499"/>
        <v>0</v>
      </c>
      <c r="K512" s="68">
        <f t="shared" si="499"/>
        <v>0</v>
      </c>
      <c r="L512" s="68">
        <f t="shared" si="499"/>
        <v>0</v>
      </c>
      <c r="M512" s="68">
        <f t="shared" si="499"/>
        <v>0</v>
      </c>
      <c r="N512" s="68">
        <f t="shared" si="499"/>
        <v>0</v>
      </c>
      <c r="O512" s="68">
        <f t="shared" si="499"/>
        <v>0</v>
      </c>
      <c r="P512" s="68">
        <f t="shared" si="499"/>
        <v>0</v>
      </c>
      <c r="Q512" s="68">
        <f t="shared" si="499"/>
        <v>0</v>
      </c>
      <c r="R512" s="68">
        <f t="shared" si="499"/>
        <v>0</v>
      </c>
      <c r="S512" s="68">
        <f t="shared" si="499"/>
        <v>0</v>
      </c>
      <c r="T512" s="68">
        <f t="shared" si="499"/>
        <v>0</v>
      </c>
      <c r="U512" s="68">
        <f t="shared" si="499"/>
        <v>0</v>
      </c>
      <c r="V512" s="68">
        <f t="shared" si="499"/>
        <v>0</v>
      </c>
      <c r="W512" s="68">
        <f t="shared" si="499"/>
        <v>0</v>
      </c>
      <c r="X512" s="68">
        <f t="shared" si="499"/>
        <v>0</v>
      </c>
      <c r="Y512" s="68">
        <f t="shared" si="499"/>
        <v>0</v>
      </c>
      <c r="Z512" s="68">
        <f t="shared" si="499"/>
        <v>0</v>
      </c>
      <c r="AA512" s="68">
        <f t="shared" si="499"/>
        <v>0</v>
      </c>
      <c r="AB512" s="68">
        <f t="shared" si="499"/>
        <v>0</v>
      </c>
      <c r="AC512" s="68">
        <f t="shared" si="499"/>
        <v>0</v>
      </c>
    </row>
    <row r="513" spans="1:29" ht="15.75" thickBot="1" x14ac:dyDescent="0.3">
      <c r="A513" s="31" t="s">
        <v>210</v>
      </c>
      <c r="B513" s="76">
        <f>B502+B503+B504+B505+B506+B507+B508+B509+B510+B511+B512</f>
        <v>1.8524423013450197E-2</v>
      </c>
      <c r="C513" s="67">
        <f t="shared" ref="C513:AC513" si="500">C502+C503+C504+C505+C506+C507+C508+C509+C510+C511+C512</f>
        <v>1.8524423013450197E-2</v>
      </c>
      <c r="D513" s="67">
        <f t="shared" si="500"/>
        <v>1.8524423013450197E-2</v>
      </c>
      <c r="E513" s="67">
        <f t="shared" si="500"/>
        <v>1.8524423013450197E-2</v>
      </c>
      <c r="F513" s="67">
        <f t="shared" si="500"/>
        <v>1.8524423013450197E-2</v>
      </c>
      <c r="G513" s="67">
        <f t="shared" si="500"/>
        <v>1.8524423013450197E-2</v>
      </c>
      <c r="H513" s="67">
        <f t="shared" si="500"/>
        <v>1.8524423013450197E-2</v>
      </c>
      <c r="I513" s="67">
        <f t="shared" si="500"/>
        <v>1.8524423013450197E-2</v>
      </c>
      <c r="J513" s="67">
        <f t="shared" si="500"/>
        <v>1.8585067079076967E-2</v>
      </c>
      <c r="K513" s="67">
        <f t="shared" si="500"/>
        <v>1.8645711144703737E-2</v>
      </c>
      <c r="L513" s="67">
        <f t="shared" si="500"/>
        <v>1.8706355210330504E-2</v>
      </c>
      <c r="M513" s="67">
        <f t="shared" si="500"/>
        <v>1.8766999275957274E-2</v>
      </c>
      <c r="N513" s="67">
        <f t="shared" si="500"/>
        <v>1.8827643341584044E-2</v>
      </c>
      <c r="O513" s="67">
        <f t="shared" si="500"/>
        <v>1.8794564760333081E-2</v>
      </c>
      <c r="P513" s="67">
        <f t="shared" si="500"/>
        <v>1.8761486179082111E-2</v>
      </c>
      <c r="Q513" s="67">
        <f t="shared" si="500"/>
        <v>1.8728407597831148E-2</v>
      </c>
      <c r="R513" s="67">
        <f t="shared" si="500"/>
        <v>1.8695329016580185E-2</v>
      </c>
      <c r="S513" s="67">
        <f t="shared" si="500"/>
        <v>1.8662250435329219E-2</v>
      </c>
      <c r="T513" s="67">
        <f t="shared" si="500"/>
        <v>1.8629171854078252E-2</v>
      </c>
      <c r="U513" s="67">
        <f t="shared" si="500"/>
        <v>1.859609327282729E-2</v>
      </c>
      <c r="V513" s="67">
        <f t="shared" si="500"/>
        <v>1.8563014691576323E-2</v>
      </c>
      <c r="W513" s="67">
        <f t="shared" si="500"/>
        <v>1.852993611032536E-2</v>
      </c>
      <c r="X513" s="67">
        <f t="shared" si="500"/>
        <v>1.8496857529074394E-2</v>
      </c>
      <c r="Y513" s="67">
        <f t="shared" si="500"/>
        <v>1.8463778947823431E-2</v>
      </c>
      <c r="Z513" s="67">
        <f t="shared" si="500"/>
        <v>1.8430700366572468E-2</v>
      </c>
      <c r="AA513" s="67">
        <f t="shared" si="500"/>
        <v>1.8397621785321498E-2</v>
      </c>
      <c r="AB513" s="67">
        <f t="shared" si="500"/>
        <v>1.8364543204070535E-2</v>
      </c>
      <c r="AC513" s="67">
        <f t="shared" si="500"/>
        <v>1.8331464622819565E-2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90"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Input'!$L$171</f>
        <v>10000000</v>
      </c>
      <c r="C11" s="42">
        <f>'Parameter Input'!$M$171</f>
        <v>6250000</v>
      </c>
      <c r="D11" s="1" t="s">
        <v>15</v>
      </c>
      <c r="L11" s="51">
        <f>'Parameter Input'!$O$171</f>
        <v>12</v>
      </c>
      <c r="M11" s="52">
        <v>0</v>
      </c>
      <c r="N11" s="52">
        <v>1</v>
      </c>
      <c r="O11" s="52">
        <f>'Parameter Input'!$P$171</f>
        <v>0.9</v>
      </c>
      <c r="P11" s="53">
        <f>'Parameter Input'!$Q$171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Input'!$L$172</f>
        <v>-500000</v>
      </c>
      <c r="C12" s="61">
        <f>'Parameter Input'!$M$172</f>
        <v>-937500</v>
      </c>
      <c r="D12" s="1" t="s">
        <v>15</v>
      </c>
      <c r="L12" s="54">
        <f>'Parameter Input'!$O$172</f>
        <v>12</v>
      </c>
      <c r="M12" s="37">
        <v>0</v>
      </c>
      <c r="N12" s="37">
        <v>1</v>
      </c>
      <c r="O12" s="37">
        <f>'Parameter Input'!$P$172</f>
        <v>0.9</v>
      </c>
      <c r="P12" s="55">
        <f>'Parameter Input'!$Q$172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Input'!$L$178</f>
        <v>0.06</v>
      </c>
      <c r="C15" s="46">
        <f>'Parameter Input'!$M$178</f>
        <v>0.06</v>
      </c>
      <c r="D15" s="1" t="s">
        <v>57</v>
      </c>
      <c r="L15" s="54">
        <f>'Parameter Input'!$O$178</f>
        <v>12</v>
      </c>
      <c r="M15" s="37">
        <v>0</v>
      </c>
      <c r="N15" s="37">
        <v>1</v>
      </c>
      <c r="O15" s="37">
        <f>'Parameter Input'!$P$178</f>
        <v>0.9</v>
      </c>
      <c r="P15" s="55">
        <f>'Parameter Input'!$Q$178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Input'!$L$174</f>
        <v>1300000</v>
      </c>
      <c r="C17" s="44">
        <f>'Parameter Input'!$M$174</f>
        <v>812500</v>
      </c>
      <c r="D17" s="1" t="s">
        <v>38</v>
      </c>
      <c r="L17" s="54">
        <f>'Parameter Input'!$O$174</f>
        <v>12</v>
      </c>
      <c r="M17" s="37">
        <v>0</v>
      </c>
      <c r="N17" s="37">
        <v>1</v>
      </c>
      <c r="O17" s="37">
        <f>'Parameter Input'!$P$174</f>
        <v>0.9</v>
      </c>
      <c r="P17" s="55">
        <f>'Parameter Input'!$Q$174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Input'!$L$175</f>
        <v>33.590199999999996</v>
      </c>
      <c r="C19" s="48">
        <f>'Parameter Input'!$M$175</f>
        <v>33.590199999999996</v>
      </c>
      <c r="D19" s="1" t="s">
        <v>60</v>
      </c>
      <c r="L19" s="54">
        <f>'Parameter Input'!$O$175</f>
        <v>12</v>
      </c>
      <c r="M19" s="37">
        <v>0</v>
      </c>
      <c r="N19" s="37">
        <v>1</v>
      </c>
      <c r="O19" s="37">
        <f>'Parameter Input'!$P$175</f>
        <v>0.9</v>
      </c>
      <c r="P19" s="55">
        <f>'Parameter Input'!$Q$175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Input'!$L$176</f>
        <v>0.13371034051801745</v>
      </c>
      <c r="C20" s="46">
        <f>'Parameter Input'!$M$176</f>
        <v>8.7585019329602734E-2</v>
      </c>
      <c r="D20" s="1" t="s">
        <v>68</v>
      </c>
      <c r="L20" s="54">
        <f>'Parameter Input'!$O$176</f>
        <v>12</v>
      </c>
      <c r="M20" s="37">
        <v>0</v>
      </c>
      <c r="N20" s="37">
        <v>1</v>
      </c>
      <c r="O20" s="37">
        <f>'Parameter Input'!$P$176</f>
        <v>0.9</v>
      </c>
      <c r="P20" s="55">
        <f>'Parameter Input'!$Q$176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Input'!$L$179</f>
        <v>0</v>
      </c>
      <c r="C21" s="116">
        <f>'Parameter Input'!$M$179</f>
        <v>0</v>
      </c>
      <c r="D21" s="1" t="s">
        <v>76</v>
      </c>
      <c r="L21" s="54">
        <f>'Parameter Input'!$O$179</f>
        <v>17</v>
      </c>
      <c r="M21" s="37">
        <v>0</v>
      </c>
      <c r="N21" s="37">
        <v>1</v>
      </c>
      <c r="O21" s="37">
        <f>'Parameter Input'!$P$179</f>
        <v>0.9</v>
      </c>
      <c r="P21" s="55">
        <f>'Parameter Input'!$Q$179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Input'!$L$173</f>
        <v>20</v>
      </c>
      <c r="C22" s="44">
        <f>'Parameter Input'!$M$173</f>
        <v>20</v>
      </c>
      <c r="D22" s="1" t="s">
        <v>42</v>
      </c>
      <c r="L22" s="54">
        <f>'Parameter Input'!$O$173</f>
        <v>12</v>
      </c>
      <c r="M22" s="37">
        <v>0</v>
      </c>
      <c r="N22" s="37">
        <v>1</v>
      </c>
      <c r="O22" s="37">
        <f>'Parameter Input'!$P$173</f>
        <v>0.9</v>
      </c>
      <c r="P22" s="55">
        <f>'Parameter Input'!$Q$173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Input'!$L$177</f>
        <v>3.5714285714285712E-2</v>
      </c>
      <c r="C26" s="73">
        <f>'Parameter Input'!$M$177</f>
        <v>1.7857142857142856E-2</v>
      </c>
      <c r="D26" s="1" t="s">
        <v>57</v>
      </c>
      <c r="L26" s="54">
        <f>'Parameter Input'!$O$177</f>
        <v>12</v>
      </c>
      <c r="M26" s="37">
        <v>0</v>
      </c>
      <c r="N26" s="37">
        <v>1</v>
      </c>
      <c r="O26" s="37">
        <f>'Parameter Input'!$P$177</f>
        <v>0.9</v>
      </c>
      <c r="P26" s="55">
        <f>'Parameter Input'!$Q$177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'Parameter Input'!J4</f>
        <v>9.4166661249999992E-2</v>
      </c>
      <c r="C40" s="62">
        <f>'Parameter Input'!K4</f>
        <v>9.4166661249999992E-2</v>
      </c>
      <c r="D40" s="62">
        <f>'Parameter Input'!L4</f>
        <v>9.4166661249999992E-2</v>
      </c>
      <c r="E40" s="62">
        <f>'Parameter Input'!M4</f>
        <v>9.4166661249999992E-2</v>
      </c>
      <c r="F40" s="62">
        <f>'Parameter Input'!N4</f>
        <v>9.4166661249999992E-2</v>
      </c>
      <c r="G40" s="62">
        <f>'Parameter Input'!O4</f>
        <v>9.4166661249999992E-2</v>
      </c>
      <c r="H40" s="62">
        <f>'Parameter Input'!P4</f>
        <v>9.4166661249999992E-2</v>
      </c>
      <c r="I40" s="62">
        <f>'Parameter Input'!Q4</f>
        <v>9.4166661249999992E-2</v>
      </c>
      <c r="J40" s="62">
        <f>'Parameter Input'!R4</f>
        <v>9.5999994399999997E-2</v>
      </c>
      <c r="K40" s="62">
        <f>'Parameter Input'!S4</f>
        <v>9.7833327550000002E-2</v>
      </c>
      <c r="L40" s="62">
        <f>'Parameter Input'!T4</f>
        <v>9.9666660700000007E-2</v>
      </c>
      <c r="M40" s="62">
        <f>'Parameter Input'!U4</f>
        <v>0.10149999385000001</v>
      </c>
      <c r="N40" s="62">
        <f>'Parameter Input'!V4</f>
        <v>0.103333327</v>
      </c>
      <c r="O40" s="62">
        <f>'Parameter Input'!W4</f>
        <v>0.1023333271</v>
      </c>
      <c r="P40" s="62">
        <f>'Parameter Input'!X4</f>
        <v>0.10133332719999999</v>
      </c>
      <c r="Q40" s="62">
        <f>'Parameter Input'!Y4</f>
        <v>0.10033332729999998</v>
      </c>
      <c r="R40" s="62">
        <f>'Parameter Input'!Z4</f>
        <v>9.9333327399999977E-2</v>
      </c>
      <c r="S40" s="62">
        <f>'Parameter Input'!AA4</f>
        <v>9.8333327499999998E-2</v>
      </c>
      <c r="T40" s="62">
        <f>'Parameter Input'!AB4</f>
        <v>9.7333327599999991E-2</v>
      </c>
      <c r="U40" s="62">
        <f>'Parameter Input'!AC4</f>
        <v>9.6333327699999985E-2</v>
      </c>
      <c r="V40" s="62">
        <f>'Parameter Input'!AD4</f>
        <v>9.5333327799999978E-2</v>
      </c>
      <c r="W40" s="62">
        <f>'Parameter Input'!AE4</f>
        <v>9.4333327899999986E-2</v>
      </c>
      <c r="X40" s="62">
        <f>'Parameter Input'!AF4</f>
        <v>9.3333328000000007E-2</v>
      </c>
      <c r="Y40" s="62">
        <f>'Parameter Input'!AG4</f>
        <v>9.2333328100000001E-2</v>
      </c>
      <c r="Z40" s="62">
        <f>'Parameter Input'!AH4</f>
        <v>9.1333328199999994E-2</v>
      </c>
      <c r="AA40" s="62">
        <f>'Parameter Input'!AI4</f>
        <v>9.0333328299999988E-2</v>
      </c>
      <c r="AB40" s="62">
        <f>'Parameter Input'!AJ4</f>
        <v>8.9333328399999981E-2</v>
      </c>
      <c r="AC40" s="62">
        <f>'Parameter Input'!AK4</f>
        <v>8.8333328500000016E-2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79.471914462993496</v>
      </c>
      <c r="C46" s="62">
        <f t="shared" si="46"/>
        <v>79.245803905143291</v>
      </c>
      <c r="D46" s="62">
        <f t="shared" si="46"/>
        <v>78.924759326348806</v>
      </c>
      <c r="E46" s="62">
        <f t="shared" si="46"/>
        <v>78.470993664637106</v>
      </c>
      <c r="F46" s="62">
        <f t="shared" si="46"/>
        <v>77.833914862204551</v>
      </c>
      <c r="G46" s="62">
        <f t="shared" si="46"/>
        <v>76.948144060056592</v>
      </c>
      <c r="H46" s="62">
        <f t="shared" si="46"/>
        <v>75.733785427063381</v>
      </c>
      <c r="I46" s="62">
        <f t="shared" si="46"/>
        <v>74.101817549730796</v>
      </c>
      <c r="J46" s="62">
        <f t="shared" si="46"/>
        <v>71.968520261049548</v>
      </c>
      <c r="K46" s="62">
        <f t="shared" si="46"/>
        <v>69.281992899997348</v>
      </c>
      <c r="L46" s="62">
        <f t="shared" si="47"/>
        <v>66.058237183514677</v>
      </c>
      <c r="M46" s="62">
        <f t="shared" si="47"/>
        <v>62.412899152339826</v>
      </c>
      <c r="N46" s="62">
        <f t="shared" si="47"/>
        <v>58.564530749274141</v>
      </c>
      <c r="O46" s="62">
        <f t="shared" si="47"/>
        <v>54.79189103820957</v>
      </c>
      <c r="P46" s="62">
        <f t="shared" si="47"/>
        <v>51.357579454892473</v>
      </c>
      <c r="Q46" s="62">
        <f t="shared" si="47"/>
        <v>48.438903664447089</v>
      </c>
      <c r="R46" s="62">
        <f t="shared" si="47"/>
        <v>46.101567061519283</v>
      </c>
      <c r="S46" s="62">
        <f t="shared" si="47"/>
        <v>44.318075495083995</v>
      </c>
      <c r="T46" s="62">
        <f t="shared" si="47"/>
        <v>43.007066157523667</v>
      </c>
      <c r="U46" s="62">
        <f t="shared" si="47"/>
        <v>42.069713447100085</v>
      </c>
      <c r="V46" s="62">
        <f t="shared" si="48"/>
        <v>41.412767625013835</v>
      </c>
      <c r="W46" s="62">
        <f t="shared" si="48"/>
        <v>40.958777682906323</v>
      </c>
      <c r="X46" s="62">
        <f t="shared" si="48"/>
        <v>40.648089742335586</v>
      </c>
      <c r="Y46" s="62">
        <f t="shared" si="48"/>
        <v>40.43688962256433</v>
      </c>
      <c r="Z46" s="62">
        <f t="shared" si="48"/>
        <v>40.29397285162436</v>
      </c>
      <c r="AA46" s="62">
        <f t="shared" si="48"/>
        <v>40.197561048740226</v>
      </c>
      <c r="AB46" s="62">
        <f t="shared" si="48"/>
        <v>40.132657101971823</v>
      </c>
      <c r="AC46" s="62">
        <f t="shared" si="48"/>
        <v>40.08902544858671</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0">((1+C35)^C42)*C35/(((1+C35)^C42)-1)*(C31)</f>
        <v>865681.10860566224</v>
      </c>
      <c r="D50" s="63">
        <f t="shared" si="50"/>
        <v>863057.03397703567</v>
      </c>
      <c r="E50" s="63">
        <f t="shared" si="50"/>
        <v>859348.15664694412</v>
      </c>
      <c r="F50" s="63">
        <f t="shared" si="50"/>
        <v>854140.95978918544</v>
      </c>
      <c r="G50" s="63">
        <f t="shared" si="50"/>
        <v>846901.06588590739</v>
      </c>
      <c r="H50" s="63">
        <f t="shared" si="50"/>
        <v>836975.44218948286</v>
      </c>
      <c r="I50" s="63">
        <f t="shared" si="50"/>
        <v>823636.46752832399</v>
      </c>
      <c r="J50" s="63">
        <f t="shared" si="50"/>
        <v>806199.8507457996</v>
      </c>
      <c r="K50" s="63">
        <f t="shared" si="50"/>
        <v>784241.37907896913</v>
      </c>
      <c r="L50" s="63">
        <f t="shared" si="50"/>
        <v>757891.84339680034</v>
      </c>
      <c r="M50" s="63">
        <f t="shared" si="50"/>
        <v>728096.48265190842</v>
      </c>
      <c r="N50" s="63">
        <f t="shared" si="50"/>
        <v>696641.64256081509</v>
      </c>
      <c r="O50" s="63">
        <f t="shared" si="50"/>
        <v>665805.77488808637</v>
      </c>
      <c r="P50" s="63">
        <f t="shared" si="50"/>
        <v>637735.24983383913</v>
      </c>
      <c r="Q50" s="63">
        <f t="shared" si="50"/>
        <v>613879.3008573663</v>
      </c>
      <c r="R50" s="63">
        <f t="shared" si="50"/>
        <v>594774.95808561263</v>
      </c>
      <c r="S50" s="63">
        <f t="shared" si="50"/>
        <v>580197.49663952412</v>
      </c>
      <c r="T50" s="63">
        <f t="shared" si="50"/>
        <v>569481.893362551</v>
      </c>
      <c r="U50" s="63">
        <f t="shared" si="50"/>
        <v>561820.39203855116</v>
      </c>
      <c r="V50" s="63">
        <f t="shared" si="50"/>
        <v>556450.81105826527</v>
      </c>
      <c r="W50" s="63">
        <f t="shared" si="50"/>
        <v>552740.10056064755</v>
      </c>
      <c r="X50" s="63">
        <f t="shared" si="50"/>
        <v>550200.67645533092</v>
      </c>
      <c r="Y50" s="63">
        <f t="shared" si="50"/>
        <v>548474.42124823271</v>
      </c>
      <c r="Z50" s="63">
        <f t="shared" si="50"/>
        <v>547306.28355832992</v>
      </c>
      <c r="AA50" s="63">
        <f t="shared" si="50"/>
        <v>546518.25665316184</v>
      </c>
      <c r="AB50" s="63">
        <f t="shared" si="50"/>
        <v>545987.76085518813</v>
      </c>
      <c r="AC50" s="63">
        <f t="shared" si="50"/>
        <v>545631.13525794924</v>
      </c>
    </row>
    <row r="51" spans="1:29" x14ac:dyDescent="0.25">
      <c r="A51" s="30" t="str">
        <f>A32</f>
        <v>Residual value (vehicle)</v>
      </c>
      <c r="B51" s="62">
        <f>((1+B35)^B42)*B35/(((1+B35)^B42)-1)*(B32)</f>
        <v>-44095.850871439077</v>
      </c>
      <c r="C51" s="62">
        <f t="shared" ref="C51:AC51" si="51">((1+C35)^C42)*C35/(((1+C35)^C42)-1)*(C32)</f>
        <v>-44311.465624091747</v>
      </c>
      <c r="D51" s="62">
        <f t="shared" si="51"/>
        <v>-44617.607664098185</v>
      </c>
      <c r="E51" s="62">
        <f t="shared" si="51"/>
        <v>-45050.310019275523</v>
      </c>
      <c r="F51" s="62">
        <f t="shared" si="51"/>
        <v>-45657.816319347374</v>
      </c>
      <c r="G51" s="62">
        <f t="shared" si="51"/>
        <v>-46502.470608063151</v>
      </c>
      <c r="H51" s="62">
        <f t="shared" si="51"/>
        <v>-47660.460039312675</v>
      </c>
      <c r="I51" s="62">
        <f t="shared" si="51"/>
        <v>-49216.673749781199</v>
      </c>
      <c r="J51" s="62">
        <f t="shared" si="51"/>
        <v>-51250.945707742365</v>
      </c>
      <c r="K51" s="62">
        <f t="shared" si="51"/>
        <v>-53812.767402205936</v>
      </c>
      <c r="L51" s="62">
        <f t="shared" si="51"/>
        <v>-56886.879898458967</v>
      </c>
      <c r="M51" s="62">
        <f t="shared" si="51"/>
        <v>-60363.005318696356</v>
      </c>
      <c r="N51" s="62">
        <f t="shared" si="51"/>
        <v>-64032.73666265724</v>
      </c>
      <c r="O51" s="62">
        <f t="shared" si="51"/>
        <v>-67630.254557808934</v>
      </c>
      <c r="P51" s="62">
        <f t="shared" si="51"/>
        <v>-70905.149147471107</v>
      </c>
      <c r="Q51" s="62">
        <f t="shared" si="51"/>
        <v>-73688.343194726258</v>
      </c>
      <c r="R51" s="62">
        <f t="shared" si="51"/>
        <v>-75917.183184764202</v>
      </c>
      <c r="S51" s="62">
        <f t="shared" si="51"/>
        <v>-77617.887020141206</v>
      </c>
      <c r="T51" s="62">
        <f t="shared" si="51"/>
        <v>-78868.040735788047</v>
      </c>
      <c r="U51" s="62">
        <f t="shared" si="51"/>
        <v>-79761.882556921351</v>
      </c>
      <c r="V51" s="62">
        <f t="shared" si="51"/>
        <v>-80388.333671288041</v>
      </c>
      <c r="W51" s="62">
        <f t="shared" si="51"/>
        <v>-80821.249896010122</v>
      </c>
      <c r="X51" s="62">
        <f t="shared" si="51"/>
        <v>-81117.516041630384</v>
      </c>
      <c r="Y51" s="62">
        <f t="shared" si="51"/>
        <v>-81318.912482458516</v>
      </c>
      <c r="Z51" s="62">
        <f t="shared" si="51"/>
        <v>-81455.19521294719</v>
      </c>
      <c r="AA51" s="62">
        <f t="shared" si="51"/>
        <v>-81547.131685216795</v>
      </c>
      <c r="AB51" s="62">
        <f t="shared" si="51"/>
        <v>-81609.022861647056</v>
      </c>
      <c r="AC51" s="62">
        <f t="shared" si="51"/>
        <v>-81650.629181324926</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1293563.9575177333</v>
      </c>
      <c r="C55" s="62">
        <f t="shared" si="55"/>
        <v>1290808.235093934</v>
      </c>
      <c r="D55" s="62">
        <f t="shared" si="55"/>
        <v>1286895.5042898762</v>
      </c>
      <c r="E55" s="62">
        <f t="shared" si="55"/>
        <v>1281365.2352877648</v>
      </c>
      <c r="F55" s="62">
        <f t="shared" si="55"/>
        <v>1273600.837383118</v>
      </c>
      <c r="G55" s="62">
        <f t="shared" si="55"/>
        <v>1262805.5057319398</v>
      </c>
      <c r="H55" s="62">
        <f t="shared" si="55"/>
        <v>1248005.5098923349</v>
      </c>
      <c r="I55" s="62">
        <f t="shared" si="55"/>
        <v>1228115.9013873441</v>
      </c>
      <c r="J55" s="62">
        <f t="shared" si="55"/>
        <v>1202116.3406815415</v>
      </c>
      <c r="K55" s="62">
        <f t="shared" si="55"/>
        <v>1169374.2884687176</v>
      </c>
      <c r="L55" s="62">
        <f t="shared" si="55"/>
        <v>1130084.7656740851</v>
      </c>
      <c r="M55" s="62">
        <f t="shared" si="55"/>
        <v>1085657.2084191416</v>
      </c>
      <c r="N55" s="62">
        <f t="shared" si="55"/>
        <v>1038755.2185067786</v>
      </c>
      <c r="O55" s="62">
        <f t="shared" si="55"/>
        <v>992776.17202817916</v>
      </c>
      <c r="P55" s="62">
        <f t="shared" si="55"/>
        <v>950920.49960650213</v>
      </c>
      <c r="Q55" s="62">
        <f t="shared" si="55"/>
        <v>915349.13841044903</v>
      </c>
      <c r="R55" s="62">
        <f t="shared" si="55"/>
        <v>886862.84856226621</v>
      </c>
      <c r="S55" s="62">
        <f t="shared" si="55"/>
        <v>865126.54509633617</v>
      </c>
      <c r="T55" s="62">
        <f t="shared" si="55"/>
        <v>849148.61879481981</v>
      </c>
      <c r="U55" s="62">
        <f t="shared" si="55"/>
        <v>837724.6326365323</v>
      </c>
      <c r="V55" s="62">
        <f t="shared" si="55"/>
        <v>829718.10542985611</v>
      </c>
      <c r="W55" s="62">
        <f t="shared" si="55"/>
        <v>824185.10301042092</v>
      </c>
      <c r="X55" s="62">
        <f t="shared" si="55"/>
        <v>820398.59373471502</v>
      </c>
      <c r="Y55" s="62">
        <f t="shared" si="55"/>
        <v>817824.59227500285</v>
      </c>
      <c r="Z55" s="62">
        <f t="shared" si="55"/>
        <v>816082.79412917187</v>
      </c>
      <c r="AA55" s="62">
        <f t="shared" si="55"/>
        <v>814907.77528152149</v>
      </c>
      <c r="AB55" s="62">
        <f t="shared" si="55"/>
        <v>814116.75843028165</v>
      </c>
      <c r="AC55" s="62">
        <f t="shared" si="55"/>
        <v>813584.99765465059</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564609.2417724753</v>
      </c>
      <c r="C57" s="62">
        <f t="shared" ref="C57:AC57" si="57">C39*C40*C47</f>
        <v>564609.2417724753</v>
      </c>
      <c r="D57" s="62">
        <f t="shared" si="57"/>
        <v>564609.2417724753</v>
      </c>
      <c r="E57" s="62">
        <f t="shared" si="57"/>
        <v>564609.2417724753</v>
      </c>
      <c r="F57" s="62">
        <f t="shared" si="57"/>
        <v>564609.2417724753</v>
      </c>
      <c r="G57" s="62">
        <f t="shared" si="57"/>
        <v>564609.2417724753</v>
      </c>
      <c r="H57" s="62">
        <f t="shared" si="57"/>
        <v>564609.2417724753</v>
      </c>
      <c r="I57" s="62">
        <f t="shared" si="57"/>
        <v>564609.2417724753</v>
      </c>
      <c r="J57" s="62">
        <f t="shared" si="57"/>
        <v>575601.63362323598</v>
      </c>
      <c r="K57" s="62">
        <f t="shared" si="57"/>
        <v>586594.02547399676</v>
      </c>
      <c r="L57" s="62">
        <f t="shared" si="57"/>
        <v>597586.41732475744</v>
      </c>
      <c r="M57" s="62">
        <f t="shared" si="57"/>
        <v>608578.80917551811</v>
      </c>
      <c r="N57" s="62">
        <f t="shared" si="57"/>
        <v>619571.20102627878</v>
      </c>
      <c r="O57" s="62">
        <f t="shared" si="57"/>
        <v>613575.35092586384</v>
      </c>
      <c r="P57" s="62">
        <f t="shared" si="57"/>
        <v>607579.50082544889</v>
      </c>
      <c r="Q57" s="62">
        <f t="shared" si="57"/>
        <v>601583.65072503395</v>
      </c>
      <c r="R57" s="62">
        <f t="shared" si="57"/>
        <v>595587.80062461901</v>
      </c>
      <c r="S57" s="62">
        <f t="shared" si="57"/>
        <v>589591.95052420418</v>
      </c>
      <c r="T57" s="62">
        <f t="shared" si="57"/>
        <v>583596.10042378923</v>
      </c>
      <c r="U57" s="62">
        <f t="shared" si="57"/>
        <v>577600.25032337429</v>
      </c>
      <c r="V57" s="62">
        <f t="shared" si="57"/>
        <v>571604.40022295923</v>
      </c>
      <c r="W57" s="62">
        <f t="shared" si="57"/>
        <v>565608.5501225444</v>
      </c>
      <c r="X57" s="62">
        <f t="shared" si="57"/>
        <v>559612.70002212957</v>
      </c>
      <c r="Y57" s="62">
        <f t="shared" si="57"/>
        <v>553616.84992171463</v>
      </c>
      <c r="Z57" s="62">
        <f t="shared" si="57"/>
        <v>547620.99982129969</v>
      </c>
      <c r="AA57" s="62">
        <f t="shared" si="57"/>
        <v>541625.14972088463</v>
      </c>
      <c r="AB57" s="62">
        <f t="shared" si="57"/>
        <v>535629.29962046968</v>
      </c>
      <c r="AC57" s="62">
        <f t="shared" si="57"/>
        <v>529633.44952005497</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209</v>
      </c>
      <c r="B59" s="64">
        <f>B50+B51+B52+B53+B54+B55+B56+B57+B58</f>
        <v>4321475.740321029</v>
      </c>
      <c r="C59" s="64">
        <f t="shared" ref="C59:AC59" si="59">C50+C51+C52+C53+C54+C55+C56+C57+C58</f>
        <v>4316656.2766932677</v>
      </c>
      <c r="D59" s="64">
        <f t="shared" si="59"/>
        <v>4309813.3292205771</v>
      </c>
      <c r="E59" s="64">
        <f t="shared" si="59"/>
        <v>4300141.4805331975</v>
      </c>
      <c r="F59" s="64">
        <f t="shared" si="59"/>
        <v>4286562.37947072</v>
      </c>
      <c r="G59" s="64">
        <f t="shared" si="59"/>
        <v>4267682.4996275473</v>
      </c>
      <c r="H59" s="64">
        <f t="shared" si="59"/>
        <v>4241798.8906602692</v>
      </c>
      <c r="I59" s="64">
        <f t="shared" si="59"/>
        <v>4207014.0937836505</v>
      </c>
      <c r="J59" s="64">
        <f t="shared" si="59"/>
        <v>4172536.0361881228</v>
      </c>
      <c r="K59" s="64">
        <f t="shared" si="59"/>
        <v>4126266.0824647658</v>
      </c>
      <c r="L59" s="64">
        <f t="shared" si="59"/>
        <v>4068545.3033424718</v>
      </c>
      <c r="M59" s="64">
        <f t="shared" si="59"/>
        <v>4001838.6517731603</v>
      </c>
      <c r="N59" s="64">
        <f t="shared" si="59"/>
        <v>3930804.482276503</v>
      </c>
      <c r="O59" s="64">
        <f t="shared" si="59"/>
        <v>3844396.2001296086</v>
      </c>
      <c r="P59" s="64">
        <f t="shared" si="59"/>
        <v>3765199.2579636076</v>
      </c>
      <c r="Q59" s="64">
        <f t="shared" si="59"/>
        <v>3696992.9036434116</v>
      </c>
      <c r="R59" s="64">
        <f t="shared" si="59"/>
        <v>3641177.5809330223</v>
      </c>
      <c r="S59" s="64">
        <f t="shared" si="59"/>
        <v>3597167.2620852115</v>
      </c>
      <c r="T59" s="64">
        <f t="shared" si="59"/>
        <v>3563227.7286906601</v>
      </c>
      <c r="U59" s="64">
        <f t="shared" si="59"/>
        <v>3537252.5492868247</v>
      </c>
      <c r="V59" s="64">
        <f t="shared" si="59"/>
        <v>3517254.139885081</v>
      </c>
      <c r="W59" s="64">
        <f t="shared" si="59"/>
        <v>3501581.6606428912</v>
      </c>
      <c r="X59" s="64">
        <f t="shared" si="59"/>
        <v>3488963.611015833</v>
      </c>
      <c r="Y59" s="64">
        <f t="shared" si="59"/>
        <v>3478466.1078077797</v>
      </c>
      <c r="Z59" s="64">
        <f t="shared" si="59"/>
        <v>3469424.0391411427</v>
      </c>
      <c r="AA59" s="64">
        <f t="shared" si="59"/>
        <v>3461373.2068156395</v>
      </c>
      <c r="AB59" s="64">
        <f t="shared" si="59"/>
        <v>3453993.9528895807</v>
      </c>
      <c r="AC59" s="64">
        <f t="shared" si="59"/>
        <v>3447068.1100966185</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4.8601077594228057</v>
      </c>
      <c r="C62" s="65">
        <f t="shared" ref="C62:AC62" si="61">((1+C35)^C42)*C35/(((1+C35)^C42)-1)*(C31)/C47</f>
        <v>4.8497541098356427</v>
      </c>
      <c r="D62" s="65">
        <f t="shared" si="61"/>
        <v>4.8350534116360544</v>
      </c>
      <c r="E62" s="65">
        <f t="shared" si="61"/>
        <v>4.8142753873778386</v>
      </c>
      <c r="F62" s="65">
        <f t="shared" si="61"/>
        <v>4.7851034161859127</v>
      </c>
      <c r="G62" s="65">
        <f t="shared" si="61"/>
        <v>4.7445437864756714</v>
      </c>
      <c r="H62" s="65">
        <f t="shared" si="61"/>
        <v>4.6889380514816965</v>
      </c>
      <c r="I62" s="65">
        <f t="shared" si="61"/>
        <v>4.6142099021194625</v>
      </c>
      <c r="J62" s="65">
        <f t="shared" si="61"/>
        <v>4.5165257744862721</v>
      </c>
      <c r="K62" s="65">
        <f t="shared" si="61"/>
        <v>4.3935091264928241</v>
      </c>
      <c r="L62" s="65">
        <f t="shared" si="61"/>
        <v>4.2458926800941192</v>
      </c>
      <c r="M62" s="65">
        <f t="shared" si="61"/>
        <v>4.0789718916073303</v>
      </c>
      <c r="N62" s="65">
        <f t="shared" si="61"/>
        <v>3.9027543000605887</v>
      </c>
      <c r="O62" s="65">
        <f t="shared" si="61"/>
        <v>3.7300043411097277</v>
      </c>
      <c r="P62" s="65">
        <f t="shared" si="61"/>
        <v>3.5727464976685668</v>
      </c>
      <c r="Q62" s="65">
        <f t="shared" si="61"/>
        <v>3.4390997246911277</v>
      </c>
      <c r="R62" s="65">
        <f t="shared" si="61"/>
        <v>3.3320725943171574</v>
      </c>
      <c r="S62" s="65">
        <f t="shared" si="61"/>
        <v>3.2504061436387905</v>
      </c>
      <c r="T62" s="65">
        <f t="shared" si="61"/>
        <v>3.1903747527313779</v>
      </c>
      <c r="U62" s="65">
        <f t="shared" si="61"/>
        <v>3.147453176686561</v>
      </c>
      <c r="V62" s="65">
        <f t="shared" si="61"/>
        <v>3.1173714905224945</v>
      </c>
      <c r="W62" s="65">
        <f t="shared" si="61"/>
        <v>3.0965831964181936</v>
      </c>
      <c r="X62" s="65">
        <f t="shared" si="61"/>
        <v>3.0823567308421902</v>
      </c>
      <c r="Y62" s="65">
        <f t="shared" si="61"/>
        <v>3.0726858333234324</v>
      </c>
      <c r="Z62" s="65">
        <f t="shared" si="61"/>
        <v>3.0661416445844814</v>
      </c>
      <c r="AA62" s="65">
        <f t="shared" si="61"/>
        <v>3.0617269280289179</v>
      </c>
      <c r="AB62" s="65">
        <f t="shared" si="61"/>
        <v>3.058754962774163</v>
      </c>
      <c r="AC62" s="65">
        <f t="shared" si="61"/>
        <v>3.0567570602686231</v>
      </c>
    </row>
    <row r="63" spans="1:29" x14ac:dyDescent="0.25">
      <c r="A63" s="30" t="str">
        <f t="shared" si="60"/>
        <v>Residual value (vehicle)</v>
      </c>
      <c r="B63" s="66">
        <f>((1+B35)^B42)*B35/(((1+B35)^B42)-1)*(B32)/B47</f>
        <v>-0.24703557911170351</v>
      </c>
      <c r="C63" s="66">
        <f t="shared" ref="C63:AC63" si="62">((1+C35)^C42)*C35/(((1+C35)^C42)-1)*(C32)/C47</f>
        <v>-0.24824350489687252</v>
      </c>
      <c r="D63" s="66">
        <f t="shared" si="62"/>
        <v>-0.24995858635349122</v>
      </c>
      <c r="E63" s="66">
        <f t="shared" si="62"/>
        <v>-0.25238268918361639</v>
      </c>
      <c r="F63" s="66">
        <f t="shared" si="62"/>
        <v>-0.25578608582267437</v>
      </c>
      <c r="G63" s="66">
        <f t="shared" si="62"/>
        <v>-0.26051804262220252</v>
      </c>
      <c r="H63" s="66">
        <f t="shared" si="62"/>
        <v>-0.26700537837149957</v>
      </c>
      <c r="I63" s="66">
        <f t="shared" si="62"/>
        <v>-0.27572366246376023</v>
      </c>
      <c r="J63" s="66">
        <f t="shared" si="62"/>
        <v>-0.28712014402096564</v>
      </c>
      <c r="K63" s="66">
        <f t="shared" si="62"/>
        <v>-0.301472086286868</v>
      </c>
      <c r="L63" s="66">
        <f t="shared" si="62"/>
        <v>-0.31869400503338358</v>
      </c>
      <c r="M63" s="66">
        <f t="shared" si="62"/>
        <v>-0.33816809702350897</v>
      </c>
      <c r="N63" s="66">
        <f t="shared" si="62"/>
        <v>-0.35872681603729545</v>
      </c>
      <c r="O63" s="66">
        <f t="shared" si="62"/>
        <v>-0.378880977914896</v>
      </c>
      <c r="P63" s="66">
        <f t="shared" si="62"/>
        <v>-0.39722772631636477</v>
      </c>
      <c r="Q63" s="66">
        <f t="shared" si="62"/>
        <v>-0.41281984983039921</v>
      </c>
      <c r="R63" s="66">
        <f t="shared" si="62"/>
        <v>-0.42530634837402914</v>
      </c>
      <c r="S63" s="66">
        <f t="shared" si="62"/>
        <v>-0.43483410095317204</v>
      </c>
      <c r="T63" s="66">
        <f t="shared" si="62"/>
        <v>-0.44183776322570334</v>
      </c>
      <c r="U63" s="66">
        <f t="shared" si="62"/>
        <v>-0.44684528043093191</v>
      </c>
      <c r="V63" s="66">
        <f t="shared" si="62"/>
        <v>-0.45035481048340636</v>
      </c>
      <c r="W63" s="66">
        <f t="shared" si="62"/>
        <v>-0.45278011146224156</v>
      </c>
      <c r="X63" s="66">
        <f t="shared" si="62"/>
        <v>-0.45443986577944195</v>
      </c>
      <c r="Y63" s="66">
        <f t="shared" si="62"/>
        <v>-0.45556813715663036</v>
      </c>
      <c r="Z63" s="66">
        <f t="shared" si="62"/>
        <v>-0.45633162584284143</v>
      </c>
      <c r="AA63" s="66">
        <f t="shared" si="62"/>
        <v>-0.45684667610765711</v>
      </c>
      <c r="AB63" s="66">
        <f t="shared" si="62"/>
        <v>-0.45719340538737846</v>
      </c>
      <c r="AC63" s="66">
        <f t="shared" si="62"/>
        <v>-0.45742649401302482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7.246856904861251</v>
      </c>
      <c r="C67" s="66">
        <f t="shared" ref="C67:AC67" si="66">C37/C47</f>
        <v>7.2314186839996299</v>
      </c>
      <c r="D67" s="66">
        <f t="shared" si="66"/>
        <v>7.2094986234726957</v>
      </c>
      <c r="E67" s="66">
        <f t="shared" si="66"/>
        <v>7.1785167243012031</v>
      </c>
      <c r="F67" s="66">
        <f t="shared" si="66"/>
        <v>7.1350186968241909</v>
      </c>
      <c r="G67" s="66">
        <f t="shared" si="66"/>
        <v>7.0745406483582061</v>
      </c>
      <c r="H67" s="66">
        <f t="shared" si="66"/>
        <v>6.9916275063996354</v>
      </c>
      <c r="I67" s="66">
        <f t="shared" si="66"/>
        <v>6.8802011282204152</v>
      </c>
      <c r="J67" s="66">
        <f t="shared" si="66"/>
        <v>6.7345453259470114</v>
      </c>
      <c r="K67" s="66">
        <f t="shared" si="66"/>
        <v>6.5511164620096221</v>
      </c>
      <c r="L67" s="66">
        <f t="shared" si="66"/>
        <v>6.3310070906111209</v>
      </c>
      <c r="M67" s="66">
        <f t="shared" si="66"/>
        <v>6.0821132124321657</v>
      </c>
      <c r="N67" s="66">
        <f t="shared" si="66"/>
        <v>5.8193569664245297</v>
      </c>
      <c r="O67" s="66">
        <f t="shared" si="66"/>
        <v>5.56177127186655</v>
      </c>
      <c r="P67" s="66">
        <f t="shared" si="66"/>
        <v>5.3272857120812445</v>
      </c>
      <c r="Q67" s="66">
        <f t="shared" si="66"/>
        <v>5.1280063776495748</v>
      </c>
      <c r="R67" s="66">
        <f t="shared" si="66"/>
        <v>4.9684193196765616</v>
      </c>
      <c r="S67" s="66">
        <f t="shared" si="66"/>
        <v>4.8466473114640678</v>
      </c>
      <c r="T67" s="66">
        <f t="shared" si="66"/>
        <v>4.7571351192987104</v>
      </c>
      <c r="U67" s="66">
        <f t="shared" si="66"/>
        <v>4.6931351968433184</v>
      </c>
      <c r="V67" s="66">
        <f t="shared" si="66"/>
        <v>4.6482807026882691</v>
      </c>
      <c r="W67" s="66">
        <f t="shared" si="66"/>
        <v>4.6172834902544588</v>
      </c>
      <c r="X67" s="66">
        <f t="shared" si="66"/>
        <v>4.5960705531356583</v>
      </c>
      <c r="Y67" s="66">
        <f t="shared" si="66"/>
        <v>4.5816503768907726</v>
      </c>
      <c r="Z67" s="66">
        <f t="shared" si="66"/>
        <v>4.5718924040849966</v>
      </c>
      <c r="AA67" s="66">
        <f t="shared" si="66"/>
        <v>4.5653096654426975</v>
      </c>
      <c r="AB67" s="66">
        <f t="shared" si="66"/>
        <v>4.5608781984889726</v>
      </c>
      <c r="AC67" s="66">
        <f t="shared" si="66"/>
        <v>4.5578991465246528</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3.1630769847197495</v>
      </c>
      <c r="C69" s="66">
        <f t="shared" ref="C69:AC69" si="68">C39*C40*C47/C47</f>
        <v>3.1630769847197495</v>
      </c>
      <c r="D69" s="66">
        <f t="shared" si="68"/>
        <v>3.1630769847197495</v>
      </c>
      <c r="E69" s="66">
        <f t="shared" si="68"/>
        <v>3.1630769847197495</v>
      </c>
      <c r="F69" s="66">
        <f t="shared" si="68"/>
        <v>3.1630769847197495</v>
      </c>
      <c r="G69" s="66">
        <f t="shared" si="68"/>
        <v>3.1630769847197495</v>
      </c>
      <c r="H69" s="66">
        <f t="shared" si="68"/>
        <v>3.1630769847197495</v>
      </c>
      <c r="I69" s="66">
        <f t="shared" si="68"/>
        <v>3.1630769847197495</v>
      </c>
      <c r="J69" s="66">
        <f t="shared" si="68"/>
        <v>3.2246590118948792</v>
      </c>
      <c r="K69" s="66">
        <f t="shared" si="68"/>
        <v>3.2862410390700099</v>
      </c>
      <c r="L69" s="66">
        <f t="shared" si="68"/>
        <v>3.3478230662451396</v>
      </c>
      <c r="M69" s="66">
        <f t="shared" si="68"/>
        <v>3.4094050934202693</v>
      </c>
      <c r="N69" s="66">
        <f t="shared" si="68"/>
        <v>3.4709871205953995</v>
      </c>
      <c r="O69" s="66">
        <f t="shared" si="68"/>
        <v>3.4373969239544193</v>
      </c>
      <c r="P69" s="66">
        <f t="shared" si="68"/>
        <v>3.4038067273134391</v>
      </c>
      <c r="Q69" s="66">
        <f t="shared" si="68"/>
        <v>3.370216530672459</v>
      </c>
      <c r="R69" s="66">
        <f t="shared" si="68"/>
        <v>3.3366263340314792</v>
      </c>
      <c r="S69" s="66">
        <f t="shared" si="68"/>
        <v>3.3030361373904995</v>
      </c>
      <c r="T69" s="66">
        <f t="shared" si="68"/>
        <v>3.2694459407495193</v>
      </c>
      <c r="U69" s="66">
        <f t="shared" si="68"/>
        <v>3.2358557441085396</v>
      </c>
      <c r="V69" s="66">
        <f t="shared" si="68"/>
        <v>3.2022655474675585</v>
      </c>
      <c r="W69" s="66">
        <f t="shared" si="68"/>
        <v>3.1686753508265793</v>
      </c>
      <c r="X69" s="66">
        <f t="shared" si="68"/>
        <v>3.1350851541856</v>
      </c>
      <c r="Y69" s="66">
        <f t="shared" si="68"/>
        <v>3.1014949575446198</v>
      </c>
      <c r="Z69" s="66">
        <f t="shared" si="68"/>
        <v>3.0679047609036396</v>
      </c>
      <c r="AA69" s="66">
        <f t="shared" si="68"/>
        <v>3.034314564262659</v>
      </c>
      <c r="AB69" s="66">
        <f t="shared" si="68"/>
        <v>3.0007243676216788</v>
      </c>
      <c r="AC69" s="66">
        <f t="shared" si="68"/>
        <v>2.9671341709807</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63</v>
      </c>
      <c r="B71" s="76">
        <f>B62+B63+B64-B65+B66+B67+B68+B69+B70</f>
        <v>24.380886740318481</v>
      </c>
      <c r="C71" s="76">
        <f t="shared" ref="C71:AC71" si="71">C62+C63+C64-C65+C66+C67+C68+C69+C70</f>
        <v>24.353886944084529</v>
      </c>
      <c r="D71" s="76">
        <f t="shared" si="71"/>
        <v>24.315551103901385</v>
      </c>
      <c r="E71" s="76">
        <f t="shared" si="71"/>
        <v>24.261367077641552</v>
      </c>
      <c r="F71" s="76">
        <f t="shared" si="71"/>
        <v>24.185293682333551</v>
      </c>
      <c r="G71" s="76">
        <f t="shared" si="71"/>
        <v>24.0795240473578</v>
      </c>
      <c r="H71" s="76">
        <f t="shared" si="71"/>
        <v>23.934517834655956</v>
      </c>
      <c r="I71" s="76">
        <f t="shared" si="71"/>
        <v>23.739645023022241</v>
      </c>
      <c r="J71" s="76">
        <f t="shared" si="71"/>
        <v>23.546490638733573</v>
      </c>
      <c r="K71" s="76">
        <f t="shared" si="71"/>
        <v>23.287275211711965</v>
      </c>
      <c r="L71" s="76">
        <f t="shared" si="71"/>
        <v>22.963909502343373</v>
      </c>
      <c r="M71" s="76">
        <f t="shared" si="71"/>
        <v>22.590202770862632</v>
      </c>
      <c r="N71" s="76">
        <f t="shared" si="71"/>
        <v>22.1922522414696</v>
      </c>
      <c r="O71" s="76">
        <f t="shared" si="71"/>
        <v>21.708172229442177</v>
      </c>
      <c r="P71" s="76">
        <f t="shared" si="71"/>
        <v>21.264491881173264</v>
      </c>
      <c r="Q71" s="76">
        <f t="shared" si="71"/>
        <v>20.882383453609137</v>
      </c>
      <c r="R71" s="76">
        <f t="shared" si="71"/>
        <v>20.569692570077542</v>
      </c>
      <c r="S71" s="76">
        <f t="shared" si="71"/>
        <v>20.323136161966563</v>
      </c>
      <c r="T71" s="76">
        <f t="shared" si="71"/>
        <v>20.132998719980282</v>
      </c>
      <c r="U71" s="76">
        <f t="shared" si="71"/>
        <v>19.987479507633864</v>
      </c>
      <c r="V71" s="76">
        <f t="shared" si="71"/>
        <v>19.875443600621292</v>
      </c>
      <c r="W71" s="76">
        <f t="shared" si="71"/>
        <v>19.787642596463368</v>
      </c>
      <c r="X71" s="76">
        <f t="shared" si="71"/>
        <v>19.716953242810384</v>
      </c>
      <c r="Y71" s="76">
        <f t="shared" si="71"/>
        <v>19.658143701028571</v>
      </c>
      <c r="Z71" s="76">
        <f t="shared" si="71"/>
        <v>19.607487854156652</v>
      </c>
      <c r="AA71" s="76">
        <f t="shared" si="71"/>
        <v>19.562385152052993</v>
      </c>
      <c r="AB71" s="76">
        <f t="shared" si="71"/>
        <v>19.521044793923814</v>
      </c>
      <c r="AC71" s="76">
        <f t="shared" si="71"/>
        <v>19.482244554187325</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2">A50</f>
        <v>Capex vehicle</v>
      </c>
      <c r="B74" s="65">
        <f>((1+B35)^B42)*B35/(((1+B35)^B42)-1)*(B31)/B47/(B44)</f>
        <v>2.1696909640280381E-3</v>
      </c>
      <c r="C74" s="65">
        <f t="shared" ref="C74:AC74" si="73">((1+C35)^C42)*C35/(((1+C35)^C42)-1)*(C31)/C47/(C44)</f>
        <v>2.1650687990337689E-3</v>
      </c>
      <c r="D74" s="65">
        <f t="shared" si="73"/>
        <v>2.1585059873375245E-3</v>
      </c>
      <c r="E74" s="65">
        <f t="shared" si="73"/>
        <v>2.1492300836508209E-3</v>
      </c>
      <c r="F74" s="65">
        <f t="shared" si="73"/>
        <v>2.1362068822258539E-3</v>
      </c>
      <c r="G74" s="65">
        <f t="shared" si="73"/>
        <v>2.1180999046766392E-3</v>
      </c>
      <c r="H74" s="65">
        <f t="shared" si="73"/>
        <v>2.093275915840043E-3</v>
      </c>
      <c r="I74" s="65">
        <f t="shared" si="73"/>
        <v>2.0599151348747601E-3</v>
      </c>
      <c r="J74" s="65">
        <f t="shared" si="73"/>
        <v>2.0163061493242286E-3</v>
      </c>
      <c r="K74" s="65">
        <f t="shared" si="73"/>
        <v>1.9613880028985821E-3</v>
      </c>
      <c r="L74" s="65">
        <f t="shared" si="73"/>
        <v>1.8954878036134461E-3</v>
      </c>
      <c r="M74" s="65">
        <f t="shared" si="73"/>
        <v>1.8209695944675583E-3</v>
      </c>
      <c r="N74" s="65">
        <f t="shared" si="73"/>
        <v>1.7423010268127629E-3</v>
      </c>
      <c r="O74" s="65">
        <f t="shared" si="73"/>
        <v>1.6651805094239855E-3</v>
      </c>
      <c r="P74" s="65">
        <f t="shared" si="73"/>
        <v>1.5949761150306102E-3</v>
      </c>
      <c r="Q74" s="65">
        <f t="shared" si="73"/>
        <v>1.5353123770942534E-3</v>
      </c>
      <c r="R74" s="65">
        <f t="shared" si="73"/>
        <v>1.4875324081773025E-3</v>
      </c>
      <c r="S74" s="65">
        <f t="shared" si="73"/>
        <v>1.4510741712673173E-3</v>
      </c>
      <c r="T74" s="65">
        <f t="shared" si="73"/>
        <v>1.4242744431836509E-3</v>
      </c>
      <c r="U74" s="65">
        <f t="shared" si="73"/>
        <v>1.4051130253065005E-3</v>
      </c>
      <c r="V74" s="65">
        <f t="shared" si="73"/>
        <v>1.3916837011261137E-3</v>
      </c>
      <c r="W74" s="65">
        <f t="shared" si="73"/>
        <v>1.3824032126866935E-3</v>
      </c>
      <c r="X74" s="65">
        <f t="shared" si="73"/>
        <v>1.3760521119831207E-3</v>
      </c>
      <c r="Y74" s="65">
        <f t="shared" si="73"/>
        <v>1.3717347470193894E-3</v>
      </c>
      <c r="Z74" s="65">
        <f t="shared" si="73"/>
        <v>1.3688132341895007E-3</v>
      </c>
      <c r="AA74" s="65">
        <f t="shared" si="73"/>
        <v>1.3668423785843384E-3</v>
      </c>
      <c r="AB74" s="65">
        <f t="shared" si="73"/>
        <v>1.3655156083813228E-3</v>
      </c>
      <c r="AC74" s="65">
        <f t="shared" si="73"/>
        <v>1.364623687619921E-3</v>
      </c>
    </row>
    <row r="75" spans="1:29" x14ac:dyDescent="0.25">
      <c r="A75" s="30" t="str">
        <f t="shared" si="72"/>
        <v>Residual value (vehicle)</v>
      </c>
      <c r="B75" s="68">
        <f>((1+B35)^B42)*B35/(((1+B35)^B42)-1)*(B32)/B47/(B44)</f>
        <v>-1.1028374067486764E-4</v>
      </c>
      <c r="C75" s="68">
        <f t="shared" ref="C75:AC75" si="74">((1+C35)^C42)*C35/(((1+C35)^C42)-1)*(C32)/C47/(C44)</f>
        <v>-1.1082299325753238E-4</v>
      </c>
      <c r="D75" s="68">
        <f t="shared" si="74"/>
        <v>-1.115886546220943E-4</v>
      </c>
      <c r="E75" s="68">
        <f t="shared" si="74"/>
        <v>-1.1267084338554303E-4</v>
      </c>
      <c r="F75" s="68">
        <f t="shared" si="74"/>
        <v>-1.1419021688512248E-4</v>
      </c>
      <c r="G75" s="68">
        <f t="shared" si="74"/>
        <v>-1.1630269759919755E-4</v>
      </c>
      <c r="H75" s="68">
        <f t="shared" si="74"/>
        <v>-1.1919882963013374E-4</v>
      </c>
      <c r="I75" s="68">
        <f t="shared" si="74"/>
        <v>-1.230909207427501E-4</v>
      </c>
      <c r="J75" s="68">
        <f t="shared" si="74"/>
        <v>-1.2817863572364536E-4</v>
      </c>
      <c r="K75" s="68">
        <f t="shared" si="74"/>
        <v>-1.345857528066375E-4</v>
      </c>
      <c r="L75" s="68">
        <f t="shared" si="74"/>
        <v>-1.4227410938990337E-4</v>
      </c>
      <c r="M75" s="68">
        <f t="shared" si="74"/>
        <v>-1.5096790045692366E-4</v>
      </c>
      <c r="N75" s="68">
        <f t="shared" si="74"/>
        <v>-1.6014590001664974E-4</v>
      </c>
      <c r="O75" s="68">
        <f t="shared" si="74"/>
        <v>-1.6914329371200715E-4</v>
      </c>
      <c r="P75" s="68">
        <f t="shared" si="74"/>
        <v>-1.7733380639123428E-4</v>
      </c>
      <c r="Q75" s="68">
        <f t="shared" si="74"/>
        <v>-1.842945758171425E-4</v>
      </c>
      <c r="R75" s="68">
        <f t="shared" si="74"/>
        <v>-1.8986890552412014E-4</v>
      </c>
      <c r="S75" s="68">
        <f t="shared" si="74"/>
        <v>-1.9412236649695181E-4</v>
      </c>
      <c r="T75" s="68">
        <f t="shared" si="74"/>
        <v>-1.9724900144004614E-4</v>
      </c>
      <c r="U75" s="68">
        <f t="shared" si="74"/>
        <v>-1.9948450019238032E-4</v>
      </c>
      <c r="V75" s="68">
        <f t="shared" si="74"/>
        <v>-2.0105125468009212E-4</v>
      </c>
      <c r="W75" s="68">
        <f t="shared" si="74"/>
        <v>-2.0213397833135783E-4</v>
      </c>
      <c r="X75" s="68">
        <f t="shared" si="74"/>
        <v>-2.0287494008010802E-4</v>
      </c>
      <c r="Y75" s="68">
        <f t="shared" si="74"/>
        <v>-2.0337863265920998E-4</v>
      </c>
      <c r="Z75" s="68">
        <f t="shared" si="74"/>
        <v>-2.0371947582269707E-4</v>
      </c>
      <c r="AA75" s="68">
        <f t="shared" si="74"/>
        <v>-2.0394940897663265E-4</v>
      </c>
      <c r="AB75" s="68">
        <f t="shared" si="74"/>
        <v>-2.0410419883365111E-4</v>
      </c>
      <c r="AC75" s="68">
        <f t="shared" si="74"/>
        <v>-2.0420825625581466E-4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3.235203975384487E-3</v>
      </c>
      <c r="C79" s="66">
        <f t="shared" ref="C79:AC79" si="78">C37/C47/(C44)</f>
        <v>3.228311912499835E-3</v>
      </c>
      <c r="D79" s="66">
        <f t="shared" si="78"/>
        <v>3.2185261711931679E-3</v>
      </c>
      <c r="E79" s="66">
        <f t="shared" si="78"/>
        <v>3.2046949662058941E-3</v>
      </c>
      <c r="F79" s="66">
        <f t="shared" si="78"/>
        <v>3.1852762039393709E-3</v>
      </c>
      <c r="G79" s="66">
        <f t="shared" si="78"/>
        <v>3.1582770751599136E-3</v>
      </c>
      <c r="H79" s="66">
        <f t="shared" si="78"/>
        <v>3.1212622796426945E-3</v>
      </c>
      <c r="I79" s="66">
        <f t="shared" si="78"/>
        <v>3.0715183608126854E-3</v>
      </c>
      <c r="J79" s="66">
        <f t="shared" si="78"/>
        <v>3.0064934490834873E-3</v>
      </c>
      <c r="K79" s="66">
        <f t="shared" si="78"/>
        <v>2.9246055633971525E-3</v>
      </c>
      <c r="L79" s="66">
        <f t="shared" si="78"/>
        <v>2.826342451165679E-3</v>
      </c>
      <c r="M79" s="66">
        <f t="shared" si="78"/>
        <v>2.7152291126929309E-3</v>
      </c>
      <c r="N79" s="66">
        <f t="shared" si="78"/>
        <v>2.5979272171538078E-3</v>
      </c>
      <c r="O79" s="66">
        <f t="shared" si="78"/>
        <v>2.4829336035118526E-3</v>
      </c>
      <c r="P79" s="66">
        <f t="shared" si="78"/>
        <v>2.37825255003627E-3</v>
      </c>
      <c r="Q79" s="66">
        <f t="shared" si="78"/>
        <v>2.2892885614507032E-3</v>
      </c>
      <c r="R79" s="66">
        <f t="shared" si="78"/>
        <v>2.218044339141322E-3</v>
      </c>
      <c r="S79" s="66">
        <f t="shared" si="78"/>
        <v>2.1636818354750301E-3</v>
      </c>
      <c r="T79" s="66">
        <f t="shared" si="78"/>
        <v>2.12372103540121E-3</v>
      </c>
      <c r="U79" s="66">
        <f t="shared" si="78"/>
        <v>2.0951496414479101E-3</v>
      </c>
      <c r="V79" s="66">
        <f t="shared" si="78"/>
        <v>2.0751253137001203E-3</v>
      </c>
      <c r="W79" s="66">
        <f t="shared" si="78"/>
        <v>2.0612872724350261E-3</v>
      </c>
      <c r="X79" s="66">
        <f t="shared" si="78"/>
        <v>2.0518172112212762E-3</v>
      </c>
      <c r="Y79" s="66">
        <f t="shared" si="78"/>
        <v>2.0453796325405234E-3</v>
      </c>
      <c r="Z79" s="66">
        <f t="shared" si="78"/>
        <v>2.0410233946808022E-3</v>
      </c>
      <c r="AA79" s="66">
        <f t="shared" si="78"/>
        <v>2.0380846720726327E-3</v>
      </c>
      <c r="AB79" s="66">
        <f t="shared" si="78"/>
        <v>2.0361063386111484E-3</v>
      </c>
      <c r="AC79" s="66">
        <f t="shared" si="78"/>
        <v>2.0347764046985059E-3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1.4120879396070311E-3</v>
      </c>
      <c r="C81" s="66">
        <f t="shared" ref="C81:AC81" si="80">C39*C40*C47/C47/(C44)</f>
        <v>1.4120879396070311E-3</v>
      </c>
      <c r="D81" s="66">
        <f t="shared" si="80"/>
        <v>1.4120879396070311E-3</v>
      </c>
      <c r="E81" s="66">
        <f t="shared" si="80"/>
        <v>1.4120879396070311E-3</v>
      </c>
      <c r="F81" s="66">
        <f t="shared" si="80"/>
        <v>1.4120879396070311E-3</v>
      </c>
      <c r="G81" s="66">
        <f t="shared" si="80"/>
        <v>1.4120879396070311E-3</v>
      </c>
      <c r="H81" s="66">
        <f t="shared" si="80"/>
        <v>1.4120879396070311E-3</v>
      </c>
      <c r="I81" s="66">
        <f t="shared" si="80"/>
        <v>1.4120879396070311E-3</v>
      </c>
      <c r="J81" s="66">
        <f t="shared" si="80"/>
        <v>1.4395799160244996E-3</v>
      </c>
      <c r="K81" s="66">
        <f t="shared" si="80"/>
        <v>1.4670718924419688E-3</v>
      </c>
      <c r="L81" s="66">
        <f t="shared" si="80"/>
        <v>1.4945638688594373E-3</v>
      </c>
      <c r="M81" s="66">
        <f t="shared" si="80"/>
        <v>1.522055845276906E-3</v>
      </c>
      <c r="N81" s="66">
        <f t="shared" si="80"/>
        <v>1.5495478216943747E-3</v>
      </c>
      <c r="O81" s="66">
        <f t="shared" si="80"/>
        <v>1.5345521981939372E-3</v>
      </c>
      <c r="P81" s="66">
        <f t="shared" si="80"/>
        <v>1.5195565746934996E-3</v>
      </c>
      <c r="Q81" s="66">
        <f t="shared" si="80"/>
        <v>1.5045609511930621E-3</v>
      </c>
      <c r="R81" s="66">
        <f t="shared" si="80"/>
        <v>1.4895653276926248E-3</v>
      </c>
      <c r="S81" s="66">
        <f t="shared" si="80"/>
        <v>1.4745697041921872E-3</v>
      </c>
      <c r="T81" s="66">
        <f t="shared" si="80"/>
        <v>1.4595740806917497E-3</v>
      </c>
      <c r="U81" s="66">
        <f t="shared" si="80"/>
        <v>1.4445784571913123E-3</v>
      </c>
      <c r="V81" s="66">
        <f t="shared" si="80"/>
        <v>1.4295828336908744E-3</v>
      </c>
      <c r="W81" s="66">
        <f t="shared" si="80"/>
        <v>1.4145872101904372E-3</v>
      </c>
      <c r="X81" s="66">
        <f t="shared" si="80"/>
        <v>1.3995915866899999E-3</v>
      </c>
      <c r="Y81" s="66">
        <f t="shared" si="80"/>
        <v>1.3845959631895624E-3</v>
      </c>
      <c r="Z81" s="66">
        <f t="shared" si="80"/>
        <v>1.3696003396891248E-3</v>
      </c>
      <c r="AA81" s="66">
        <f t="shared" si="80"/>
        <v>1.3546047161886871E-3</v>
      </c>
      <c r="AB81" s="66">
        <f t="shared" si="80"/>
        <v>1.3396090926882495E-3</v>
      </c>
      <c r="AC81" s="66">
        <f t="shared" si="80"/>
        <v>1.3246134691878124E-3</v>
      </c>
    </row>
    <row r="82" spans="1:29" x14ac:dyDescent="0.25">
      <c r="A82" s="59" t="str">
        <f>A45</f>
        <v>Market failure (av. utilization)</v>
      </c>
      <c r="B82" s="66">
        <f t="shared" ref="B82:AC82" si="81">B71/B45-B71/B44</f>
        <v>6.1224324961737259E-3</v>
      </c>
      <c r="C82" s="66">
        <f t="shared" si="81"/>
        <v>6.1156524134140817E-3</v>
      </c>
      <c r="D82" s="66">
        <f t="shared" si="81"/>
        <v>6.1060256678323772E-3</v>
      </c>
      <c r="E82" s="66">
        <f t="shared" si="81"/>
        <v>6.0924191880238256E-3</v>
      </c>
      <c r="F82" s="66">
        <f t="shared" si="81"/>
        <v>6.0733159358538468E-3</v>
      </c>
      <c r="G82" s="66">
        <f t="shared" si="81"/>
        <v>6.0467554806423029E-3</v>
      </c>
      <c r="H82" s="66">
        <f t="shared" si="81"/>
        <v>6.010342090175879E-3</v>
      </c>
      <c r="I82" s="66">
        <f t="shared" si="81"/>
        <v>5.9614063952901832E-3</v>
      </c>
      <c r="J82" s="66">
        <f t="shared" si="81"/>
        <v>5.9129022251284066E-3</v>
      </c>
      <c r="K82" s="66">
        <f t="shared" si="81"/>
        <v>5.8478090654410612E-3</v>
      </c>
      <c r="L82" s="66">
        <f t="shared" si="81"/>
        <v>5.7666067388697072E-3</v>
      </c>
      <c r="M82" s="66">
        <f t="shared" si="81"/>
        <v>5.6727629725938505E-3</v>
      </c>
      <c r="N82" s="66">
        <f t="shared" si="81"/>
        <v>5.5728311990297531E-3</v>
      </c>
      <c r="O82" s="66">
        <f t="shared" si="81"/>
        <v>5.4512709281523321E-3</v>
      </c>
      <c r="P82" s="66">
        <f t="shared" si="81"/>
        <v>5.3398556621249808E-3</v>
      </c>
      <c r="Q82" s="66">
        <f t="shared" si="81"/>
        <v>5.2439020949353286E-3</v>
      </c>
      <c r="R82" s="66">
        <f t="shared" si="81"/>
        <v>5.1653803886913454E-3</v>
      </c>
      <c r="S82" s="66">
        <f t="shared" si="81"/>
        <v>5.103466112100977E-3</v>
      </c>
      <c r="T82" s="66">
        <f t="shared" si="81"/>
        <v>5.0557195446379044E-3</v>
      </c>
      <c r="U82" s="66">
        <f t="shared" si="81"/>
        <v>5.0191773317160918E-3</v>
      </c>
      <c r="V82" s="66">
        <f t="shared" si="81"/>
        <v>4.9910433148881578E-3</v>
      </c>
      <c r="W82" s="66">
        <f t="shared" si="81"/>
        <v>4.9689950716565352E-3</v>
      </c>
      <c r="X82" s="66">
        <f t="shared" si="81"/>
        <v>4.9512438388753729E-3</v>
      </c>
      <c r="Y82" s="66">
        <f t="shared" si="81"/>
        <v>4.9364758177806098E-3</v>
      </c>
      <c r="Z82" s="66">
        <f t="shared" si="81"/>
        <v>4.9237553205192467E-3</v>
      </c>
      <c r="AA82" s="66">
        <f t="shared" si="81"/>
        <v>4.9124293071561628E-3</v>
      </c>
      <c r="AB82" s="66">
        <f t="shared" si="81"/>
        <v>4.9020480788313139E-3</v>
      </c>
      <c r="AC82" s="66">
        <f t="shared" si="81"/>
        <v>4.8923047150582002E-3</v>
      </c>
    </row>
    <row r="83" spans="1:29" x14ac:dyDescent="0.25">
      <c r="A83" s="59" t="str">
        <f>A46</f>
        <v>Payload loss (fuel)</v>
      </c>
      <c r="B83" s="66">
        <f>B71/(B44-B46)-B71/B44</f>
        <v>4.0036420099615229E-4</v>
      </c>
      <c r="C83" s="66">
        <f t="shared" ref="C83:AC83" si="82">C71/(C44-C46)-C71/C44</f>
        <v>3.9874126072898981E-4</v>
      </c>
      <c r="D83" s="66">
        <f t="shared" si="82"/>
        <v>3.9644183471800737E-4</v>
      </c>
      <c r="E83" s="66">
        <f t="shared" si="82"/>
        <v>3.9320165276380409E-4</v>
      </c>
      <c r="F83" s="66">
        <f t="shared" si="82"/>
        <v>3.8867192486630175E-4</v>
      </c>
      <c r="G83" s="66">
        <f t="shared" si="82"/>
        <v>3.8241163591169573E-4</v>
      </c>
      <c r="H83" s="66">
        <f t="shared" si="82"/>
        <v>3.7390015876824154E-4</v>
      </c>
      <c r="I83" s="66">
        <f t="shared" si="82"/>
        <v>3.6259100481412024E-4</v>
      </c>
      <c r="J83" s="66">
        <f t="shared" si="82"/>
        <v>3.4894353810930277E-4</v>
      </c>
      <c r="K83" s="66">
        <f t="shared" si="82"/>
        <v>3.3180858628528882E-4</v>
      </c>
      <c r="L83" s="66">
        <f t="shared" si="82"/>
        <v>3.1151350742250096E-4</v>
      </c>
      <c r="M83" s="66">
        <f t="shared" si="82"/>
        <v>2.8904864119112458E-4</v>
      </c>
      <c r="N83" s="66">
        <f t="shared" si="82"/>
        <v>2.6597796519591335E-4</v>
      </c>
      <c r="O83" s="66">
        <f t="shared" si="82"/>
        <v>2.4299577711931093E-4</v>
      </c>
      <c r="P83" s="66">
        <f t="shared" si="82"/>
        <v>2.2275975188669299E-4</v>
      </c>
      <c r="Q83" s="66">
        <f t="shared" si="82"/>
        <v>2.0605007195978291E-4</v>
      </c>
      <c r="R83" s="66">
        <f t="shared" si="82"/>
        <v>1.9296518162455374E-4</v>
      </c>
      <c r="S83" s="66">
        <f t="shared" si="82"/>
        <v>1.8312775648397957E-4</v>
      </c>
      <c r="T83" s="66">
        <f t="shared" si="82"/>
        <v>1.7594284266629276E-4</v>
      </c>
      <c r="U83" s="66">
        <f t="shared" si="82"/>
        <v>1.707912643513082E-4</v>
      </c>
      <c r="V83" s="66">
        <f t="shared" si="82"/>
        <v>1.671319060104412E-4</v>
      </c>
      <c r="W83" s="66">
        <f t="shared" si="82"/>
        <v>1.6453551555465663E-4</v>
      </c>
      <c r="X83" s="66">
        <f t="shared" si="82"/>
        <v>1.62681138897839E-4</v>
      </c>
      <c r="Y83" s="66">
        <f t="shared" si="82"/>
        <v>1.6133767803556444E-4</v>
      </c>
      <c r="Z83" s="66">
        <f t="shared" si="82"/>
        <v>1.6034276965655458E-4</v>
      </c>
      <c r="AA83" s="66">
        <f t="shared" si="82"/>
        <v>1.595841707120009E-4</v>
      </c>
      <c r="AB83" s="66">
        <f t="shared" si="82"/>
        <v>1.5898511357887238E-4</v>
      </c>
      <c r="AC83" s="66">
        <f t="shared" si="82"/>
        <v>1.58493466725005E-4</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210</v>
      </c>
      <c r="B85" s="77">
        <f>B74+B75+B76+B77+B78+B79+B80+B81+B82+B83+B84</f>
        <v>1.733080925299478E-2</v>
      </c>
      <c r="C85" s="77">
        <f t="shared" ref="C85:AC85" si="84">C74+C75+C76+C77+C78+C79+C80+C81+C82+C83+C84</f>
        <v>1.7310352749506382E-2</v>
      </c>
      <c r="D85" s="77">
        <f t="shared" si="84"/>
        <v>1.7281312363546224E-2</v>
      </c>
      <c r="E85" s="77">
        <f t="shared" si="84"/>
        <v>1.7240276404346045E-2</v>
      </c>
      <c r="F85" s="77">
        <f t="shared" si="84"/>
        <v>1.7182682087087495E-2</v>
      </c>
      <c r="G85" s="77">
        <f t="shared" si="84"/>
        <v>1.7102642755878597E-2</v>
      </c>
      <c r="H85" s="77">
        <f t="shared" si="84"/>
        <v>1.6992982971883966E-2</v>
      </c>
      <c r="I85" s="77">
        <f t="shared" si="84"/>
        <v>1.6845741332136243E-2</v>
      </c>
      <c r="J85" s="77">
        <f t="shared" si="84"/>
        <v>1.6697360059426493E-2</v>
      </c>
      <c r="K85" s="77">
        <f t="shared" si="84"/>
        <v>1.6499410775137627E-2</v>
      </c>
      <c r="L85" s="77">
        <f t="shared" si="84"/>
        <v>1.6253553678021081E-2</v>
      </c>
      <c r="M85" s="77">
        <f t="shared" si="84"/>
        <v>1.5970411683245658E-2</v>
      </c>
      <c r="N85" s="77">
        <f t="shared" si="84"/>
        <v>1.5669752747350177E-2</v>
      </c>
      <c r="O85" s="77">
        <f t="shared" si="84"/>
        <v>1.5309103140169622E-2</v>
      </c>
      <c r="P85" s="77">
        <f t="shared" si="84"/>
        <v>1.4979380264861031E-2</v>
      </c>
      <c r="Q85" s="77">
        <f t="shared" si="84"/>
        <v>1.46961328982962E-2</v>
      </c>
      <c r="R85" s="77">
        <f t="shared" si="84"/>
        <v>1.4464932157283242E-2</v>
      </c>
      <c r="S85" s="77">
        <f t="shared" si="84"/>
        <v>1.4283110630502752E-2</v>
      </c>
      <c r="T85" s="77">
        <f t="shared" si="84"/>
        <v>1.4143296362620975E-2</v>
      </c>
      <c r="U85" s="77">
        <f t="shared" si="84"/>
        <v>1.4036638637300956E-2</v>
      </c>
      <c r="V85" s="77">
        <f t="shared" si="84"/>
        <v>1.3954829232215828E-2</v>
      </c>
      <c r="W85" s="77">
        <f t="shared" si="84"/>
        <v>1.3890987721672203E-2</v>
      </c>
      <c r="X85" s="77">
        <f t="shared" si="84"/>
        <v>1.3839824365067713E-2</v>
      </c>
      <c r="Y85" s="77">
        <f t="shared" si="84"/>
        <v>1.3797458623386652E-2</v>
      </c>
      <c r="Z85" s="77">
        <f t="shared" si="84"/>
        <v>1.3761129000392745E-2</v>
      </c>
      <c r="AA85" s="77">
        <f t="shared" si="84"/>
        <v>1.3728909253217401E-2</v>
      </c>
      <c r="AB85" s="77">
        <f t="shared" si="84"/>
        <v>1.3699473450737468E-2</v>
      </c>
      <c r="AC85" s="77">
        <f t="shared" si="84"/>
        <v>1.3671916904513842E-2</v>
      </c>
    </row>
    <row r="87" spans="1:29" x14ac:dyDescent="0.25">
      <c r="B87" s="40"/>
    </row>
    <row r="107" spans="1:2" s="3" customFormat="1" ht="21" x14ac:dyDescent="0.35">
      <c r="A107" s="2" t="str">
        <f>'Parameter Input'!A158</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Input'!$L$171</f>
        <v>10000000</v>
      </c>
      <c r="C117" s="42">
        <f>'Parameter Input'!$M$171</f>
        <v>6250000</v>
      </c>
      <c r="D117" s="1" t="s">
        <v>15</v>
      </c>
      <c r="L117" s="51">
        <f>'Parameter Input'!$O$171</f>
        <v>12</v>
      </c>
      <c r="M117" s="52">
        <v>0</v>
      </c>
      <c r="N117" s="52">
        <v>1</v>
      </c>
      <c r="O117" s="52">
        <f>'Parameter Input'!$P$171</f>
        <v>0.9</v>
      </c>
      <c r="P117" s="53">
        <f>'Parameter Input'!$Q$171</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28</v>
      </c>
      <c r="B118" s="60">
        <f>'Parameter Input'!$L$172</f>
        <v>-500000</v>
      </c>
      <c r="C118" s="61">
        <f>'Parameter Input'!$M$172</f>
        <v>-937500</v>
      </c>
      <c r="D118" s="1" t="s">
        <v>15</v>
      </c>
      <c r="L118" s="54">
        <f>'Parameter Input'!$O$172</f>
        <v>12</v>
      </c>
      <c r="M118" s="37">
        <v>0</v>
      </c>
      <c r="N118" s="37">
        <v>1</v>
      </c>
      <c r="O118" s="37">
        <f>'Parameter Input'!$P$172</f>
        <v>0.9</v>
      </c>
      <c r="P118" s="55">
        <f>'Parameter Input'!$Q$172</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79</v>
      </c>
      <c r="B121" s="45">
        <f>'Parameter Input'!$L$178</f>
        <v>0.06</v>
      </c>
      <c r="C121" s="46">
        <f>'Parameter Input'!$M$178</f>
        <v>0.06</v>
      </c>
      <c r="D121" s="1" t="s">
        <v>57</v>
      </c>
      <c r="L121" s="54">
        <f>'Parameter Input'!$O$178</f>
        <v>12</v>
      </c>
      <c r="M121" s="37">
        <v>0</v>
      </c>
      <c r="N121" s="37">
        <v>1</v>
      </c>
      <c r="O121" s="37">
        <f>'Parameter Input'!$P$178</f>
        <v>0.9</v>
      </c>
      <c r="P121" s="55">
        <f>'Parameter Input'!$Q$178</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52</v>
      </c>
      <c r="B123" s="43">
        <f>'Parameter Input'!$L$174</f>
        <v>1300000</v>
      </c>
      <c r="C123" s="44">
        <f>'Parameter Input'!$M$174</f>
        <v>812500</v>
      </c>
      <c r="D123" s="1" t="s">
        <v>38</v>
      </c>
      <c r="L123" s="54">
        <f>'Parameter Input'!$O$174</f>
        <v>12</v>
      </c>
      <c r="M123" s="37">
        <v>0</v>
      </c>
      <c r="N123" s="37">
        <v>1</v>
      </c>
      <c r="O123" s="37">
        <f>'Parameter Input'!$P$174</f>
        <v>0.9</v>
      </c>
      <c r="P123" s="55">
        <f>'Parameter Input'!$Q$174</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59</v>
      </c>
      <c r="B125" s="47">
        <f>'Parameter Input'!$L$175</f>
        <v>33.590199999999996</v>
      </c>
      <c r="C125" s="48">
        <f>'Parameter Input'!$M$175</f>
        <v>33.590199999999996</v>
      </c>
      <c r="D125" s="1" t="s">
        <v>60</v>
      </c>
      <c r="L125" s="54">
        <f>'Parameter Input'!$O$175</f>
        <v>12</v>
      </c>
      <c r="M125" s="37">
        <v>0</v>
      </c>
      <c r="N125" s="37">
        <v>1</v>
      </c>
      <c r="O125" s="37">
        <f>'Parameter Input'!$P$175</f>
        <v>0.9</v>
      </c>
      <c r="P125" s="55">
        <f>'Parameter Input'!$Q$175</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67</v>
      </c>
      <c r="B126" s="45">
        <f>'Parameter Input'!$L$176</f>
        <v>0.13371034051801745</v>
      </c>
      <c r="C126" s="46">
        <f>'Parameter Input'!$M$176</f>
        <v>8.7585019329602734E-2</v>
      </c>
      <c r="D126" s="1" t="s">
        <v>68</v>
      </c>
      <c r="L126" s="54">
        <f>'Parameter Input'!$O$176</f>
        <v>12</v>
      </c>
      <c r="M126" s="37">
        <v>0</v>
      </c>
      <c r="N126" s="37">
        <v>1</v>
      </c>
      <c r="O126" s="37">
        <f>'Parameter Input'!$P$176</f>
        <v>0.9</v>
      </c>
      <c r="P126" s="55">
        <f>'Parameter Input'!$Q$176</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206</v>
      </c>
      <c r="B127" s="115">
        <f>'Parameter Input'!$L$179</f>
        <v>0</v>
      </c>
      <c r="C127" s="116">
        <f>'Parameter Input'!$M$179</f>
        <v>0</v>
      </c>
      <c r="D127" s="1" t="s">
        <v>76</v>
      </c>
      <c r="L127" s="54">
        <f>'Parameter Input'!$O$179</f>
        <v>17</v>
      </c>
      <c r="M127" s="37">
        <v>0</v>
      </c>
      <c r="N127" s="37">
        <v>1</v>
      </c>
      <c r="O127" s="37">
        <f>'Parameter Input'!$P$179</f>
        <v>0.9</v>
      </c>
      <c r="P127" s="55">
        <f>'Parameter Input'!$Q$179</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41</v>
      </c>
      <c r="B128" s="43">
        <f>'Parameter Input'!$L$173</f>
        <v>20</v>
      </c>
      <c r="C128" s="44">
        <f>'Parameter Input'!$M$173</f>
        <v>20</v>
      </c>
      <c r="D128" s="1" t="s">
        <v>42</v>
      </c>
      <c r="L128" s="54">
        <f>'Parameter Input'!$O$173</f>
        <v>12</v>
      </c>
      <c r="M128" s="37">
        <v>0</v>
      </c>
      <c r="N128" s="37">
        <v>1</v>
      </c>
      <c r="O128" s="37">
        <f>'Parameter Input'!$P$173</f>
        <v>0.9</v>
      </c>
      <c r="P128" s="55">
        <f>'Parameter Input'!$Q$173</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73</v>
      </c>
      <c r="B132" s="72">
        <f>'Parameter Input'!$L$177</f>
        <v>3.5714285714285712E-2</v>
      </c>
      <c r="C132" s="73">
        <f>'Parameter Input'!$M$177</f>
        <v>1.7857142857142856E-2</v>
      </c>
      <c r="D132" s="1" t="s">
        <v>57</v>
      </c>
      <c r="L132" s="54">
        <f>'Parameter Input'!$O$177</f>
        <v>12</v>
      </c>
      <c r="M132" s="37">
        <v>0</v>
      </c>
      <c r="N132" s="37">
        <v>1</v>
      </c>
      <c r="O132" s="37">
        <f>'Parameter Input'!$P$177</f>
        <v>0.9</v>
      </c>
      <c r="P132" s="55">
        <f>'Parameter Input'!$Q$177</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9950491.9809056409</v>
      </c>
      <c r="C137" s="62">
        <f t="shared" ref="C137:C145" si="92">$B117+($C117-$B117)*(1-R117)</f>
        <v>9929294.1161071844</v>
      </c>
      <c r="D137" s="62">
        <f t="shared" ref="D137:D145" si="93">$B117+($C117-$B117)*(1-S117)</f>
        <v>9899196.186845202</v>
      </c>
      <c r="E137" s="62">
        <f t="shared" ref="E137:E145" si="94">$B117+($C117-$B117)*(1-T117)</f>
        <v>9856655.6560597289</v>
      </c>
      <c r="F137" s="62">
        <f t="shared" ref="F137:F145" si="95">$B117+($C117-$B117)*(1-U117)</f>
        <v>9796929.5183316767</v>
      </c>
      <c r="G137" s="62">
        <f t="shared" ref="G137:G145" si="96">$B117+($C117-$B117)*(1-V117)</f>
        <v>9713888.5056303069</v>
      </c>
      <c r="H137" s="62">
        <f t="shared" ref="H137:H145" si="97">$B117+($C117-$B117)*(1-W117)</f>
        <v>9600042.3837871924</v>
      </c>
      <c r="I137" s="62">
        <f t="shared" ref="I137:I145" si="98">$B117+($C117-$B117)*(1-X117)</f>
        <v>9447045.3952872623</v>
      </c>
      <c r="J137" s="62">
        <f t="shared" ref="J137:J145" si="99">$B117+($C117-$B117)*(1-Y117)</f>
        <v>9247048.7744733952</v>
      </c>
      <c r="K137" s="62">
        <f t="shared" ref="K137:K145" si="100">$B117+($C117-$B117)*(1-Z117)</f>
        <v>8995186.8343747519</v>
      </c>
      <c r="L137" s="62">
        <f t="shared" ref="L137:L145" si="101">$B117+($C117-$B117)*(1-AA117)</f>
        <v>8692959.7359545007</v>
      </c>
      <c r="M137" s="62">
        <f t="shared" ref="M137:M145" si="102">$B117+($C117-$B117)*(1-AB117)</f>
        <v>8351209.2955318587</v>
      </c>
      <c r="N137" s="62">
        <f t="shared" ref="N137:N145" si="103">$B117+($C117-$B117)*(1-AC117)</f>
        <v>7990424.7577444501</v>
      </c>
      <c r="O137" s="62">
        <f t="shared" ref="O137:O145" si="104">$B117+($C117-$B117)*(1-AD117)</f>
        <v>7636739.7848321479</v>
      </c>
      <c r="P137" s="62">
        <f t="shared" ref="P137:P145" si="105">$B117+($C117-$B117)*(1-AE117)</f>
        <v>7314773.0738961697</v>
      </c>
      <c r="Q137" s="62">
        <f t="shared" ref="Q137:Q145" si="106">$B117+($C117-$B117)*(1-AF117)</f>
        <v>7041147.2185419146</v>
      </c>
      <c r="R137" s="62">
        <f t="shared" ref="R137:R145" si="107">$B117+($C117-$B117)*(1-AG117)</f>
        <v>6822021.912017433</v>
      </c>
      <c r="S137" s="62">
        <f t="shared" ref="S137:S145" si="108">$B117+($C117-$B117)*(1-AH117)</f>
        <v>6654819.5776641248</v>
      </c>
      <c r="T137" s="62">
        <f t="shared" ref="T137:T145" si="109">$B117+($C117-$B117)*(1-AI117)</f>
        <v>6531912.4522678442</v>
      </c>
      <c r="U137" s="62">
        <f t="shared" ref="U137:U145" si="110">$B117+($C117-$B117)*(1-AJ117)</f>
        <v>6444035.6356656328</v>
      </c>
      <c r="V137" s="62">
        <f t="shared" ref="V137:V145" si="111">$B117+($C117-$B117)*(1-AK117)</f>
        <v>6382446.9648450473</v>
      </c>
      <c r="W137" s="62">
        <f t="shared" ref="W137:W145" si="112">$B117+($C117-$B117)*(1-AL117)</f>
        <v>6339885.4077724684</v>
      </c>
      <c r="X137" s="62">
        <f t="shared" ref="X137:X145" si="113">$B117+($C117-$B117)*(1-AM117)</f>
        <v>6310758.4133439614</v>
      </c>
      <c r="Y137" s="62">
        <f t="shared" ref="Y137:Y145" si="114">$B117+($C117-$B117)*(1-AN117)</f>
        <v>6290958.4021154065</v>
      </c>
      <c r="Z137" s="62">
        <f t="shared" ref="Z137:Z145" si="115">$B117+($C117-$B117)*(1-AO117)</f>
        <v>6277559.9548397847</v>
      </c>
      <c r="AA137" s="62">
        <f t="shared" ref="AA137:AA145" si="116">$B117+($C117-$B117)*(1-AP117)</f>
        <v>6268521.3483193964</v>
      </c>
      <c r="AB137" s="62">
        <f t="shared" ref="AB137:AB145" si="117">$B117+($C117-$B117)*(1-AQ117)</f>
        <v>6262436.6033098586</v>
      </c>
      <c r="AC137" s="62">
        <f t="shared" ref="AC137:AC145" si="118">$B117+($C117-$B117)*(1-AR117)</f>
        <v>6258346.1358050052</v>
      </c>
    </row>
    <row r="138" spans="1:44" x14ac:dyDescent="0.25">
      <c r="A138" s="30" t="str">
        <f t="shared" si="90"/>
        <v>Residual value (vehicle)</v>
      </c>
      <c r="B138" s="62">
        <f t="shared" si="91"/>
        <v>-505775.93556100863</v>
      </c>
      <c r="C138" s="62">
        <f t="shared" si="92"/>
        <v>-508249.01978749514</v>
      </c>
      <c r="D138" s="62">
        <f t="shared" si="93"/>
        <v>-511760.44486805983</v>
      </c>
      <c r="E138" s="62">
        <f t="shared" si="94"/>
        <v>-516723.50679303159</v>
      </c>
      <c r="F138" s="62">
        <f t="shared" si="95"/>
        <v>-523691.55619463779</v>
      </c>
      <c r="G138" s="62">
        <f t="shared" si="96"/>
        <v>-533379.67434313102</v>
      </c>
      <c r="H138" s="62">
        <f t="shared" si="97"/>
        <v>-546661.72189149424</v>
      </c>
      <c r="I138" s="62">
        <f t="shared" si="98"/>
        <v>-564511.37054981932</v>
      </c>
      <c r="J138" s="62">
        <f t="shared" si="99"/>
        <v>-587844.30964477046</v>
      </c>
      <c r="K138" s="62">
        <f t="shared" si="100"/>
        <v>-617228.20265627897</v>
      </c>
      <c r="L138" s="62">
        <f t="shared" si="101"/>
        <v>-652488.03080530826</v>
      </c>
      <c r="M138" s="62">
        <f t="shared" si="102"/>
        <v>-692358.91552128317</v>
      </c>
      <c r="N138" s="62">
        <f t="shared" si="103"/>
        <v>-734450.44492981408</v>
      </c>
      <c r="O138" s="62">
        <f t="shared" si="104"/>
        <v>-775713.6917695828</v>
      </c>
      <c r="P138" s="62">
        <f t="shared" si="105"/>
        <v>-813276.4747121135</v>
      </c>
      <c r="Q138" s="62">
        <f t="shared" si="106"/>
        <v>-845199.49117010995</v>
      </c>
      <c r="R138" s="62">
        <f t="shared" si="107"/>
        <v>-870764.11026463285</v>
      </c>
      <c r="S138" s="62">
        <f t="shared" si="108"/>
        <v>-890271.04927251884</v>
      </c>
      <c r="T138" s="62">
        <f t="shared" si="109"/>
        <v>-904610.21390208486</v>
      </c>
      <c r="U138" s="62">
        <f t="shared" si="110"/>
        <v>-914862.50917234272</v>
      </c>
      <c r="V138" s="62">
        <f t="shared" si="111"/>
        <v>-922047.85410141107</v>
      </c>
      <c r="W138" s="62">
        <f t="shared" si="112"/>
        <v>-927013.36909321207</v>
      </c>
      <c r="X138" s="62">
        <f t="shared" si="113"/>
        <v>-930411.51844320446</v>
      </c>
      <c r="Y138" s="62">
        <f t="shared" si="114"/>
        <v>-932721.51975320256</v>
      </c>
      <c r="Z138" s="62">
        <f t="shared" si="115"/>
        <v>-934284.67193535855</v>
      </c>
      <c r="AA138" s="62">
        <f t="shared" si="116"/>
        <v>-935339.17602940369</v>
      </c>
      <c r="AB138" s="62">
        <f t="shared" si="117"/>
        <v>-936049.06294718315</v>
      </c>
      <c r="AC138" s="62">
        <f t="shared" si="118"/>
        <v>-936526.28415608278</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1293563.9575177333</v>
      </c>
      <c r="C143" s="62">
        <f t="shared" si="92"/>
        <v>1290808.235093934</v>
      </c>
      <c r="D143" s="62">
        <f t="shared" si="93"/>
        <v>1286895.5042898762</v>
      </c>
      <c r="E143" s="62">
        <f t="shared" si="94"/>
        <v>1281365.2352877648</v>
      </c>
      <c r="F143" s="62">
        <f t="shared" si="95"/>
        <v>1273600.837383118</v>
      </c>
      <c r="G143" s="62">
        <f t="shared" si="96"/>
        <v>1262805.5057319398</v>
      </c>
      <c r="H143" s="62">
        <f t="shared" si="97"/>
        <v>1248005.5098923349</v>
      </c>
      <c r="I143" s="62">
        <f t="shared" si="98"/>
        <v>1228115.9013873441</v>
      </c>
      <c r="J143" s="62">
        <f t="shared" si="99"/>
        <v>1202116.3406815415</v>
      </c>
      <c r="K143" s="62">
        <f t="shared" si="100"/>
        <v>1169374.2884687176</v>
      </c>
      <c r="L143" s="62">
        <f t="shared" si="101"/>
        <v>1130084.7656740851</v>
      </c>
      <c r="M143" s="62">
        <f t="shared" si="102"/>
        <v>1085657.2084191416</v>
      </c>
      <c r="N143" s="62">
        <f t="shared" si="103"/>
        <v>1038755.2185067786</v>
      </c>
      <c r="O143" s="62">
        <f t="shared" si="104"/>
        <v>992776.17202817916</v>
      </c>
      <c r="P143" s="62">
        <f t="shared" si="105"/>
        <v>950920.49960650213</v>
      </c>
      <c r="Q143" s="62">
        <f t="shared" si="106"/>
        <v>915349.13841044903</v>
      </c>
      <c r="R143" s="62">
        <f t="shared" si="107"/>
        <v>886862.84856226621</v>
      </c>
      <c r="S143" s="62">
        <f t="shared" si="108"/>
        <v>865126.54509633617</v>
      </c>
      <c r="T143" s="62">
        <f t="shared" si="109"/>
        <v>849148.61879481981</v>
      </c>
      <c r="U143" s="62">
        <f t="shared" si="110"/>
        <v>837724.6326365323</v>
      </c>
      <c r="V143" s="62">
        <f t="shared" si="111"/>
        <v>829718.10542985611</v>
      </c>
      <c r="W143" s="62">
        <f t="shared" si="112"/>
        <v>824185.10301042092</v>
      </c>
      <c r="X143" s="62">
        <f t="shared" si="113"/>
        <v>820398.59373471502</v>
      </c>
      <c r="Y143" s="62">
        <f t="shared" si="114"/>
        <v>817824.59227500285</v>
      </c>
      <c r="Z143" s="62">
        <f t="shared" si="115"/>
        <v>816082.79412917187</v>
      </c>
      <c r="AA143" s="62">
        <f t="shared" si="116"/>
        <v>814907.77528152149</v>
      </c>
      <c r="AB143" s="62">
        <f t="shared" si="117"/>
        <v>814116.75843028165</v>
      </c>
      <c r="AC143" s="62">
        <f t="shared" si="118"/>
        <v>813584.99765465059</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33.590199999999996</v>
      </c>
      <c r="C145" s="62">
        <f t="shared" si="92"/>
        <v>33.590199999999996</v>
      </c>
      <c r="D145" s="62">
        <f t="shared" si="93"/>
        <v>33.590199999999996</v>
      </c>
      <c r="E145" s="62">
        <f t="shared" si="94"/>
        <v>33.590199999999996</v>
      </c>
      <c r="F145" s="62">
        <f t="shared" si="95"/>
        <v>33.590199999999996</v>
      </c>
      <c r="G145" s="62">
        <f t="shared" si="96"/>
        <v>33.590199999999996</v>
      </c>
      <c r="H145" s="62">
        <f t="shared" si="97"/>
        <v>33.590199999999996</v>
      </c>
      <c r="I145" s="62">
        <f t="shared" si="98"/>
        <v>33.590199999999996</v>
      </c>
      <c r="J145" s="62">
        <f t="shared" si="99"/>
        <v>33.590199999999996</v>
      </c>
      <c r="K145" s="62">
        <f t="shared" si="100"/>
        <v>33.590199999999996</v>
      </c>
      <c r="L145" s="62">
        <f t="shared" si="101"/>
        <v>33.590199999999996</v>
      </c>
      <c r="M145" s="62">
        <f t="shared" si="102"/>
        <v>33.590199999999996</v>
      </c>
      <c r="N145" s="62">
        <f t="shared" si="103"/>
        <v>33.590199999999996</v>
      </c>
      <c r="O145" s="62">
        <f t="shared" si="104"/>
        <v>33.590199999999996</v>
      </c>
      <c r="P145" s="62">
        <f t="shared" si="105"/>
        <v>33.590199999999996</v>
      </c>
      <c r="Q145" s="62">
        <f t="shared" si="106"/>
        <v>33.590199999999996</v>
      </c>
      <c r="R145" s="62">
        <f t="shared" si="107"/>
        <v>33.590199999999996</v>
      </c>
      <c r="S145" s="62">
        <f t="shared" si="108"/>
        <v>33.590199999999996</v>
      </c>
      <c r="T145" s="62">
        <f t="shared" si="109"/>
        <v>33.590199999999996</v>
      </c>
      <c r="U145" s="62">
        <f t="shared" si="110"/>
        <v>33.590199999999996</v>
      </c>
      <c r="V145" s="62">
        <f t="shared" si="111"/>
        <v>33.590199999999996</v>
      </c>
      <c r="W145" s="62">
        <f t="shared" si="112"/>
        <v>33.590199999999996</v>
      </c>
      <c r="X145" s="62">
        <f t="shared" si="113"/>
        <v>33.590199999999996</v>
      </c>
      <c r="Y145" s="62">
        <f t="shared" si="114"/>
        <v>33.590199999999996</v>
      </c>
      <c r="Z145" s="62">
        <f t="shared" si="115"/>
        <v>33.590199999999996</v>
      </c>
      <c r="AA145" s="62">
        <f t="shared" si="116"/>
        <v>33.590199999999996</v>
      </c>
      <c r="AB145" s="62">
        <f t="shared" si="117"/>
        <v>33.590199999999996</v>
      </c>
      <c r="AC145" s="62">
        <f t="shared" si="118"/>
        <v>33.590199999999996</v>
      </c>
    </row>
    <row r="146" spans="1:29" x14ac:dyDescent="0.25">
      <c r="A146" s="30" t="str">
        <f t="shared" si="90"/>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9">A127</f>
        <v>Emission Cost</v>
      </c>
      <c r="B147" s="66">
        <f>$B127+($C127-$B127)*(1-Q127)</f>
        <v>0</v>
      </c>
      <c r="C147" s="66">
        <f t="shared" ref="C147:AC147" si="120">$B127+($C127-$B127)*(1-R127)</f>
        <v>0</v>
      </c>
      <c r="D147" s="66">
        <f t="shared" si="120"/>
        <v>0</v>
      </c>
      <c r="E147" s="66">
        <f t="shared" si="120"/>
        <v>0</v>
      </c>
      <c r="F147" s="66">
        <f t="shared" si="120"/>
        <v>0</v>
      </c>
      <c r="G147" s="66">
        <f t="shared" si="120"/>
        <v>0</v>
      </c>
      <c r="H147" s="66">
        <f t="shared" si="120"/>
        <v>0</v>
      </c>
      <c r="I147" s="66">
        <f t="shared" si="120"/>
        <v>0</v>
      </c>
      <c r="J147" s="66">
        <f t="shared" si="120"/>
        <v>0</v>
      </c>
      <c r="K147" s="66">
        <f t="shared" si="120"/>
        <v>0</v>
      </c>
      <c r="L147" s="66">
        <f t="shared" si="120"/>
        <v>0</v>
      </c>
      <c r="M147" s="66">
        <f t="shared" si="120"/>
        <v>0</v>
      </c>
      <c r="N147" s="66">
        <f t="shared" si="120"/>
        <v>0</v>
      </c>
      <c r="O147" s="66">
        <f t="shared" si="120"/>
        <v>0</v>
      </c>
      <c r="P147" s="66">
        <f t="shared" si="120"/>
        <v>0</v>
      </c>
      <c r="Q147" s="66">
        <f t="shared" si="120"/>
        <v>0</v>
      </c>
      <c r="R147" s="66">
        <f t="shared" si="120"/>
        <v>0</v>
      </c>
      <c r="S147" s="66">
        <f t="shared" si="120"/>
        <v>0</v>
      </c>
      <c r="T147" s="66">
        <f t="shared" si="120"/>
        <v>0</v>
      </c>
      <c r="U147" s="66">
        <f t="shared" si="120"/>
        <v>0</v>
      </c>
      <c r="V147" s="66">
        <f t="shared" si="120"/>
        <v>0</v>
      </c>
      <c r="W147" s="66">
        <f t="shared" si="120"/>
        <v>0</v>
      </c>
      <c r="X147" s="66">
        <f t="shared" si="120"/>
        <v>0</v>
      </c>
      <c r="Y147" s="66">
        <f t="shared" si="120"/>
        <v>0</v>
      </c>
      <c r="Z147" s="66">
        <f t="shared" si="120"/>
        <v>0</v>
      </c>
      <c r="AA147" s="66">
        <f t="shared" si="120"/>
        <v>0</v>
      </c>
      <c r="AB147" s="66">
        <f t="shared" si="120"/>
        <v>0</v>
      </c>
      <c r="AC147" s="66">
        <f t="shared" si="120"/>
        <v>0</v>
      </c>
    </row>
    <row r="148" spans="1:29" x14ac:dyDescent="0.25">
      <c r="A148" s="30" t="str">
        <f>A128</f>
        <v>Lifetime vehicle</v>
      </c>
      <c r="B148" s="62">
        <f>$B128+($C128-$B128)*(1-Q128)</f>
        <v>20</v>
      </c>
      <c r="C148" s="62">
        <f t="shared" ref="C148:L150" si="121">$B128+($C128-$B128)*(1-R128)</f>
        <v>20</v>
      </c>
      <c r="D148" s="62">
        <f t="shared" si="121"/>
        <v>20</v>
      </c>
      <c r="E148" s="62">
        <f t="shared" si="121"/>
        <v>20</v>
      </c>
      <c r="F148" s="62">
        <f t="shared" si="121"/>
        <v>20</v>
      </c>
      <c r="G148" s="62">
        <f t="shared" si="121"/>
        <v>20</v>
      </c>
      <c r="H148" s="62">
        <f t="shared" si="121"/>
        <v>20</v>
      </c>
      <c r="I148" s="62">
        <f t="shared" si="121"/>
        <v>20</v>
      </c>
      <c r="J148" s="62">
        <f t="shared" si="121"/>
        <v>20</v>
      </c>
      <c r="K148" s="62">
        <f t="shared" si="121"/>
        <v>20</v>
      </c>
      <c r="L148" s="62">
        <f t="shared" si="121"/>
        <v>20</v>
      </c>
      <c r="M148" s="62">
        <f t="shared" ref="M148:V150" si="122">$B128+($C128-$B128)*(1-AB128)</f>
        <v>20</v>
      </c>
      <c r="N148" s="62">
        <f t="shared" si="122"/>
        <v>20</v>
      </c>
      <c r="O148" s="62">
        <f t="shared" si="122"/>
        <v>20</v>
      </c>
      <c r="P148" s="62">
        <f t="shared" si="122"/>
        <v>20</v>
      </c>
      <c r="Q148" s="62">
        <f t="shared" si="122"/>
        <v>20</v>
      </c>
      <c r="R148" s="62">
        <f t="shared" si="122"/>
        <v>20</v>
      </c>
      <c r="S148" s="62">
        <f t="shared" si="122"/>
        <v>20</v>
      </c>
      <c r="T148" s="62">
        <f t="shared" si="122"/>
        <v>20</v>
      </c>
      <c r="U148" s="62">
        <f t="shared" si="122"/>
        <v>20</v>
      </c>
      <c r="V148" s="62">
        <f t="shared" si="122"/>
        <v>20</v>
      </c>
      <c r="W148" s="62">
        <f t="shared" ref="W148:AC150" si="123">$B128+($C128-$B128)*(1-AL128)</f>
        <v>20</v>
      </c>
      <c r="X148" s="62">
        <f t="shared" si="123"/>
        <v>20</v>
      </c>
      <c r="Y148" s="62">
        <f t="shared" si="123"/>
        <v>20</v>
      </c>
      <c r="Z148" s="62">
        <f t="shared" si="123"/>
        <v>20</v>
      </c>
      <c r="AA148" s="62">
        <f t="shared" si="123"/>
        <v>20</v>
      </c>
      <c r="AB148" s="62">
        <f t="shared" si="123"/>
        <v>20</v>
      </c>
      <c r="AC148" s="62">
        <f t="shared" si="123"/>
        <v>20</v>
      </c>
    </row>
    <row r="149" spans="1:29" x14ac:dyDescent="0.25">
      <c r="A149" s="30" t="str">
        <f>A129</f>
        <v>Lifetime costumization</v>
      </c>
      <c r="B149" s="62">
        <f>$B129+($C129-$B129)*(1-Q129)</f>
        <v>30</v>
      </c>
      <c r="C149" s="62">
        <f t="shared" si="121"/>
        <v>30</v>
      </c>
      <c r="D149" s="62">
        <f t="shared" si="121"/>
        <v>30</v>
      </c>
      <c r="E149" s="62">
        <f t="shared" si="121"/>
        <v>30</v>
      </c>
      <c r="F149" s="62">
        <f t="shared" si="121"/>
        <v>30</v>
      </c>
      <c r="G149" s="62">
        <f t="shared" si="121"/>
        <v>30</v>
      </c>
      <c r="H149" s="62">
        <f t="shared" si="121"/>
        <v>30</v>
      </c>
      <c r="I149" s="62">
        <f t="shared" si="121"/>
        <v>30</v>
      </c>
      <c r="J149" s="62">
        <f t="shared" si="121"/>
        <v>30</v>
      </c>
      <c r="K149" s="62">
        <f t="shared" si="121"/>
        <v>30</v>
      </c>
      <c r="L149" s="62">
        <f t="shared" si="121"/>
        <v>30</v>
      </c>
      <c r="M149" s="62">
        <f t="shared" si="122"/>
        <v>30</v>
      </c>
      <c r="N149" s="62">
        <f t="shared" si="122"/>
        <v>30</v>
      </c>
      <c r="O149" s="62">
        <f t="shared" si="122"/>
        <v>30</v>
      </c>
      <c r="P149" s="62">
        <f t="shared" si="122"/>
        <v>30</v>
      </c>
      <c r="Q149" s="62">
        <f t="shared" si="122"/>
        <v>30</v>
      </c>
      <c r="R149" s="62">
        <f t="shared" si="122"/>
        <v>30</v>
      </c>
      <c r="S149" s="62">
        <f t="shared" si="122"/>
        <v>30</v>
      </c>
      <c r="T149" s="62">
        <f t="shared" si="122"/>
        <v>30</v>
      </c>
      <c r="U149" s="62">
        <f t="shared" si="122"/>
        <v>30</v>
      </c>
      <c r="V149" s="62">
        <f t="shared" si="122"/>
        <v>30</v>
      </c>
      <c r="W149" s="62">
        <f t="shared" si="123"/>
        <v>30</v>
      </c>
      <c r="X149" s="62">
        <f t="shared" si="123"/>
        <v>30</v>
      </c>
      <c r="Y149" s="62">
        <f t="shared" si="123"/>
        <v>30</v>
      </c>
      <c r="Z149" s="62">
        <f t="shared" si="123"/>
        <v>30</v>
      </c>
      <c r="AA149" s="62">
        <f t="shared" si="123"/>
        <v>30</v>
      </c>
      <c r="AB149" s="62">
        <f t="shared" si="123"/>
        <v>30</v>
      </c>
      <c r="AC149" s="62">
        <f t="shared" si="123"/>
        <v>30</v>
      </c>
    </row>
    <row r="150" spans="1:29" x14ac:dyDescent="0.25">
      <c r="A150" s="30" t="str">
        <f>A130</f>
        <v>Tonnage .</v>
      </c>
      <c r="B150" s="62">
        <f>$B130+($C130-$B130)*(1-Q130)</f>
        <v>2240</v>
      </c>
      <c r="C150" s="62">
        <f t="shared" si="121"/>
        <v>2240</v>
      </c>
      <c r="D150" s="62">
        <f t="shared" si="121"/>
        <v>2240</v>
      </c>
      <c r="E150" s="62">
        <f t="shared" si="121"/>
        <v>2240</v>
      </c>
      <c r="F150" s="62">
        <f t="shared" si="121"/>
        <v>2240</v>
      </c>
      <c r="G150" s="62">
        <f t="shared" si="121"/>
        <v>2240</v>
      </c>
      <c r="H150" s="62">
        <f t="shared" si="121"/>
        <v>2240</v>
      </c>
      <c r="I150" s="62">
        <f t="shared" si="121"/>
        <v>2240</v>
      </c>
      <c r="J150" s="62">
        <f t="shared" si="121"/>
        <v>2240</v>
      </c>
      <c r="K150" s="62">
        <f t="shared" si="121"/>
        <v>2240</v>
      </c>
      <c r="L150" s="62">
        <f t="shared" si="121"/>
        <v>2240</v>
      </c>
      <c r="M150" s="62">
        <f t="shared" si="122"/>
        <v>2240</v>
      </c>
      <c r="N150" s="62">
        <f t="shared" si="122"/>
        <v>2240</v>
      </c>
      <c r="O150" s="62">
        <f t="shared" si="122"/>
        <v>2240</v>
      </c>
      <c r="P150" s="62">
        <f t="shared" si="122"/>
        <v>2240</v>
      </c>
      <c r="Q150" s="62">
        <f t="shared" si="122"/>
        <v>2240</v>
      </c>
      <c r="R150" s="62">
        <f t="shared" si="122"/>
        <v>2240</v>
      </c>
      <c r="S150" s="62">
        <f t="shared" si="122"/>
        <v>2240</v>
      </c>
      <c r="T150" s="62">
        <f t="shared" si="122"/>
        <v>2240</v>
      </c>
      <c r="U150" s="62">
        <f t="shared" si="122"/>
        <v>2240</v>
      </c>
      <c r="V150" s="62">
        <f t="shared" si="122"/>
        <v>2240</v>
      </c>
      <c r="W150" s="62">
        <f t="shared" si="123"/>
        <v>2240</v>
      </c>
      <c r="X150" s="62">
        <f t="shared" si="123"/>
        <v>2240</v>
      </c>
      <c r="Y150" s="62">
        <f t="shared" si="123"/>
        <v>2240</v>
      </c>
      <c r="Z150" s="62">
        <f t="shared" si="123"/>
        <v>2240</v>
      </c>
      <c r="AA150" s="62">
        <f t="shared" si="123"/>
        <v>2240</v>
      </c>
      <c r="AB150" s="62">
        <f t="shared" si="123"/>
        <v>2240</v>
      </c>
      <c r="AC150" s="62">
        <f t="shared" si="123"/>
        <v>2240</v>
      </c>
    </row>
    <row r="151" spans="1:29" x14ac:dyDescent="0.25">
      <c r="A151" s="30" t="str">
        <f>A131</f>
        <v>Market failure (av. utilization)</v>
      </c>
      <c r="B151" s="62">
        <f t="shared" ref="B151:K152" si="124">($B131+($C131-$B131)*(1-Q131))*B$44</f>
        <v>955.73333333333335</v>
      </c>
      <c r="C151" s="62">
        <f t="shared" si="124"/>
        <v>955.73333333333335</v>
      </c>
      <c r="D151" s="62">
        <f t="shared" si="124"/>
        <v>955.73333333333335</v>
      </c>
      <c r="E151" s="62">
        <f t="shared" si="124"/>
        <v>955.73333333333335</v>
      </c>
      <c r="F151" s="62">
        <f t="shared" si="124"/>
        <v>955.73333333333335</v>
      </c>
      <c r="G151" s="62">
        <f t="shared" si="124"/>
        <v>955.73333333333335</v>
      </c>
      <c r="H151" s="62">
        <f t="shared" si="124"/>
        <v>955.73333333333335</v>
      </c>
      <c r="I151" s="62">
        <f t="shared" si="124"/>
        <v>955.73333333333335</v>
      </c>
      <c r="J151" s="62">
        <f t="shared" si="124"/>
        <v>955.73333333333335</v>
      </c>
      <c r="K151" s="62">
        <f t="shared" si="124"/>
        <v>955.73333333333335</v>
      </c>
      <c r="L151" s="62">
        <f t="shared" ref="L151:U152" si="125">($B131+($C131-$B131)*(1-AA131))*L$44</f>
        <v>955.73333333333335</v>
      </c>
      <c r="M151" s="62">
        <f t="shared" si="125"/>
        <v>955.73333333333335</v>
      </c>
      <c r="N151" s="62">
        <f t="shared" si="125"/>
        <v>955.73333333333335</v>
      </c>
      <c r="O151" s="62">
        <f t="shared" si="125"/>
        <v>955.73333333333335</v>
      </c>
      <c r="P151" s="62">
        <f t="shared" si="125"/>
        <v>955.73333333333335</v>
      </c>
      <c r="Q151" s="62">
        <f t="shared" si="125"/>
        <v>955.73333333333335</v>
      </c>
      <c r="R151" s="62">
        <f t="shared" si="125"/>
        <v>955.73333333333335</v>
      </c>
      <c r="S151" s="62">
        <f t="shared" si="125"/>
        <v>955.73333333333335</v>
      </c>
      <c r="T151" s="62">
        <f t="shared" si="125"/>
        <v>955.73333333333335</v>
      </c>
      <c r="U151" s="62">
        <f t="shared" si="125"/>
        <v>955.73333333333335</v>
      </c>
      <c r="V151" s="62">
        <f t="shared" ref="V151:AC152" si="126">($B131+($C131-$B131)*(1-AK131))*V$44</f>
        <v>955.73333333333335</v>
      </c>
      <c r="W151" s="62">
        <f t="shared" si="126"/>
        <v>955.73333333333335</v>
      </c>
      <c r="X151" s="62">
        <f t="shared" si="126"/>
        <v>955.73333333333335</v>
      </c>
      <c r="Y151" s="62">
        <f t="shared" si="126"/>
        <v>955.73333333333335</v>
      </c>
      <c r="Z151" s="62">
        <f t="shared" si="126"/>
        <v>955.73333333333335</v>
      </c>
      <c r="AA151" s="62">
        <f t="shared" si="126"/>
        <v>955.73333333333335</v>
      </c>
      <c r="AB151" s="62">
        <f t="shared" si="126"/>
        <v>955.73333333333335</v>
      </c>
      <c r="AC151" s="62">
        <f t="shared" si="126"/>
        <v>955.73333333333335</v>
      </c>
    </row>
    <row r="152" spans="1:29" x14ac:dyDescent="0.25">
      <c r="A152" s="30" t="s">
        <v>73</v>
      </c>
      <c r="B152" s="62">
        <f t="shared" si="124"/>
        <v>79.471914462993496</v>
      </c>
      <c r="C152" s="62">
        <f t="shared" si="124"/>
        <v>79.245803905143291</v>
      </c>
      <c r="D152" s="62">
        <f t="shared" si="124"/>
        <v>78.924759326348806</v>
      </c>
      <c r="E152" s="62">
        <f t="shared" si="124"/>
        <v>78.470993664637106</v>
      </c>
      <c r="F152" s="62">
        <f t="shared" si="124"/>
        <v>77.833914862204551</v>
      </c>
      <c r="G152" s="62">
        <f t="shared" si="124"/>
        <v>76.948144060056592</v>
      </c>
      <c r="H152" s="62">
        <f t="shared" si="124"/>
        <v>75.733785427063381</v>
      </c>
      <c r="I152" s="62">
        <f t="shared" si="124"/>
        <v>74.101817549730796</v>
      </c>
      <c r="J152" s="62">
        <f t="shared" si="124"/>
        <v>71.968520261049548</v>
      </c>
      <c r="K152" s="62">
        <f t="shared" si="124"/>
        <v>69.281992899997348</v>
      </c>
      <c r="L152" s="62">
        <f t="shared" si="125"/>
        <v>66.058237183514677</v>
      </c>
      <c r="M152" s="62">
        <f t="shared" si="125"/>
        <v>62.412899152339826</v>
      </c>
      <c r="N152" s="62">
        <f t="shared" si="125"/>
        <v>58.564530749274141</v>
      </c>
      <c r="O152" s="62">
        <f t="shared" si="125"/>
        <v>54.79189103820957</v>
      </c>
      <c r="P152" s="62">
        <f t="shared" si="125"/>
        <v>51.357579454892473</v>
      </c>
      <c r="Q152" s="62">
        <f t="shared" si="125"/>
        <v>48.438903664447089</v>
      </c>
      <c r="R152" s="62">
        <f t="shared" si="125"/>
        <v>46.101567061519283</v>
      </c>
      <c r="S152" s="62">
        <f t="shared" si="125"/>
        <v>44.318075495083995</v>
      </c>
      <c r="T152" s="62">
        <f t="shared" si="125"/>
        <v>43.007066157523667</v>
      </c>
      <c r="U152" s="62">
        <f t="shared" si="125"/>
        <v>42.069713447100085</v>
      </c>
      <c r="V152" s="62">
        <f t="shared" si="126"/>
        <v>41.412767625013835</v>
      </c>
      <c r="W152" s="62">
        <f t="shared" si="126"/>
        <v>40.958777682906323</v>
      </c>
      <c r="X152" s="62">
        <f t="shared" si="126"/>
        <v>40.648089742335586</v>
      </c>
      <c r="Y152" s="62">
        <f t="shared" si="126"/>
        <v>40.43688962256433</v>
      </c>
      <c r="Z152" s="62">
        <f t="shared" si="126"/>
        <v>40.29397285162436</v>
      </c>
      <c r="AA152" s="62">
        <f t="shared" si="126"/>
        <v>40.197561048740226</v>
      </c>
      <c r="AB152" s="62">
        <f t="shared" si="126"/>
        <v>40.132657101971823</v>
      </c>
      <c r="AC152" s="62">
        <f t="shared" si="126"/>
        <v>40.08902544858671</v>
      </c>
    </row>
    <row r="153" spans="1:29" x14ac:dyDescent="0.25">
      <c r="A153" s="30" t="str">
        <f>A133</f>
        <v>Annual Mileage</v>
      </c>
      <c r="B153" s="62">
        <f t="shared" ref="B153:AC153" si="127">$B133+($C133-$B133)*(1-Q133)</f>
        <v>178500</v>
      </c>
      <c r="C153" s="62">
        <f t="shared" si="127"/>
        <v>178500</v>
      </c>
      <c r="D153" s="62">
        <f t="shared" si="127"/>
        <v>178500</v>
      </c>
      <c r="E153" s="62">
        <f t="shared" si="127"/>
        <v>178500</v>
      </c>
      <c r="F153" s="62">
        <f t="shared" si="127"/>
        <v>178500</v>
      </c>
      <c r="G153" s="62">
        <f t="shared" si="127"/>
        <v>178500</v>
      </c>
      <c r="H153" s="62">
        <f t="shared" si="127"/>
        <v>178500</v>
      </c>
      <c r="I153" s="62">
        <f t="shared" si="127"/>
        <v>178500</v>
      </c>
      <c r="J153" s="62">
        <f t="shared" si="127"/>
        <v>178500</v>
      </c>
      <c r="K153" s="62">
        <f t="shared" si="127"/>
        <v>178500</v>
      </c>
      <c r="L153" s="62">
        <f t="shared" si="127"/>
        <v>178500</v>
      </c>
      <c r="M153" s="62">
        <f t="shared" si="127"/>
        <v>178500</v>
      </c>
      <c r="N153" s="62">
        <f t="shared" si="127"/>
        <v>178500</v>
      </c>
      <c r="O153" s="62">
        <f t="shared" si="127"/>
        <v>178500</v>
      </c>
      <c r="P153" s="62">
        <f t="shared" si="127"/>
        <v>178500</v>
      </c>
      <c r="Q153" s="62">
        <f t="shared" si="127"/>
        <v>178500</v>
      </c>
      <c r="R153" s="62">
        <f t="shared" si="127"/>
        <v>178500</v>
      </c>
      <c r="S153" s="62">
        <f t="shared" si="127"/>
        <v>178500</v>
      </c>
      <c r="T153" s="62">
        <f t="shared" si="127"/>
        <v>178500</v>
      </c>
      <c r="U153" s="62">
        <f t="shared" si="127"/>
        <v>178500</v>
      </c>
      <c r="V153" s="62">
        <f t="shared" si="127"/>
        <v>178500</v>
      </c>
      <c r="W153" s="62">
        <f t="shared" si="127"/>
        <v>178500</v>
      </c>
      <c r="X153" s="62">
        <f t="shared" si="127"/>
        <v>178500</v>
      </c>
      <c r="Y153" s="62">
        <f t="shared" si="127"/>
        <v>178500</v>
      </c>
      <c r="Z153" s="62">
        <f t="shared" si="127"/>
        <v>178500</v>
      </c>
      <c r="AA153" s="62">
        <f t="shared" si="127"/>
        <v>178500</v>
      </c>
      <c r="AB153" s="62">
        <f t="shared" si="127"/>
        <v>178500</v>
      </c>
      <c r="AC153" s="62">
        <f t="shared" si="127"/>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8">((1+C141)^C148)*C141/(((1+C141)^C148)-1)*(C137)</f>
        <v>865681.10860566224</v>
      </c>
      <c r="D156" s="63">
        <f t="shared" si="128"/>
        <v>863057.03397703567</v>
      </c>
      <c r="E156" s="63">
        <f t="shared" si="128"/>
        <v>859348.15664694412</v>
      </c>
      <c r="F156" s="63">
        <f t="shared" si="128"/>
        <v>854140.95978918544</v>
      </c>
      <c r="G156" s="63">
        <f t="shared" si="128"/>
        <v>846901.06588590739</v>
      </c>
      <c r="H156" s="63">
        <f t="shared" si="128"/>
        <v>836975.44218948286</v>
      </c>
      <c r="I156" s="63">
        <f t="shared" si="128"/>
        <v>823636.46752832399</v>
      </c>
      <c r="J156" s="63">
        <f t="shared" si="128"/>
        <v>806199.8507457996</v>
      </c>
      <c r="K156" s="63">
        <f t="shared" si="128"/>
        <v>784241.37907896913</v>
      </c>
      <c r="L156" s="63">
        <f t="shared" si="128"/>
        <v>757891.84339680034</v>
      </c>
      <c r="M156" s="63">
        <f t="shared" si="128"/>
        <v>728096.48265190842</v>
      </c>
      <c r="N156" s="63">
        <f t="shared" si="128"/>
        <v>696641.64256081509</v>
      </c>
      <c r="O156" s="63">
        <f t="shared" si="128"/>
        <v>665805.77488808637</v>
      </c>
      <c r="P156" s="63">
        <f t="shared" si="128"/>
        <v>637735.24983383913</v>
      </c>
      <c r="Q156" s="63">
        <f t="shared" si="128"/>
        <v>613879.3008573663</v>
      </c>
      <c r="R156" s="63">
        <f t="shared" si="128"/>
        <v>594774.95808561263</v>
      </c>
      <c r="S156" s="63">
        <f t="shared" si="128"/>
        <v>580197.49663952412</v>
      </c>
      <c r="T156" s="63">
        <f t="shared" si="128"/>
        <v>569481.893362551</v>
      </c>
      <c r="U156" s="63">
        <f t="shared" si="128"/>
        <v>561820.39203855116</v>
      </c>
      <c r="V156" s="63">
        <f t="shared" si="128"/>
        <v>556450.81105826527</v>
      </c>
      <c r="W156" s="63">
        <f t="shared" si="128"/>
        <v>552740.10056064755</v>
      </c>
      <c r="X156" s="63">
        <f t="shared" si="128"/>
        <v>550200.67645533092</v>
      </c>
      <c r="Y156" s="63">
        <f t="shared" si="128"/>
        <v>548474.42124823271</v>
      </c>
      <c r="Z156" s="63">
        <f t="shared" si="128"/>
        <v>547306.28355832992</v>
      </c>
      <c r="AA156" s="63">
        <f t="shared" si="128"/>
        <v>546518.25665316184</v>
      </c>
      <c r="AB156" s="63">
        <f t="shared" si="128"/>
        <v>545987.76085518813</v>
      </c>
      <c r="AC156" s="63">
        <f t="shared" si="128"/>
        <v>545631.13525794924</v>
      </c>
    </row>
    <row r="157" spans="1:29" x14ac:dyDescent="0.25">
      <c r="A157" s="30" t="str">
        <f>A138</f>
        <v>Residual value (vehicle)</v>
      </c>
      <c r="B157" s="62">
        <f>((1+B141)^B148)*B141/(((1+B141)^B148)-1)*(B138)</f>
        <v>-44095.850871439077</v>
      </c>
      <c r="C157" s="62">
        <f t="shared" ref="C157:AC157" si="129">((1+C141)^C148)*C141/(((1+C141)^C148)-1)*(C138)</f>
        <v>-44311.465624091747</v>
      </c>
      <c r="D157" s="62">
        <f t="shared" si="129"/>
        <v>-44617.607664098185</v>
      </c>
      <c r="E157" s="62">
        <f t="shared" si="129"/>
        <v>-45050.310019275523</v>
      </c>
      <c r="F157" s="62">
        <f t="shared" si="129"/>
        <v>-45657.816319347374</v>
      </c>
      <c r="G157" s="62">
        <f t="shared" si="129"/>
        <v>-46502.470608063151</v>
      </c>
      <c r="H157" s="62">
        <f t="shared" si="129"/>
        <v>-47660.460039312675</v>
      </c>
      <c r="I157" s="62">
        <f t="shared" si="129"/>
        <v>-49216.673749781199</v>
      </c>
      <c r="J157" s="62">
        <f t="shared" si="129"/>
        <v>-51250.945707742365</v>
      </c>
      <c r="K157" s="62">
        <f t="shared" si="129"/>
        <v>-53812.767402205936</v>
      </c>
      <c r="L157" s="62">
        <f t="shared" si="129"/>
        <v>-56886.879898458967</v>
      </c>
      <c r="M157" s="62">
        <f t="shared" si="129"/>
        <v>-60363.005318696356</v>
      </c>
      <c r="N157" s="62">
        <f t="shared" si="129"/>
        <v>-64032.73666265724</v>
      </c>
      <c r="O157" s="62">
        <f t="shared" si="129"/>
        <v>-67630.254557808934</v>
      </c>
      <c r="P157" s="62">
        <f t="shared" si="129"/>
        <v>-70905.149147471107</v>
      </c>
      <c r="Q157" s="62">
        <f t="shared" si="129"/>
        <v>-73688.343194726258</v>
      </c>
      <c r="R157" s="62">
        <f t="shared" si="129"/>
        <v>-75917.183184764202</v>
      </c>
      <c r="S157" s="62">
        <f t="shared" si="129"/>
        <v>-77617.887020141206</v>
      </c>
      <c r="T157" s="62">
        <f t="shared" si="129"/>
        <v>-78868.040735788047</v>
      </c>
      <c r="U157" s="62">
        <f t="shared" si="129"/>
        <v>-79761.882556921351</v>
      </c>
      <c r="V157" s="62">
        <f t="shared" si="129"/>
        <v>-80388.333671288041</v>
      </c>
      <c r="W157" s="62">
        <f t="shared" si="129"/>
        <v>-80821.249896010122</v>
      </c>
      <c r="X157" s="62">
        <f t="shared" si="129"/>
        <v>-81117.516041630384</v>
      </c>
      <c r="Y157" s="62">
        <f t="shared" si="129"/>
        <v>-81318.912482458516</v>
      </c>
      <c r="Z157" s="62">
        <f t="shared" si="129"/>
        <v>-81455.19521294719</v>
      </c>
      <c r="AA157" s="62">
        <f t="shared" si="129"/>
        <v>-81547.131685216795</v>
      </c>
      <c r="AB157" s="62">
        <f t="shared" si="129"/>
        <v>-81609.022861647056</v>
      </c>
      <c r="AC157" s="62">
        <f t="shared" si="129"/>
        <v>-81650.629181324926</v>
      </c>
    </row>
    <row r="158" spans="1:29" x14ac:dyDescent="0.25">
      <c r="A158" s="30" t="str">
        <f>A139</f>
        <v>Capex costumization</v>
      </c>
      <c r="B158" s="62">
        <f>((1+B141)^B149)*B141/(((1+B141)^B149)-1)*(B139)</f>
        <v>406833.9043442643</v>
      </c>
      <c r="C158" s="62">
        <f t="shared" ref="C158:AC158" si="130">((1+C141)^C149)*C141/(((1+C141)^C149)-1)*(C139)</f>
        <v>406833.9043442643</v>
      </c>
      <c r="D158" s="62">
        <f t="shared" si="130"/>
        <v>406833.9043442643</v>
      </c>
      <c r="E158" s="62">
        <f t="shared" si="130"/>
        <v>406833.9043442643</v>
      </c>
      <c r="F158" s="62">
        <f t="shared" si="130"/>
        <v>406833.9043442643</v>
      </c>
      <c r="G158" s="62">
        <f t="shared" si="130"/>
        <v>406833.9043442643</v>
      </c>
      <c r="H158" s="62">
        <f t="shared" si="130"/>
        <v>406833.9043442643</v>
      </c>
      <c r="I158" s="62">
        <f t="shared" si="130"/>
        <v>406833.9043442643</v>
      </c>
      <c r="J158" s="62">
        <f t="shared" si="130"/>
        <v>406833.9043442643</v>
      </c>
      <c r="K158" s="62">
        <f t="shared" si="130"/>
        <v>406833.9043442643</v>
      </c>
      <c r="L158" s="62">
        <f t="shared" si="130"/>
        <v>406833.9043442643</v>
      </c>
      <c r="M158" s="62">
        <f t="shared" si="130"/>
        <v>406833.9043442643</v>
      </c>
      <c r="N158" s="62">
        <f t="shared" si="130"/>
        <v>406833.9043442643</v>
      </c>
      <c r="O158" s="62">
        <f t="shared" si="130"/>
        <v>406833.9043442643</v>
      </c>
      <c r="P158" s="62">
        <f t="shared" si="130"/>
        <v>406833.9043442643</v>
      </c>
      <c r="Q158" s="62">
        <f t="shared" si="130"/>
        <v>406833.9043442643</v>
      </c>
      <c r="R158" s="62">
        <f t="shared" si="130"/>
        <v>406833.9043442643</v>
      </c>
      <c r="S158" s="62">
        <f t="shared" si="130"/>
        <v>406833.9043442643</v>
      </c>
      <c r="T158" s="62">
        <f t="shared" si="130"/>
        <v>406833.9043442643</v>
      </c>
      <c r="U158" s="62">
        <f t="shared" si="130"/>
        <v>406833.9043442643</v>
      </c>
      <c r="V158" s="62">
        <f t="shared" si="130"/>
        <v>406833.9043442643</v>
      </c>
      <c r="W158" s="62">
        <f t="shared" si="130"/>
        <v>406833.9043442643</v>
      </c>
      <c r="X158" s="62">
        <f t="shared" si="130"/>
        <v>406833.9043442643</v>
      </c>
      <c r="Y158" s="62">
        <f t="shared" si="130"/>
        <v>406833.9043442643</v>
      </c>
      <c r="Z158" s="62">
        <f t="shared" si="130"/>
        <v>406833.9043442643</v>
      </c>
      <c r="AA158" s="62">
        <f t="shared" si="130"/>
        <v>406833.9043442643</v>
      </c>
      <c r="AB158" s="62">
        <f t="shared" si="130"/>
        <v>406833.9043442643</v>
      </c>
      <c r="AC158" s="62">
        <f t="shared" si="130"/>
        <v>406833.9043442643</v>
      </c>
    </row>
    <row r="159" spans="1:29" x14ac:dyDescent="0.25">
      <c r="A159" s="30" t="str">
        <f>A140</f>
        <v>Residual value (costumization)</v>
      </c>
      <c r="B159" s="62">
        <f>((1+B141)^B149)*B141/(((1+B141)^B149)-1)*(B140)</f>
        <v>-20341.695217213215</v>
      </c>
      <c r="C159" s="62">
        <f t="shared" ref="C159:AC159" si="131">((1+C141)^C149)*C141/(((1+C141)^C149)-1)*(C140)</f>
        <v>-20341.695217213215</v>
      </c>
      <c r="D159" s="62">
        <f t="shared" si="131"/>
        <v>-20341.695217213215</v>
      </c>
      <c r="E159" s="62">
        <f t="shared" si="131"/>
        <v>-20341.695217213215</v>
      </c>
      <c r="F159" s="62">
        <f t="shared" si="131"/>
        <v>-20341.695217213215</v>
      </c>
      <c r="G159" s="62">
        <f t="shared" si="131"/>
        <v>-20341.695217213215</v>
      </c>
      <c r="H159" s="62">
        <f t="shared" si="131"/>
        <v>-20341.695217213215</v>
      </c>
      <c r="I159" s="62">
        <f t="shared" si="131"/>
        <v>-20341.695217213215</v>
      </c>
      <c r="J159" s="62">
        <f t="shared" si="131"/>
        <v>-20341.695217213215</v>
      </c>
      <c r="K159" s="62">
        <f t="shared" si="131"/>
        <v>-20341.695217213215</v>
      </c>
      <c r="L159" s="62">
        <f t="shared" si="131"/>
        <v>-20341.695217213215</v>
      </c>
      <c r="M159" s="62">
        <f t="shared" si="131"/>
        <v>-20341.695217213215</v>
      </c>
      <c r="N159" s="62">
        <f t="shared" si="131"/>
        <v>-20341.695217213215</v>
      </c>
      <c r="O159" s="62">
        <f t="shared" si="131"/>
        <v>-20341.695217213215</v>
      </c>
      <c r="P159" s="62">
        <f t="shared" si="131"/>
        <v>-20341.695217213215</v>
      </c>
      <c r="Q159" s="62">
        <f t="shared" si="131"/>
        <v>-20341.695217213215</v>
      </c>
      <c r="R159" s="62">
        <f t="shared" si="131"/>
        <v>-20341.695217213215</v>
      </c>
      <c r="S159" s="62">
        <f t="shared" si="131"/>
        <v>-20341.695217213215</v>
      </c>
      <c r="T159" s="62">
        <f t="shared" si="131"/>
        <v>-20341.695217213215</v>
      </c>
      <c r="U159" s="62">
        <f t="shared" si="131"/>
        <v>-20341.695217213215</v>
      </c>
      <c r="V159" s="62">
        <f t="shared" si="131"/>
        <v>-20341.695217213215</v>
      </c>
      <c r="W159" s="62">
        <f t="shared" si="131"/>
        <v>-20341.695217213215</v>
      </c>
      <c r="X159" s="62">
        <f t="shared" si="131"/>
        <v>-20341.695217213215</v>
      </c>
      <c r="Y159" s="62">
        <f t="shared" si="131"/>
        <v>-20341.695217213215</v>
      </c>
      <c r="Z159" s="62">
        <f t="shared" si="131"/>
        <v>-20341.695217213215</v>
      </c>
      <c r="AA159" s="62">
        <f t="shared" si="131"/>
        <v>-20341.695217213215</v>
      </c>
      <c r="AB159" s="62">
        <f t="shared" si="131"/>
        <v>-20341.695217213215</v>
      </c>
      <c r="AC159" s="62">
        <f t="shared" si="131"/>
        <v>-20341.695217213215</v>
      </c>
    </row>
    <row r="160" spans="1:29" x14ac:dyDescent="0.25">
      <c r="A160" s="30" t="str">
        <f t="shared" ref="A160:AC160" si="132">A142</f>
        <v>Opex fix (admin, crew, insurance)</v>
      </c>
      <c r="B160" s="62">
        <f t="shared" si="132"/>
        <v>620000</v>
      </c>
      <c r="C160" s="62">
        <f t="shared" si="132"/>
        <v>620000</v>
      </c>
      <c r="D160" s="62">
        <f t="shared" si="132"/>
        <v>620000</v>
      </c>
      <c r="E160" s="62">
        <f t="shared" si="132"/>
        <v>620000</v>
      </c>
      <c r="F160" s="62">
        <f t="shared" si="132"/>
        <v>620000</v>
      </c>
      <c r="G160" s="62">
        <f t="shared" si="132"/>
        <v>620000</v>
      </c>
      <c r="H160" s="62">
        <f t="shared" si="132"/>
        <v>620000</v>
      </c>
      <c r="I160" s="62">
        <f t="shared" si="132"/>
        <v>620000</v>
      </c>
      <c r="J160" s="62">
        <f t="shared" si="132"/>
        <v>620000</v>
      </c>
      <c r="K160" s="62">
        <f t="shared" si="132"/>
        <v>620000</v>
      </c>
      <c r="L160" s="62">
        <f t="shared" si="132"/>
        <v>620000</v>
      </c>
      <c r="M160" s="62">
        <f t="shared" si="132"/>
        <v>620000</v>
      </c>
      <c r="N160" s="62">
        <f t="shared" si="132"/>
        <v>620000</v>
      </c>
      <c r="O160" s="62">
        <f t="shared" si="132"/>
        <v>620000</v>
      </c>
      <c r="P160" s="62">
        <f t="shared" si="132"/>
        <v>620000</v>
      </c>
      <c r="Q160" s="62">
        <f t="shared" si="132"/>
        <v>620000</v>
      </c>
      <c r="R160" s="62">
        <f t="shared" si="132"/>
        <v>620000</v>
      </c>
      <c r="S160" s="62">
        <f t="shared" si="132"/>
        <v>620000</v>
      </c>
      <c r="T160" s="62">
        <f t="shared" si="132"/>
        <v>620000</v>
      </c>
      <c r="U160" s="62">
        <f t="shared" si="132"/>
        <v>620000</v>
      </c>
      <c r="V160" s="62">
        <f t="shared" si="132"/>
        <v>620000</v>
      </c>
      <c r="W160" s="62">
        <f t="shared" si="132"/>
        <v>620000</v>
      </c>
      <c r="X160" s="62">
        <f t="shared" si="132"/>
        <v>620000</v>
      </c>
      <c r="Y160" s="62">
        <f t="shared" si="132"/>
        <v>620000</v>
      </c>
      <c r="Z160" s="62">
        <f t="shared" si="132"/>
        <v>620000</v>
      </c>
      <c r="AA160" s="62">
        <f t="shared" si="132"/>
        <v>620000</v>
      </c>
      <c r="AB160" s="62">
        <f t="shared" si="132"/>
        <v>620000</v>
      </c>
      <c r="AC160" s="62">
        <f t="shared" si="132"/>
        <v>620000</v>
      </c>
    </row>
    <row r="161" spans="1:29" x14ac:dyDescent="0.25">
      <c r="A161" s="30" t="str">
        <f t="shared" ref="A161:AC161" si="133">A143</f>
        <v>Opex maintenance &amp; repair</v>
      </c>
      <c r="B161" s="62">
        <f t="shared" si="133"/>
        <v>1293563.9575177333</v>
      </c>
      <c r="C161" s="62">
        <f t="shared" si="133"/>
        <v>1290808.235093934</v>
      </c>
      <c r="D161" s="62">
        <f t="shared" si="133"/>
        <v>1286895.5042898762</v>
      </c>
      <c r="E161" s="62">
        <f t="shared" si="133"/>
        <v>1281365.2352877648</v>
      </c>
      <c r="F161" s="62">
        <f t="shared" si="133"/>
        <v>1273600.837383118</v>
      </c>
      <c r="G161" s="62">
        <f t="shared" si="133"/>
        <v>1262805.5057319398</v>
      </c>
      <c r="H161" s="62">
        <f t="shared" si="133"/>
        <v>1248005.5098923349</v>
      </c>
      <c r="I161" s="62">
        <f t="shared" si="133"/>
        <v>1228115.9013873441</v>
      </c>
      <c r="J161" s="62">
        <f t="shared" si="133"/>
        <v>1202116.3406815415</v>
      </c>
      <c r="K161" s="62">
        <f t="shared" si="133"/>
        <v>1169374.2884687176</v>
      </c>
      <c r="L161" s="62">
        <f t="shared" si="133"/>
        <v>1130084.7656740851</v>
      </c>
      <c r="M161" s="62">
        <f t="shared" si="133"/>
        <v>1085657.2084191416</v>
      </c>
      <c r="N161" s="62">
        <f t="shared" si="133"/>
        <v>1038755.2185067786</v>
      </c>
      <c r="O161" s="62">
        <f t="shared" si="133"/>
        <v>992776.17202817916</v>
      </c>
      <c r="P161" s="62">
        <f t="shared" si="133"/>
        <v>950920.49960650213</v>
      </c>
      <c r="Q161" s="62">
        <f t="shared" si="133"/>
        <v>915349.13841044903</v>
      </c>
      <c r="R161" s="62">
        <f t="shared" si="133"/>
        <v>886862.84856226621</v>
      </c>
      <c r="S161" s="62">
        <f t="shared" si="133"/>
        <v>865126.54509633617</v>
      </c>
      <c r="T161" s="62">
        <f t="shared" si="133"/>
        <v>849148.61879481981</v>
      </c>
      <c r="U161" s="62">
        <f t="shared" si="133"/>
        <v>837724.6326365323</v>
      </c>
      <c r="V161" s="62">
        <f t="shared" si="133"/>
        <v>829718.10542985611</v>
      </c>
      <c r="W161" s="62">
        <f t="shared" si="133"/>
        <v>824185.10301042092</v>
      </c>
      <c r="X161" s="62">
        <f t="shared" si="133"/>
        <v>820398.59373471502</v>
      </c>
      <c r="Y161" s="62">
        <f t="shared" si="133"/>
        <v>817824.59227500285</v>
      </c>
      <c r="Z161" s="62">
        <f t="shared" si="133"/>
        <v>816082.79412917187</v>
      </c>
      <c r="AA161" s="62">
        <f t="shared" si="133"/>
        <v>814907.77528152149</v>
      </c>
      <c r="AB161" s="62">
        <f t="shared" si="133"/>
        <v>814116.75843028165</v>
      </c>
      <c r="AC161" s="62">
        <f t="shared" si="133"/>
        <v>813584.99765465059</v>
      </c>
    </row>
    <row r="162" spans="1:29" x14ac:dyDescent="0.25">
      <c r="A162" s="30" t="str">
        <f>A144</f>
        <v>Opex var (mode-fees, shunting)</v>
      </c>
      <c r="B162" s="62">
        <f>B144*B153</f>
        <v>650000</v>
      </c>
      <c r="C162" s="62">
        <f t="shared" ref="C162:AC162" si="134">C144*C153</f>
        <v>650000</v>
      </c>
      <c r="D162" s="62">
        <f t="shared" si="134"/>
        <v>650000</v>
      </c>
      <c r="E162" s="62">
        <f t="shared" si="134"/>
        <v>650000</v>
      </c>
      <c r="F162" s="62">
        <f t="shared" si="134"/>
        <v>650000</v>
      </c>
      <c r="G162" s="62">
        <f t="shared" si="134"/>
        <v>650000</v>
      </c>
      <c r="H162" s="62">
        <f t="shared" si="134"/>
        <v>650000</v>
      </c>
      <c r="I162" s="62">
        <f t="shared" si="134"/>
        <v>650000</v>
      </c>
      <c r="J162" s="62">
        <f t="shared" si="134"/>
        <v>650000</v>
      </c>
      <c r="K162" s="62">
        <f t="shared" si="134"/>
        <v>650000</v>
      </c>
      <c r="L162" s="62">
        <f t="shared" si="134"/>
        <v>650000</v>
      </c>
      <c r="M162" s="62">
        <f t="shared" si="134"/>
        <v>650000</v>
      </c>
      <c r="N162" s="62">
        <f t="shared" si="134"/>
        <v>650000</v>
      </c>
      <c r="O162" s="62">
        <f t="shared" si="134"/>
        <v>650000</v>
      </c>
      <c r="P162" s="62">
        <f t="shared" si="134"/>
        <v>650000</v>
      </c>
      <c r="Q162" s="62">
        <f t="shared" si="134"/>
        <v>650000</v>
      </c>
      <c r="R162" s="62">
        <f t="shared" si="134"/>
        <v>650000</v>
      </c>
      <c r="S162" s="62">
        <f t="shared" si="134"/>
        <v>650000</v>
      </c>
      <c r="T162" s="62">
        <f t="shared" si="134"/>
        <v>650000</v>
      </c>
      <c r="U162" s="62">
        <f t="shared" si="134"/>
        <v>650000</v>
      </c>
      <c r="V162" s="62">
        <f t="shared" si="134"/>
        <v>650000</v>
      </c>
      <c r="W162" s="62">
        <f t="shared" si="134"/>
        <v>650000</v>
      </c>
      <c r="X162" s="62">
        <f t="shared" si="134"/>
        <v>650000</v>
      </c>
      <c r="Y162" s="62">
        <f t="shared" si="134"/>
        <v>650000</v>
      </c>
      <c r="Z162" s="62">
        <f t="shared" si="134"/>
        <v>650000</v>
      </c>
      <c r="AA162" s="62">
        <f t="shared" si="134"/>
        <v>650000</v>
      </c>
      <c r="AB162" s="62">
        <f t="shared" si="134"/>
        <v>650000</v>
      </c>
      <c r="AC162" s="62">
        <f t="shared" si="134"/>
        <v>650000</v>
      </c>
    </row>
    <row r="163" spans="1:29" x14ac:dyDescent="0.25">
      <c r="A163" s="30" t="str">
        <f>A146</f>
        <v>Fuel Cost</v>
      </c>
      <c r="B163" s="62">
        <f>B145*B146*B153</f>
        <v>564609.2417724753</v>
      </c>
      <c r="C163" s="62">
        <f t="shared" ref="C163:AC163" si="135">C145*C146*C153</f>
        <v>564609.2417724753</v>
      </c>
      <c r="D163" s="62">
        <f t="shared" si="135"/>
        <v>564609.2417724753</v>
      </c>
      <c r="E163" s="62">
        <f t="shared" si="135"/>
        <v>564609.2417724753</v>
      </c>
      <c r="F163" s="62">
        <f t="shared" si="135"/>
        <v>564609.2417724753</v>
      </c>
      <c r="G163" s="62">
        <f t="shared" si="135"/>
        <v>564609.2417724753</v>
      </c>
      <c r="H163" s="62">
        <f t="shared" si="135"/>
        <v>564609.2417724753</v>
      </c>
      <c r="I163" s="62">
        <f t="shared" si="135"/>
        <v>564609.2417724753</v>
      </c>
      <c r="J163" s="62">
        <f t="shared" si="135"/>
        <v>575601.63362323598</v>
      </c>
      <c r="K163" s="62">
        <f t="shared" si="135"/>
        <v>586594.02547399676</v>
      </c>
      <c r="L163" s="62">
        <f t="shared" si="135"/>
        <v>597586.41732475744</v>
      </c>
      <c r="M163" s="62">
        <f t="shared" si="135"/>
        <v>608578.80917551811</v>
      </c>
      <c r="N163" s="62">
        <f t="shared" si="135"/>
        <v>619571.20102627878</v>
      </c>
      <c r="O163" s="62">
        <f t="shared" si="135"/>
        <v>613575.35092586384</v>
      </c>
      <c r="P163" s="62">
        <f t="shared" si="135"/>
        <v>607579.50082544889</v>
      </c>
      <c r="Q163" s="62">
        <f t="shared" si="135"/>
        <v>601583.65072503395</v>
      </c>
      <c r="R163" s="62">
        <f t="shared" si="135"/>
        <v>595587.80062461901</v>
      </c>
      <c r="S163" s="62">
        <f t="shared" si="135"/>
        <v>589591.95052420418</v>
      </c>
      <c r="T163" s="62">
        <f t="shared" si="135"/>
        <v>583596.10042378923</v>
      </c>
      <c r="U163" s="62">
        <f t="shared" si="135"/>
        <v>577600.25032337429</v>
      </c>
      <c r="V163" s="62">
        <f t="shared" si="135"/>
        <v>571604.40022295923</v>
      </c>
      <c r="W163" s="62">
        <f t="shared" si="135"/>
        <v>565608.5501225444</v>
      </c>
      <c r="X163" s="62">
        <f t="shared" si="135"/>
        <v>559612.70002212957</v>
      </c>
      <c r="Y163" s="62">
        <f t="shared" si="135"/>
        <v>553616.84992171463</v>
      </c>
      <c r="Z163" s="62">
        <f t="shared" si="135"/>
        <v>547620.99982129969</v>
      </c>
      <c r="AA163" s="62">
        <f t="shared" si="135"/>
        <v>541625.14972088463</v>
      </c>
      <c r="AB163" s="62">
        <f t="shared" si="135"/>
        <v>535629.29962046968</v>
      </c>
      <c r="AC163" s="62">
        <f t="shared" si="135"/>
        <v>529633.44952005497</v>
      </c>
    </row>
    <row r="164" spans="1:29" ht="15.75" thickBot="1" x14ac:dyDescent="0.3">
      <c r="A164" s="59" t="str">
        <f>A127</f>
        <v>Emission Cost</v>
      </c>
      <c r="B164" s="62">
        <f>B147*B153</f>
        <v>0</v>
      </c>
      <c r="C164" s="62">
        <f t="shared" ref="C164:AC164" si="136">C147*C153</f>
        <v>0</v>
      </c>
      <c r="D164" s="62">
        <f t="shared" si="136"/>
        <v>0</v>
      </c>
      <c r="E164" s="62">
        <f t="shared" si="136"/>
        <v>0</v>
      </c>
      <c r="F164" s="62">
        <f t="shared" si="136"/>
        <v>0</v>
      </c>
      <c r="G164" s="62">
        <f t="shared" si="136"/>
        <v>0</v>
      </c>
      <c r="H164" s="62">
        <f t="shared" si="136"/>
        <v>0</v>
      </c>
      <c r="I164" s="62">
        <f t="shared" si="136"/>
        <v>0</v>
      </c>
      <c r="J164" s="62">
        <f t="shared" si="136"/>
        <v>0</v>
      </c>
      <c r="K164" s="62">
        <f t="shared" si="136"/>
        <v>0</v>
      </c>
      <c r="L164" s="62">
        <f t="shared" si="136"/>
        <v>0</v>
      </c>
      <c r="M164" s="62">
        <f t="shared" si="136"/>
        <v>0</v>
      </c>
      <c r="N164" s="62">
        <f t="shared" si="136"/>
        <v>0</v>
      </c>
      <c r="O164" s="62">
        <f t="shared" si="136"/>
        <v>0</v>
      </c>
      <c r="P164" s="62">
        <f t="shared" si="136"/>
        <v>0</v>
      </c>
      <c r="Q164" s="62">
        <f t="shared" si="136"/>
        <v>0</v>
      </c>
      <c r="R164" s="62">
        <f t="shared" si="136"/>
        <v>0</v>
      </c>
      <c r="S164" s="62">
        <f t="shared" si="136"/>
        <v>0</v>
      </c>
      <c r="T164" s="62">
        <f t="shared" si="136"/>
        <v>0</v>
      </c>
      <c r="U164" s="62">
        <f t="shared" si="136"/>
        <v>0</v>
      </c>
      <c r="V164" s="62">
        <f t="shared" si="136"/>
        <v>0</v>
      </c>
      <c r="W164" s="62">
        <f t="shared" si="136"/>
        <v>0</v>
      </c>
      <c r="X164" s="62">
        <f t="shared" si="136"/>
        <v>0</v>
      </c>
      <c r="Y164" s="62">
        <f t="shared" si="136"/>
        <v>0</v>
      </c>
      <c r="Z164" s="62">
        <f t="shared" si="136"/>
        <v>0</v>
      </c>
      <c r="AA164" s="62">
        <f t="shared" si="136"/>
        <v>0</v>
      </c>
      <c r="AB164" s="62">
        <f t="shared" si="136"/>
        <v>0</v>
      </c>
      <c r="AC164" s="62">
        <f t="shared" si="136"/>
        <v>0</v>
      </c>
    </row>
    <row r="165" spans="1:29" ht="15.75" thickBot="1" x14ac:dyDescent="0.3">
      <c r="A165" s="31" t="s">
        <v>209</v>
      </c>
      <c r="B165" s="64">
        <f>B156+B157+B158+B159+B160+B161+B162+B163+B164</f>
        <v>4338098.7926027915</v>
      </c>
      <c r="C165" s="64">
        <f t="shared" ref="C165:AC165" si="137">C156+C157+C158+C159+C160+C161+C162+C163+C164</f>
        <v>4333279.3289750312</v>
      </c>
      <c r="D165" s="64">
        <f t="shared" si="137"/>
        <v>4326436.3815023405</v>
      </c>
      <c r="E165" s="64">
        <f t="shared" si="137"/>
        <v>4316764.53281496</v>
      </c>
      <c r="F165" s="64">
        <f t="shared" si="137"/>
        <v>4303185.4317524824</v>
      </c>
      <c r="G165" s="64">
        <f t="shared" si="137"/>
        <v>4284305.5519093107</v>
      </c>
      <c r="H165" s="64">
        <f t="shared" si="137"/>
        <v>4258421.9429420317</v>
      </c>
      <c r="I165" s="64">
        <f t="shared" si="137"/>
        <v>4223637.146065414</v>
      </c>
      <c r="J165" s="64">
        <f t="shared" si="137"/>
        <v>4189159.0884698858</v>
      </c>
      <c r="K165" s="64">
        <f t="shared" si="137"/>
        <v>4142889.1347465292</v>
      </c>
      <c r="L165" s="64">
        <f t="shared" si="137"/>
        <v>4085168.3556242352</v>
      </c>
      <c r="M165" s="64">
        <f t="shared" si="137"/>
        <v>4018461.7040549228</v>
      </c>
      <c r="N165" s="64">
        <f t="shared" si="137"/>
        <v>3947427.5345582664</v>
      </c>
      <c r="O165" s="64">
        <f t="shared" si="137"/>
        <v>3861019.2524113716</v>
      </c>
      <c r="P165" s="64">
        <f t="shared" si="137"/>
        <v>3781822.31024537</v>
      </c>
      <c r="Q165" s="64">
        <f t="shared" si="137"/>
        <v>3713615.9559251741</v>
      </c>
      <c r="R165" s="64">
        <f t="shared" si="137"/>
        <v>3657800.6332147848</v>
      </c>
      <c r="S165" s="64">
        <f t="shared" si="137"/>
        <v>3613790.3143669749</v>
      </c>
      <c r="T165" s="64">
        <f t="shared" si="137"/>
        <v>3579850.780972423</v>
      </c>
      <c r="U165" s="64">
        <f t="shared" si="137"/>
        <v>3553875.6015685876</v>
      </c>
      <c r="V165" s="64">
        <f t="shared" si="137"/>
        <v>3533877.1921668435</v>
      </c>
      <c r="W165" s="64">
        <f t="shared" si="137"/>
        <v>3518204.7129246537</v>
      </c>
      <c r="X165" s="64">
        <f t="shared" si="137"/>
        <v>3505586.6632975964</v>
      </c>
      <c r="Y165" s="64">
        <f t="shared" si="137"/>
        <v>3495089.1600895426</v>
      </c>
      <c r="Z165" s="64">
        <f t="shared" si="137"/>
        <v>3486047.0914229052</v>
      </c>
      <c r="AA165" s="64">
        <f t="shared" si="137"/>
        <v>3477996.259097402</v>
      </c>
      <c r="AB165" s="64">
        <f t="shared" si="137"/>
        <v>3470617.0051713432</v>
      </c>
      <c r="AC165" s="64">
        <f t="shared" si="137"/>
        <v>3463691.162378381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8">A156</f>
        <v>Capex vehicle</v>
      </c>
      <c r="B168" s="65">
        <f>((1+B141)^B148)*B141/(((1+B141)^B148)-1)*(B137)/B153</f>
        <v>4.8601077594228057</v>
      </c>
      <c r="C168" s="65">
        <f t="shared" ref="C168:AC168" si="139">((1+C141)^C148)*C141/(((1+C141)^C148)-1)*(C137)/C153</f>
        <v>4.8497541098356427</v>
      </c>
      <c r="D168" s="65">
        <f t="shared" si="139"/>
        <v>4.8350534116360544</v>
      </c>
      <c r="E168" s="65">
        <f t="shared" si="139"/>
        <v>4.8142753873778386</v>
      </c>
      <c r="F168" s="65">
        <f t="shared" si="139"/>
        <v>4.7851034161859127</v>
      </c>
      <c r="G168" s="65">
        <f t="shared" si="139"/>
        <v>4.7445437864756714</v>
      </c>
      <c r="H168" s="65">
        <f t="shared" si="139"/>
        <v>4.6889380514816965</v>
      </c>
      <c r="I168" s="65">
        <f t="shared" si="139"/>
        <v>4.6142099021194625</v>
      </c>
      <c r="J168" s="65">
        <f t="shared" si="139"/>
        <v>4.5165257744862721</v>
      </c>
      <c r="K168" s="65">
        <f t="shared" si="139"/>
        <v>4.3935091264928241</v>
      </c>
      <c r="L168" s="65">
        <f t="shared" si="139"/>
        <v>4.2458926800941192</v>
      </c>
      <c r="M168" s="65">
        <f t="shared" si="139"/>
        <v>4.0789718916073303</v>
      </c>
      <c r="N168" s="65">
        <f t="shared" si="139"/>
        <v>3.9027543000605887</v>
      </c>
      <c r="O168" s="65">
        <f t="shared" si="139"/>
        <v>3.7300043411097277</v>
      </c>
      <c r="P168" s="65">
        <f t="shared" si="139"/>
        <v>3.5727464976685668</v>
      </c>
      <c r="Q168" s="65">
        <f t="shared" si="139"/>
        <v>3.4390997246911277</v>
      </c>
      <c r="R168" s="65">
        <f t="shared" si="139"/>
        <v>3.3320725943171574</v>
      </c>
      <c r="S168" s="65">
        <f t="shared" si="139"/>
        <v>3.2504061436387905</v>
      </c>
      <c r="T168" s="65">
        <f t="shared" si="139"/>
        <v>3.1903747527313779</v>
      </c>
      <c r="U168" s="65">
        <f t="shared" si="139"/>
        <v>3.147453176686561</v>
      </c>
      <c r="V168" s="65">
        <f t="shared" si="139"/>
        <v>3.1173714905224945</v>
      </c>
      <c r="W168" s="65">
        <f t="shared" si="139"/>
        <v>3.0965831964181936</v>
      </c>
      <c r="X168" s="65">
        <f t="shared" si="139"/>
        <v>3.0823567308421902</v>
      </c>
      <c r="Y168" s="65">
        <f t="shared" si="139"/>
        <v>3.0726858333234324</v>
      </c>
      <c r="Z168" s="65">
        <f t="shared" si="139"/>
        <v>3.0661416445844814</v>
      </c>
      <c r="AA168" s="65">
        <f t="shared" si="139"/>
        <v>3.0617269280289179</v>
      </c>
      <c r="AB168" s="65">
        <f t="shared" si="139"/>
        <v>3.058754962774163</v>
      </c>
      <c r="AC168" s="65">
        <f t="shared" si="139"/>
        <v>3.0567570602686231</v>
      </c>
    </row>
    <row r="169" spans="1:29" x14ac:dyDescent="0.25">
      <c r="A169" s="30" t="str">
        <f t="shared" si="138"/>
        <v>Residual value (vehicle)</v>
      </c>
      <c r="B169" s="66">
        <f>((1+B141)^B148)*B141/(((1+B141)^B148)-1)*(B138)/B153</f>
        <v>-0.24703557911170351</v>
      </c>
      <c r="C169" s="66">
        <f t="shared" ref="C169:AC169" si="140">((1+C141)^C148)*C141/(((1+C141)^C148)-1)*(C138)/C153</f>
        <v>-0.24824350489687252</v>
      </c>
      <c r="D169" s="66">
        <f t="shared" si="140"/>
        <v>-0.24995858635349122</v>
      </c>
      <c r="E169" s="66">
        <f t="shared" si="140"/>
        <v>-0.25238268918361639</v>
      </c>
      <c r="F169" s="66">
        <f t="shared" si="140"/>
        <v>-0.25578608582267437</v>
      </c>
      <c r="G169" s="66">
        <f t="shared" si="140"/>
        <v>-0.26051804262220252</v>
      </c>
      <c r="H169" s="66">
        <f t="shared" si="140"/>
        <v>-0.26700537837149957</v>
      </c>
      <c r="I169" s="66">
        <f t="shared" si="140"/>
        <v>-0.27572366246376023</v>
      </c>
      <c r="J169" s="66">
        <f t="shared" si="140"/>
        <v>-0.28712014402096564</v>
      </c>
      <c r="K169" s="66">
        <f t="shared" si="140"/>
        <v>-0.301472086286868</v>
      </c>
      <c r="L169" s="66">
        <f t="shared" si="140"/>
        <v>-0.31869400503338358</v>
      </c>
      <c r="M169" s="66">
        <f t="shared" si="140"/>
        <v>-0.33816809702350897</v>
      </c>
      <c r="N169" s="66">
        <f t="shared" si="140"/>
        <v>-0.35872681603729545</v>
      </c>
      <c r="O169" s="66">
        <f t="shared" si="140"/>
        <v>-0.378880977914896</v>
      </c>
      <c r="P169" s="66">
        <f t="shared" si="140"/>
        <v>-0.39722772631636477</v>
      </c>
      <c r="Q169" s="66">
        <f t="shared" si="140"/>
        <v>-0.41281984983039921</v>
      </c>
      <c r="R169" s="66">
        <f t="shared" si="140"/>
        <v>-0.42530634837402914</v>
      </c>
      <c r="S169" s="66">
        <f t="shared" si="140"/>
        <v>-0.43483410095317204</v>
      </c>
      <c r="T169" s="66">
        <f t="shared" si="140"/>
        <v>-0.44183776322570334</v>
      </c>
      <c r="U169" s="66">
        <f t="shared" si="140"/>
        <v>-0.44684528043093191</v>
      </c>
      <c r="V169" s="66">
        <f t="shared" si="140"/>
        <v>-0.45035481048340636</v>
      </c>
      <c r="W169" s="66">
        <f t="shared" si="140"/>
        <v>-0.45278011146224156</v>
      </c>
      <c r="X169" s="66">
        <f t="shared" si="140"/>
        <v>-0.45443986577944195</v>
      </c>
      <c r="Y169" s="66">
        <f t="shared" si="140"/>
        <v>-0.45556813715663036</v>
      </c>
      <c r="Z169" s="66">
        <f t="shared" si="140"/>
        <v>-0.45633162584284143</v>
      </c>
      <c r="AA169" s="66">
        <f t="shared" si="140"/>
        <v>-0.45684667610765711</v>
      </c>
      <c r="AB169" s="66">
        <f t="shared" si="140"/>
        <v>-0.45719340538737846</v>
      </c>
      <c r="AC169" s="66">
        <f t="shared" si="140"/>
        <v>-0.45742649401302482</v>
      </c>
    </row>
    <row r="170" spans="1:29" x14ac:dyDescent="0.25">
      <c r="A170" s="30" t="str">
        <f t="shared" si="138"/>
        <v>Capex costumization</v>
      </c>
      <c r="B170" s="66">
        <f>((1+B141)^B149)*B141/(((1+B141)^B149)-1)*(B139)/B153</f>
        <v>2.2791815369426573</v>
      </c>
      <c r="C170" s="66">
        <f t="shared" ref="C170:AC170" si="141">((1+C141)^C149)*C141/(((1+C141)^C149)-1)*(C139)/C153</f>
        <v>2.2791815369426573</v>
      </c>
      <c r="D170" s="66">
        <f t="shared" si="141"/>
        <v>2.2791815369426573</v>
      </c>
      <c r="E170" s="66">
        <f t="shared" si="141"/>
        <v>2.2791815369426573</v>
      </c>
      <c r="F170" s="66">
        <f t="shared" si="141"/>
        <v>2.2791815369426573</v>
      </c>
      <c r="G170" s="66">
        <f t="shared" si="141"/>
        <v>2.2791815369426573</v>
      </c>
      <c r="H170" s="66">
        <f t="shared" si="141"/>
        <v>2.2791815369426573</v>
      </c>
      <c r="I170" s="66">
        <f t="shared" si="141"/>
        <v>2.2791815369426573</v>
      </c>
      <c r="J170" s="66">
        <f t="shared" si="141"/>
        <v>2.2791815369426573</v>
      </c>
      <c r="K170" s="66">
        <f t="shared" si="141"/>
        <v>2.2791815369426573</v>
      </c>
      <c r="L170" s="66">
        <f t="shared" si="141"/>
        <v>2.2791815369426573</v>
      </c>
      <c r="M170" s="66">
        <f t="shared" si="141"/>
        <v>2.2791815369426573</v>
      </c>
      <c r="N170" s="66">
        <f t="shared" si="141"/>
        <v>2.2791815369426573</v>
      </c>
      <c r="O170" s="66">
        <f t="shared" si="141"/>
        <v>2.2791815369426573</v>
      </c>
      <c r="P170" s="66">
        <f t="shared" si="141"/>
        <v>2.2791815369426573</v>
      </c>
      <c r="Q170" s="66">
        <f t="shared" si="141"/>
        <v>2.2791815369426573</v>
      </c>
      <c r="R170" s="66">
        <f t="shared" si="141"/>
        <v>2.2791815369426573</v>
      </c>
      <c r="S170" s="66">
        <f t="shared" si="141"/>
        <v>2.2791815369426573</v>
      </c>
      <c r="T170" s="66">
        <f t="shared" si="141"/>
        <v>2.2791815369426573</v>
      </c>
      <c r="U170" s="66">
        <f t="shared" si="141"/>
        <v>2.2791815369426573</v>
      </c>
      <c r="V170" s="66">
        <f t="shared" si="141"/>
        <v>2.2791815369426573</v>
      </c>
      <c r="W170" s="66">
        <f t="shared" si="141"/>
        <v>2.2791815369426573</v>
      </c>
      <c r="X170" s="66">
        <f t="shared" si="141"/>
        <v>2.2791815369426573</v>
      </c>
      <c r="Y170" s="66">
        <f t="shared" si="141"/>
        <v>2.2791815369426573</v>
      </c>
      <c r="Z170" s="66">
        <f t="shared" si="141"/>
        <v>2.2791815369426573</v>
      </c>
      <c r="AA170" s="66">
        <f t="shared" si="141"/>
        <v>2.2791815369426573</v>
      </c>
      <c r="AB170" s="66">
        <f t="shared" si="141"/>
        <v>2.2791815369426573</v>
      </c>
      <c r="AC170" s="66">
        <f t="shared" si="141"/>
        <v>2.2791815369426573</v>
      </c>
    </row>
    <row r="171" spans="1:29" x14ac:dyDescent="0.25">
      <c r="A171" s="30" t="str">
        <f t="shared" si="138"/>
        <v>Residual value (costumization)</v>
      </c>
      <c r="B171" s="66">
        <f>((1+B141)^B149)*B141/(((1+B141)^B149)-1)*(B140)/B153</f>
        <v>-0.11395907684713286</v>
      </c>
      <c r="C171" s="66">
        <f t="shared" ref="C171:AC171" si="142">((1+C141)^C149)*C141/(((1+C141)^C149)-1)*(C140)/C153</f>
        <v>-0.11395907684713286</v>
      </c>
      <c r="D171" s="66">
        <f t="shared" si="142"/>
        <v>-0.11395907684713286</v>
      </c>
      <c r="E171" s="66">
        <f t="shared" si="142"/>
        <v>-0.11395907684713286</v>
      </c>
      <c r="F171" s="66">
        <f t="shared" si="142"/>
        <v>-0.11395907684713286</v>
      </c>
      <c r="G171" s="66">
        <f t="shared" si="142"/>
        <v>-0.11395907684713286</v>
      </c>
      <c r="H171" s="66">
        <f t="shared" si="142"/>
        <v>-0.11395907684713286</v>
      </c>
      <c r="I171" s="66">
        <f t="shared" si="142"/>
        <v>-0.11395907684713286</v>
      </c>
      <c r="J171" s="66">
        <f t="shared" si="142"/>
        <v>-0.11395907684713286</v>
      </c>
      <c r="K171" s="66">
        <f t="shared" si="142"/>
        <v>-0.11395907684713286</v>
      </c>
      <c r="L171" s="66">
        <f t="shared" si="142"/>
        <v>-0.11395907684713286</v>
      </c>
      <c r="M171" s="66">
        <f t="shared" si="142"/>
        <v>-0.11395907684713286</v>
      </c>
      <c r="N171" s="66">
        <f t="shared" si="142"/>
        <v>-0.11395907684713286</v>
      </c>
      <c r="O171" s="66">
        <f t="shared" si="142"/>
        <v>-0.11395907684713286</v>
      </c>
      <c r="P171" s="66">
        <f t="shared" si="142"/>
        <v>-0.11395907684713286</v>
      </c>
      <c r="Q171" s="66">
        <f t="shared" si="142"/>
        <v>-0.11395907684713286</v>
      </c>
      <c r="R171" s="66">
        <f t="shared" si="142"/>
        <v>-0.11395907684713286</v>
      </c>
      <c r="S171" s="66">
        <f t="shared" si="142"/>
        <v>-0.11395907684713286</v>
      </c>
      <c r="T171" s="66">
        <f t="shared" si="142"/>
        <v>-0.11395907684713286</v>
      </c>
      <c r="U171" s="66">
        <f t="shared" si="142"/>
        <v>-0.11395907684713286</v>
      </c>
      <c r="V171" s="66">
        <f t="shared" si="142"/>
        <v>-0.11395907684713286</v>
      </c>
      <c r="W171" s="66">
        <f t="shared" si="142"/>
        <v>-0.11395907684713286</v>
      </c>
      <c r="X171" s="66">
        <f t="shared" si="142"/>
        <v>-0.11395907684713286</v>
      </c>
      <c r="Y171" s="66">
        <f t="shared" si="142"/>
        <v>-0.11395907684713286</v>
      </c>
      <c r="Z171" s="66">
        <f t="shared" si="142"/>
        <v>-0.11395907684713286</v>
      </c>
      <c r="AA171" s="66">
        <f t="shared" si="142"/>
        <v>-0.11395907684713286</v>
      </c>
      <c r="AB171" s="66">
        <f t="shared" si="142"/>
        <v>-0.11395907684713286</v>
      </c>
      <c r="AC171" s="66">
        <f t="shared" si="142"/>
        <v>-0.11395907684713286</v>
      </c>
    </row>
    <row r="172" spans="1:29" x14ac:dyDescent="0.25">
      <c r="A172" s="30" t="str">
        <f t="shared" si="138"/>
        <v>Opex fix (admin, crew, insurance)</v>
      </c>
      <c r="B172" s="66">
        <f>B142/B153</f>
        <v>3.473389355742297</v>
      </c>
      <c r="C172" s="66">
        <f t="shared" ref="C172:AC172" si="143">C142/C153</f>
        <v>3.473389355742297</v>
      </c>
      <c r="D172" s="66">
        <f t="shared" si="143"/>
        <v>3.473389355742297</v>
      </c>
      <c r="E172" s="66">
        <f t="shared" si="143"/>
        <v>3.473389355742297</v>
      </c>
      <c r="F172" s="66">
        <f t="shared" si="143"/>
        <v>3.473389355742297</v>
      </c>
      <c r="G172" s="66">
        <f t="shared" si="143"/>
        <v>3.473389355742297</v>
      </c>
      <c r="H172" s="66">
        <f t="shared" si="143"/>
        <v>3.473389355742297</v>
      </c>
      <c r="I172" s="66">
        <f t="shared" si="143"/>
        <v>3.473389355742297</v>
      </c>
      <c r="J172" s="66">
        <f t="shared" si="143"/>
        <v>3.473389355742297</v>
      </c>
      <c r="K172" s="66">
        <f t="shared" si="143"/>
        <v>3.473389355742297</v>
      </c>
      <c r="L172" s="66">
        <f t="shared" si="143"/>
        <v>3.473389355742297</v>
      </c>
      <c r="M172" s="66">
        <f t="shared" si="143"/>
        <v>3.473389355742297</v>
      </c>
      <c r="N172" s="66">
        <f t="shared" si="143"/>
        <v>3.473389355742297</v>
      </c>
      <c r="O172" s="66">
        <f t="shared" si="143"/>
        <v>3.473389355742297</v>
      </c>
      <c r="P172" s="66">
        <f t="shared" si="143"/>
        <v>3.473389355742297</v>
      </c>
      <c r="Q172" s="66">
        <f t="shared" si="143"/>
        <v>3.473389355742297</v>
      </c>
      <c r="R172" s="66">
        <f t="shared" si="143"/>
        <v>3.473389355742297</v>
      </c>
      <c r="S172" s="66">
        <f t="shared" si="143"/>
        <v>3.473389355742297</v>
      </c>
      <c r="T172" s="66">
        <f t="shared" si="143"/>
        <v>3.473389355742297</v>
      </c>
      <c r="U172" s="66">
        <f t="shared" si="143"/>
        <v>3.473389355742297</v>
      </c>
      <c r="V172" s="66">
        <f t="shared" si="143"/>
        <v>3.473389355742297</v>
      </c>
      <c r="W172" s="66">
        <f t="shared" si="143"/>
        <v>3.473389355742297</v>
      </c>
      <c r="X172" s="66">
        <f t="shared" si="143"/>
        <v>3.473389355742297</v>
      </c>
      <c r="Y172" s="66">
        <f t="shared" si="143"/>
        <v>3.473389355742297</v>
      </c>
      <c r="Z172" s="66">
        <f t="shared" si="143"/>
        <v>3.473389355742297</v>
      </c>
      <c r="AA172" s="66">
        <f t="shared" si="143"/>
        <v>3.473389355742297</v>
      </c>
      <c r="AB172" s="66">
        <f t="shared" si="143"/>
        <v>3.473389355742297</v>
      </c>
      <c r="AC172" s="66">
        <f t="shared" si="143"/>
        <v>3.473389355742297</v>
      </c>
    </row>
    <row r="173" spans="1:29" x14ac:dyDescent="0.25">
      <c r="A173" s="30" t="str">
        <f t="shared" si="138"/>
        <v>Opex maintenance &amp; repair</v>
      </c>
      <c r="B173" s="66">
        <f>B143/B153</f>
        <v>7.246856904861251</v>
      </c>
      <c r="C173" s="66">
        <f t="shared" ref="C173:AC173" si="144">C143/C153</f>
        <v>7.2314186839996299</v>
      </c>
      <c r="D173" s="66">
        <f t="shared" si="144"/>
        <v>7.2094986234726957</v>
      </c>
      <c r="E173" s="66">
        <f t="shared" si="144"/>
        <v>7.1785167243012031</v>
      </c>
      <c r="F173" s="66">
        <f t="shared" si="144"/>
        <v>7.1350186968241909</v>
      </c>
      <c r="G173" s="66">
        <f t="shared" si="144"/>
        <v>7.0745406483582061</v>
      </c>
      <c r="H173" s="66">
        <f t="shared" si="144"/>
        <v>6.9916275063996354</v>
      </c>
      <c r="I173" s="66">
        <f t="shared" si="144"/>
        <v>6.8802011282204152</v>
      </c>
      <c r="J173" s="66">
        <f t="shared" si="144"/>
        <v>6.7345453259470114</v>
      </c>
      <c r="K173" s="66">
        <f t="shared" si="144"/>
        <v>6.5511164620096221</v>
      </c>
      <c r="L173" s="66">
        <f t="shared" si="144"/>
        <v>6.3310070906111209</v>
      </c>
      <c r="M173" s="66">
        <f t="shared" si="144"/>
        <v>6.0821132124321657</v>
      </c>
      <c r="N173" s="66">
        <f t="shared" si="144"/>
        <v>5.8193569664245297</v>
      </c>
      <c r="O173" s="66">
        <f t="shared" si="144"/>
        <v>5.56177127186655</v>
      </c>
      <c r="P173" s="66">
        <f t="shared" si="144"/>
        <v>5.3272857120812445</v>
      </c>
      <c r="Q173" s="66">
        <f t="shared" si="144"/>
        <v>5.1280063776495748</v>
      </c>
      <c r="R173" s="66">
        <f t="shared" si="144"/>
        <v>4.9684193196765616</v>
      </c>
      <c r="S173" s="66">
        <f t="shared" si="144"/>
        <v>4.8466473114640678</v>
      </c>
      <c r="T173" s="66">
        <f t="shared" si="144"/>
        <v>4.7571351192987104</v>
      </c>
      <c r="U173" s="66">
        <f t="shared" si="144"/>
        <v>4.6931351968433184</v>
      </c>
      <c r="V173" s="66">
        <f t="shared" si="144"/>
        <v>4.6482807026882691</v>
      </c>
      <c r="W173" s="66">
        <f t="shared" si="144"/>
        <v>4.6172834902544588</v>
      </c>
      <c r="X173" s="66">
        <f t="shared" si="144"/>
        <v>4.5960705531356583</v>
      </c>
      <c r="Y173" s="66">
        <f t="shared" si="144"/>
        <v>4.5816503768907726</v>
      </c>
      <c r="Z173" s="66">
        <f t="shared" si="144"/>
        <v>4.5718924040849966</v>
      </c>
      <c r="AA173" s="66">
        <f t="shared" si="144"/>
        <v>4.5653096654426975</v>
      </c>
      <c r="AB173" s="66">
        <f t="shared" si="144"/>
        <v>4.5608781984889726</v>
      </c>
      <c r="AC173" s="66">
        <f t="shared" si="144"/>
        <v>4.5578991465246528</v>
      </c>
    </row>
    <row r="174" spans="1:29" x14ac:dyDescent="0.25">
      <c r="A174" s="30" t="str">
        <f t="shared" si="138"/>
        <v>Opex var (mode-fees, shunting)</v>
      </c>
      <c r="B174" s="66">
        <f>B144*B153/B153</f>
        <v>3.6414565826330532</v>
      </c>
      <c r="C174" s="66">
        <f t="shared" ref="C174:AC174" si="145">C144*C153/C153</f>
        <v>3.6414565826330532</v>
      </c>
      <c r="D174" s="66">
        <f t="shared" si="145"/>
        <v>3.6414565826330532</v>
      </c>
      <c r="E174" s="66">
        <f t="shared" si="145"/>
        <v>3.6414565826330532</v>
      </c>
      <c r="F174" s="66">
        <f t="shared" si="145"/>
        <v>3.6414565826330532</v>
      </c>
      <c r="G174" s="66">
        <f t="shared" si="145"/>
        <v>3.6414565826330532</v>
      </c>
      <c r="H174" s="66">
        <f t="shared" si="145"/>
        <v>3.6414565826330532</v>
      </c>
      <c r="I174" s="66">
        <f t="shared" si="145"/>
        <v>3.6414565826330532</v>
      </c>
      <c r="J174" s="66">
        <f t="shared" si="145"/>
        <v>3.6414565826330532</v>
      </c>
      <c r="K174" s="66">
        <f t="shared" si="145"/>
        <v>3.6414565826330532</v>
      </c>
      <c r="L174" s="66">
        <f t="shared" si="145"/>
        <v>3.6414565826330532</v>
      </c>
      <c r="M174" s="66">
        <f t="shared" si="145"/>
        <v>3.6414565826330532</v>
      </c>
      <c r="N174" s="66">
        <f t="shared" si="145"/>
        <v>3.6414565826330532</v>
      </c>
      <c r="O174" s="66">
        <f t="shared" si="145"/>
        <v>3.6414565826330532</v>
      </c>
      <c r="P174" s="66">
        <f t="shared" si="145"/>
        <v>3.6414565826330532</v>
      </c>
      <c r="Q174" s="66">
        <f t="shared" si="145"/>
        <v>3.6414565826330532</v>
      </c>
      <c r="R174" s="66">
        <f t="shared" si="145"/>
        <v>3.6414565826330532</v>
      </c>
      <c r="S174" s="66">
        <f t="shared" si="145"/>
        <v>3.6414565826330532</v>
      </c>
      <c r="T174" s="66">
        <f t="shared" si="145"/>
        <v>3.6414565826330532</v>
      </c>
      <c r="U174" s="66">
        <f t="shared" si="145"/>
        <v>3.6414565826330532</v>
      </c>
      <c r="V174" s="66">
        <f t="shared" si="145"/>
        <v>3.6414565826330532</v>
      </c>
      <c r="W174" s="66">
        <f t="shared" si="145"/>
        <v>3.6414565826330532</v>
      </c>
      <c r="X174" s="66">
        <f t="shared" si="145"/>
        <v>3.6414565826330532</v>
      </c>
      <c r="Y174" s="66">
        <f t="shared" si="145"/>
        <v>3.6414565826330532</v>
      </c>
      <c r="Z174" s="66">
        <f t="shared" si="145"/>
        <v>3.6414565826330532</v>
      </c>
      <c r="AA174" s="66">
        <f t="shared" si="145"/>
        <v>3.6414565826330532</v>
      </c>
      <c r="AB174" s="66">
        <f t="shared" si="145"/>
        <v>3.6414565826330532</v>
      </c>
      <c r="AC174" s="66">
        <f t="shared" si="145"/>
        <v>3.6414565826330532</v>
      </c>
    </row>
    <row r="175" spans="1:29" x14ac:dyDescent="0.25">
      <c r="A175" s="30" t="str">
        <f t="shared" si="138"/>
        <v>Fuel Cost</v>
      </c>
      <c r="B175" s="66">
        <f>B145*B146*B153/B153</f>
        <v>3.1630769847197495</v>
      </c>
      <c r="C175" s="66">
        <f t="shared" ref="C175:AC175" si="146">C145*C146*C153/C153</f>
        <v>3.1630769847197495</v>
      </c>
      <c r="D175" s="66">
        <f t="shared" si="146"/>
        <v>3.1630769847197495</v>
      </c>
      <c r="E175" s="66">
        <f t="shared" si="146"/>
        <v>3.1630769847197495</v>
      </c>
      <c r="F175" s="66">
        <f t="shared" si="146"/>
        <v>3.1630769847197495</v>
      </c>
      <c r="G175" s="66">
        <f t="shared" si="146"/>
        <v>3.1630769847197495</v>
      </c>
      <c r="H175" s="66">
        <f t="shared" si="146"/>
        <v>3.1630769847197495</v>
      </c>
      <c r="I175" s="66">
        <f t="shared" si="146"/>
        <v>3.1630769847197495</v>
      </c>
      <c r="J175" s="66">
        <f t="shared" si="146"/>
        <v>3.2246590118948792</v>
      </c>
      <c r="K175" s="66">
        <f t="shared" si="146"/>
        <v>3.2862410390700099</v>
      </c>
      <c r="L175" s="66">
        <f t="shared" si="146"/>
        <v>3.3478230662451396</v>
      </c>
      <c r="M175" s="66">
        <f t="shared" si="146"/>
        <v>3.4094050934202693</v>
      </c>
      <c r="N175" s="66">
        <f t="shared" si="146"/>
        <v>3.4709871205953995</v>
      </c>
      <c r="O175" s="66">
        <f t="shared" si="146"/>
        <v>3.4373969239544193</v>
      </c>
      <c r="P175" s="66">
        <f t="shared" si="146"/>
        <v>3.4038067273134391</v>
      </c>
      <c r="Q175" s="66">
        <f t="shared" si="146"/>
        <v>3.370216530672459</v>
      </c>
      <c r="R175" s="66">
        <f t="shared" si="146"/>
        <v>3.3366263340314792</v>
      </c>
      <c r="S175" s="66">
        <f t="shared" si="146"/>
        <v>3.3030361373904995</v>
      </c>
      <c r="T175" s="66">
        <f t="shared" si="146"/>
        <v>3.2694459407495193</v>
      </c>
      <c r="U175" s="66">
        <f t="shared" si="146"/>
        <v>3.2358557441085396</v>
      </c>
      <c r="V175" s="66">
        <f t="shared" si="146"/>
        <v>3.2022655474675585</v>
      </c>
      <c r="W175" s="66">
        <f t="shared" si="146"/>
        <v>3.1686753508265793</v>
      </c>
      <c r="X175" s="66">
        <f t="shared" si="146"/>
        <v>3.1350851541856</v>
      </c>
      <c r="Y175" s="66">
        <f t="shared" si="146"/>
        <v>3.1014949575446198</v>
      </c>
      <c r="Z175" s="66">
        <f t="shared" si="146"/>
        <v>3.0679047609036396</v>
      </c>
      <c r="AA175" s="66">
        <f t="shared" si="146"/>
        <v>3.034314564262659</v>
      </c>
      <c r="AB175" s="66">
        <f t="shared" si="146"/>
        <v>3.0007243676216788</v>
      </c>
      <c r="AC175" s="66">
        <f t="shared" si="146"/>
        <v>2.9671341709807</v>
      </c>
    </row>
    <row r="176" spans="1:29" ht="15.75" thickBot="1" x14ac:dyDescent="0.3">
      <c r="A176" s="59" t="str">
        <f t="shared" ref="A176" si="147">A164</f>
        <v>Emission Cost</v>
      </c>
      <c r="B176" s="66">
        <f>B147</f>
        <v>0</v>
      </c>
      <c r="C176" s="66">
        <f t="shared" ref="C176:AC176" si="148">C147</f>
        <v>0</v>
      </c>
      <c r="D176" s="66">
        <f t="shared" si="148"/>
        <v>0</v>
      </c>
      <c r="E176" s="66">
        <f t="shared" si="148"/>
        <v>0</v>
      </c>
      <c r="F176" s="66">
        <f t="shared" si="148"/>
        <v>0</v>
      </c>
      <c r="G176" s="66">
        <f t="shared" si="148"/>
        <v>0</v>
      </c>
      <c r="H176" s="66">
        <f t="shared" si="148"/>
        <v>0</v>
      </c>
      <c r="I176" s="66">
        <f t="shared" si="148"/>
        <v>0</v>
      </c>
      <c r="J176" s="66">
        <f t="shared" si="148"/>
        <v>0</v>
      </c>
      <c r="K176" s="66">
        <f t="shared" si="148"/>
        <v>0</v>
      </c>
      <c r="L176" s="66">
        <f t="shared" si="148"/>
        <v>0</v>
      </c>
      <c r="M176" s="66">
        <f t="shared" si="148"/>
        <v>0</v>
      </c>
      <c r="N176" s="66">
        <f t="shared" si="148"/>
        <v>0</v>
      </c>
      <c r="O176" s="66">
        <f t="shared" si="148"/>
        <v>0</v>
      </c>
      <c r="P176" s="66">
        <f t="shared" si="148"/>
        <v>0</v>
      </c>
      <c r="Q176" s="66">
        <f t="shared" si="148"/>
        <v>0</v>
      </c>
      <c r="R176" s="66">
        <f t="shared" si="148"/>
        <v>0</v>
      </c>
      <c r="S176" s="66">
        <f t="shared" si="148"/>
        <v>0</v>
      </c>
      <c r="T176" s="66">
        <f t="shared" si="148"/>
        <v>0</v>
      </c>
      <c r="U176" s="66">
        <f t="shared" si="148"/>
        <v>0</v>
      </c>
      <c r="V176" s="66">
        <f t="shared" si="148"/>
        <v>0</v>
      </c>
      <c r="W176" s="66">
        <f t="shared" si="148"/>
        <v>0</v>
      </c>
      <c r="X176" s="66">
        <f t="shared" si="148"/>
        <v>0</v>
      </c>
      <c r="Y176" s="66">
        <f t="shared" si="148"/>
        <v>0</v>
      </c>
      <c r="Z176" s="66">
        <f t="shared" si="148"/>
        <v>0</v>
      </c>
      <c r="AA176" s="66">
        <f t="shared" si="148"/>
        <v>0</v>
      </c>
      <c r="AB176" s="66">
        <f t="shared" si="148"/>
        <v>0</v>
      </c>
      <c r="AC176" s="66">
        <f t="shared" si="148"/>
        <v>0</v>
      </c>
    </row>
    <row r="177" spans="1:29" ht="15.75" thickBot="1" x14ac:dyDescent="0.3">
      <c r="A177" s="31" t="s">
        <v>63</v>
      </c>
      <c r="B177" s="76">
        <f>B168+B169+B170-B171+B172+B173+B174+B175+B176</f>
        <v>24.530992622057241</v>
      </c>
      <c r="C177" s="76">
        <f t="shared" ref="C177:AC177" si="149">C168+C169+C170-C171+C172+C173+C174+C175+C176</f>
        <v>24.503992825823289</v>
      </c>
      <c r="D177" s="76">
        <f t="shared" si="149"/>
        <v>24.465656985640152</v>
      </c>
      <c r="E177" s="76">
        <f t="shared" si="149"/>
        <v>24.411472959380319</v>
      </c>
      <c r="F177" s="76">
        <f t="shared" si="149"/>
        <v>24.335399564072318</v>
      </c>
      <c r="G177" s="76">
        <f t="shared" si="149"/>
        <v>24.229629929096568</v>
      </c>
      <c r="H177" s="76">
        <f t="shared" si="149"/>
        <v>24.084623716394724</v>
      </c>
      <c r="I177" s="76">
        <f t="shared" si="149"/>
        <v>23.889750904761009</v>
      </c>
      <c r="J177" s="76">
        <f t="shared" si="149"/>
        <v>23.696596520472337</v>
      </c>
      <c r="K177" s="76">
        <f t="shared" si="149"/>
        <v>23.437381093450728</v>
      </c>
      <c r="L177" s="76">
        <f t="shared" si="149"/>
        <v>23.114015384082137</v>
      </c>
      <c r="M177" s="76">
        <f t="shared" si="149"/>
        <v>22.740308652601396</v>
      </c>
      <c r="N177" s="76">
        <f t="shared" si="149"/>
        <v>22.342358123208363</v>
      </c>
      <c r="O177" s="76">
        <f t="shared" si="149"/>
        <v>21.858278111180944</v>
      </c>
      <c r="P177" s="76">
        <f t="shared" si="149"/>
        <v>21.414597762912024</v>
      </c>
      <c r="Q177" s="76">
        <f t="shared" si="149"/>
        <v>21.032489335347901</v>
      </c>
      <c r="R177" s="76">
        <f t="shared" si="149"/>
        <v>20.71979845181631</v>
      </c>
      <c r="S177" s="76">
        <f t="shared" si="149"/>
        <v>20.473242043705326</v>
      </c>
      <c r="T177" s="76">
        <f t="shared" si="149"/>
        <v>20.283104601719046</v>
      </c>
      <c r="U177" s="76">
        <f t="shared" si="149"/>
        <v>20.137585389372628</v>
      </c>
      <c r="V177" s="76">
        <f t="shared" si="149"/>
        <v>20.025549482360056</v>
      </c>
      <c r="W177" s="76">
        <f t="shared" si="149"/>
        <v>19.937748478202131</v>
      </c>
      <c r="X177" s="76">
        <f t="shared" si="149"/>
        <v>19.867059124549147</v>
      </c>
      <c r="Y177" s="76">
        <f t="shared" si="149"/>
        <v>19.808249582767335</v>
      </c>
      <c r="Z177" s="76">
        <f t="shared" si="149"/>
        <v>19.757593735895419</v>
      </c>
      <c r="AA177" s="76">
        <f t="shared" si="149"/>
        <v>19.712491033791757</v>
      </c>
      <c r="AB177" s="76">
        <f t="shared" si="149"/>
        <v>19.671150675662577</v>
      </c>
      <c r="AC177" s="76">
        <f t="shared" si="149"/>
        <v>19.632350435926092</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0">A156</f>
        <v>Capex vehicle</v>
      </c>
      <c r="B180" s="65">
        <f>((1+B141)^B148)*B141/(((1+B141)^B148)-1)*(B137)/B153/(B150)</f>
        <v>2.1696909640280381E-3</v>
      </c>
      <c r="C180" s="65">
        <f t="shared" ref="C180:AC180" si="151">((1+C141)^C148)*C141/(((1+C141)^C148)-1)*(C137)/C153/(C150)</f>
        <v>2.1650687990337689E-3</v>
      </c>
      <c r="D180" s="65">
        <f t="shared" si="151"/>
        <v>2.1585059873375245E-3</v>
      </c>
      <c r="E180" s="65">
        <f t="shared" si="151"/>
        <v>2.1492300836508209E-3</v>
      </c>
      <c r="F180" s="65">
        <f t="shared" si="151"/>
        <v>2.1362068822258539E-3</v>
      </c>
      <c r="G180" s="65">
        <f t="shared" si="151"/>
        <v>2.1180999046766392E-3</v>
      </c>
      <c r="H180" s="65">
        <f t="shared" si="151"/>
        <v>2.093275915840043E-3</v>
      </c>
      <c r="I180" s="65">
        <f t="shared" si="151"/>
        <v>2.0599151348747601E-3</v>
      </c>
      <c r="J180" s="65">
        <f t="shared" si="151"/>
        <v>2.0163061493242286E-3</v>
      </c>
      <c r="K180" s="65">
        <f t="shared" si="151"/>
        <v>1.9613880028985821E-3</v>
      </c>
      <c r="L180" s="65">
        <f t="shared" si="151"/>
        <v>1.8954878036134461E-3</v>
      </c>
      <c r="M180" s="65">
        <f t="shared" si="151"/>
        <v>1.8209695944675583E-3</v>
      </c>
      <c r="N180" s="65">
        <f t="shared" si="151"/>
        <v>1.7423010268127629E-3</v>
      </c>
      <c r="O180" s="65">
        <f t="shared" si="151"/>
        <v>1.6651805094239855E-3</v>
      </c>
      <c r="P180" s="65">
        <f t="shared" si="151"/>
        <v>1.5949761150306102E-3</v>
      </c>
      <c r="Q180" s="65">
        <f t="shared" si="151"/>
        <v>1.5353123770942534E-3</v>
      </c>
      <c r="R180" s="65">
        <f t="shared" si="151"/>
        <v>1.4875324081773025E-3</v>
      </c>
      <c r="S180" s="65">
        <f t="shared" si="151"/>
        <v>1.4510741712673173E-3</v>
      </c>
      <c r="T180" s="65">
        <f t="shared" si="151"/>
        <v>1.4242744431836509E-3</v>
      </c>
      <c r="U180" s="65">
        <f t="shared" si="151"/>
        <v>1.4051130253065005E-3</v>
      </c>
      <c r="V180" s="65">
        <f t="shared" si="151"/>
        <v>1.3916837011261137E-3</v>
      </c>
      <c r="W180" s="65">
        <f t="shared" si="151"/>
        <v>1.3824032126866935E-3</v>
      </c>
      <c r="X180" s="65">
        <f t="shared" si="151"/>
        <v>1.3760521119831207E-3</v>
      </c>
      <c r="Y180" s="65">
        <f t="shared" si="151"/>
        <v>1.3717347470193894E-3</v>
      </c>
      <c r="Z180" s="65">
        <f t="shared" si="151"/>
        <v>1.3688132341895007E-3</v>
      </c>
      <c r="AA180" s="65">
        <f t="shared" si="151"/>
        <v>1.3668423785843384E-3</v>
      </c>
      <c r="AB180" s="65">
        <f t="shared" si="151"/>
        <v>1.3655156083813228E-3</v>
      </c>
      <c r="AC180" s="65">
        <f t="shared" si="151"/>
        <v>1.364623687619921E-3</v>
      </c>
    </row>
    <row r="181" spans="1:29" x14ac:dyDescent="0.25">
      <c r="A181" s="30" t="str">
        <f t="shared" si="150"/>
        <v>Residual value (vehicle)</v>
      </c>
      <c r="B181" s="68">
        <f>((1+B141)^B148)*B141/(((1+B141)^B148)-1)*(B138)/B153/(B150)</f>
        <v>-1.1028374067486764E-4</v>
      </c>
      <c r="C181" s="68">
        <f t="shared" ref="C181:AC181" si="152">((1+C141)^C148)*C141/(((1+C141)^C148)-1)*(C138)/C153/(C150)</f>
        <v>-1.1082299325753238E-4</v>
      </c>
      <c r="D181" s="68">
        <f t="shared" si="152"/>
        <v>-1.115886546220943E-4</v>
      </c>
      <c r="E181" s="68">
        <f t="shared" si="152"/>
        <v>-1.1267084338554303E-4</v>
      </c>
      <c r="F181" s="68">
        <f t="shared" si="152"/>
        <v>-1.1419021688512248E-4</v>
      </c>
      <c r="G181" s="68">
        <f t="shared" si="152"/>
        <v>-1.1630269759919755E-4</v>
      </c>
      <c r="H181" s="68">
        <f t="shared" si="152"/>
        <v>-1.1919882963013374E-4</v>
      </c>
      <c r="I181" s="68">
        <f t="shared" si="152"/>
        <v>-1.230909207427501E-4</v>
      </c>
      <c r="J181" s="68">
        <f t="shared" si="152"/>
        <v>-1.2817863572364536E-4</v>
      </c>
      <c r="K181" s="68">
        <f t="shared" si="152"/>
        <v>-1.345857528066375E-4</v>
      </c>
      <c r="L181" s="68">
        <f t="shared" si="152"/>
        <v>-1.4227410938990337E-4</v>
      </c>
      <c r="M181" s="68">
        <f t="shared" si="152"/>
        <v>-1.5096790045692366E-4</v>
      </c>
      <c r="N181" s="68">
        <f t="shared" si="152"/>
        <v>-1.6014590001664974E-4</v>
      </c>
      <c r="O181" s="68">
        <f t="shared" si="152"/>
        <v>-1.6914329371200715E-4</v>
      </c>
      <c r="P181" s="68">
        <f t="shared" si="152"/>
        <v>-1.7733380639123428E-4</v>
      </c>
      <c r="Q181" s="68">
        <f t="shared" si="152"/>
        <v>-1.842945758171425E-4</v>
      </c>
      <c r="R181" s="68">
        <f t="shared" si="152"/>
        <v>-1.8986890552412014E-4</v>
      </c>
      <c r="S181" s="68">
        <f t="shared" si="152"/>
        <v>-1.9412236649695181E-4</v>
      </c>
      <c r="T181" s="68">
        <f t="shared" si="152"/>
        <v>-1.9724900144004614E-4</v>
      </c>
      <c r="U181" s="68">
        <f t="shared" si="152"/>
        <v>-1.9948450019238032E-4</v>
      </c>
      <c r="V181" s="68">
        <f t="shared" si="152"/>
        <v>-2.0105125468009212E-4</v>
      </c>
      <c r="W181" s="68">
        <f t="shared" si="152"/>
        <v>-2.0213397833135783E-4</v>
      </c>
      <c r="X181" s="68">
        <f t="shared" si="152"/>
        <v>-2.0287494008010802E-4</v>
      </c>
      <c r="Y181" s="68">
        <f t="shared" si="152"/>
        <v>-2.0337863265920998E-4</v>
      </c>
      <c r="Z181" s="68">
        <f t="shared" si="152"/>
        <v>-2.0371947582269707E-4</v>
      </c>
      <c r="AA181" s="68">
        <f t="shared" si="152"/>
        <v>-2.0394940897663265E-4</v>
      </c>
      <c r="AB181" s="68">
        <f t="shared" si="152"/>
        <v>-2.0410419883365111E-4</v>
      </c>
      <c r="AC181" s="68">
        <f t="shared" si="152"/>
        <v>-2.0420825625581466E-4</v>
      </c>
    </row>
    <row r="182" spans="1:29" x14ac:dyDescent="0.25">
      <c r="A182" s="30" t="str">
        <f t="shared" si="150"/>
        <v>Capex costumization</v>
      </c>
      <c r="B182" s="66">
        <f>((1+B141)^B149)*B141/(((1+B141)^B149)-1)*(B139)/B153/(B150)</f>
        <v>1.0174917575636864E-3</v>
      </c>
      <c r="C182" s="66">
        <f t="shared" ref="C182:AC182" si="153">((1+C141)^C149)*C141/(((1+C141)^C149)-1)*(C139)/C153/(C150)</f>
        <v>1.0174917575636864E-3</v>
      </c>
      <c r="D182" s="66">
        <f t="shared" si="153"/>
        <v>1.0174917575636864E-3</v>
      </c>
      <c r="E182" s="66">
        <f t="shared" si="153"/>
        <v>1.0174917575636864E-3</v>
      </c>
      <c r="F182" s="66">
        <f t="shared" si="153"/>
        <v>1.0174917575636864E-3</v>
      </c>
      <c r="G182" s="66">
        <f t="shared" si="153"/>
        <v>1.0174917575636864E-3</v>
      </c>
      <c r="H182" s="66">
        <f t="shared" si="153"/>
        <v>1.0174917575636864E-3</v>
      </c>
      <c r="I182" s="66">
        <f t="shared" si="153"/>
        <v>1.0174917575636864E-3</v>
      </c>
      <c r="J182" s="66">
        <f t="shared" si="153"/>
        <v>1.0174917575636864E-3</v>
      </c>
      <c r="K182" s="66">
        <f t="shared" si="153"/>
        <v>1.0174917575636864E-3</v>
      </c>
      <c r="L182" s="66">
        <f t="shared" si="153"/>
        <v>1.0174917575636864E-3</v>
      </c>
      <c r="M182" s="66">
        <f t="shared" si="153"/>
        <v>1.0174917575636864E-3</v>
      </c>
      <c r="N182" s="66">
        <f t="shared" si="153"/>
        <v>1.0174917575636864E-3</v>
      </c>
      <c r="O182" s="66">
        <f t="shared" si="153"/>
        <v>1.0174917575636864E-3</v>
      </c>
      <c r="P182" s="66">
        <f t="shared" si="153"/>
        <v>1.0174917575636864E-3</v>
      </c>
      <c r="Q182" s="66">
        <f t="shared" si="153"/>
        <v>1.0174917575636864E-3</v>
      </c>
      <c r="R182" s="66">
        <f t="shared" si="153"/>
        <v>1.0174917575636864E-3</v>
      </c>
      <c r="S182" s="66">
        <f t="shared" si="153"/>
        <v>1.0174917575636864E-3</v>
      </c>
      <c r="T182" s="66">
        <f t="shared" si="153"/>
        <v>1.0174917575636864E-3</v>
      </c>
      <c r="U182" s="66">
        <f t="shared" si="153"/>
        <v>1.0174917575636864E-3</v>
      </c>
      <c r="V182" s="66">
        <f t="shared" si="153"/>
        <v>1.0174917575636864E-3</v>
      </c>
      <c r="W182" s="66">
        <f t="shared" si="153"/>
        <v>1.0174917575636864E-3</v>
      </c>
      <c r="X182" s="66">
        <f t="shared" si="153"/>
        <v>1.0174917575636864E-3</v>
      </c>
      <c r="Y182" s="66">
        <f t="shared" si="153"/>
        <v>1.0174917575636864E-3</v>
      </c>
      <c r="Z182" s="66">
        <f t="shared" si="153"/>
        <v>1.0174917575636864E-3</v>
      </c>
      <c r="AA182" s="66">
        <f t="shared" si="153"/>
        <v>1.0174917575636864E-3</v>
      </c>
      <c r="AB182" s="66">
        <f t="shared" si="153"/>
        <v>1.0174917575636864E-3</v>
      </c>
      <c r="AC182" s="66">
        <f t="shared" si="153"/>
        <v>1.0174917575636864E-3</v>
      </c>
    </row>
    <row r="183" spans="1:29" x14ac:dyDescent="0.25">
      <c r="A183" s="30" t="str">
        <f t="shared" si="150"/>
        <v>Residual value (costumization)</v>
      </c>
      <c r="B183" s="69">
        <f>((1+B141)^B149)*B141/(((1+B141)^B149)-1)*(B140)/B153/(B150)</f>
        <v>-5.0874587878184312E-5</v>
      </c>
      <c r="C183" s="69">
        <f t="shared" ref="C183:AC183" si="154">((1+C141)^C149)*C141/(((1+C141)^C149)-1)*(C140)/C153/(C150)</f>
        <v>-5.0874587878184312E-5</v>
      </c>
      <c r="D183" s="69">
        <f t="shared" si="154"/>
        <v>-5.0874587878184312E-5</v>
      </c>
      <c r="E183" s="69">
        <f t="shared" si="154"/>
        <v>-5.0874587878184312E-5</v>
      </c>
      <c r="F183" s="69">
        <f t="shared" si="154"/>
        <v>-5.0874587878184312E-5</v>
      </c>
      <c r="G183" s="69">
        <f t="shared" si="154"/>
        <v>-5.0874587878184312E-5</v>
      </c>
      <c r="H183" s="69">
        <f t="shared" si="154"/>
        <v>-5.0874587878184312E-5</v>
      </c>
      <c r="I183" s="69">
        <f t="shared" si="154"/>
        <v>-5.0874587878184312E-5</v>
      </c>
      <c r="J183" s="69">
        <f t="shared" si="154"/>
        <v>-5.0874587878184312E-5</v>
      </c>
      <c r="K183" s="69">
        <f t="shared" si="154"/>
        <v>-5.0874587878184312E-5</v>
      </c>
      <c r="L183" s="69">
        <f t="shared" si="154"/>
        <v>-5.0874587878184312E-5</v>
      </c>
      <c r="M183" s="69">
        <f t="shared" si="154"/>
        <v>-5.0874587878184312E-5</v>
      </c>
      <c r="N183" s="69">
        <f t="shared" si="154"/>
        <v>-5.0874587878184312E-5</v>
      </c>
      <c r="O183" s="69">
        <f t="shared" si="154"/>
        <v>-5.0874587878184312E-5</v>
      </c>
      <c r="P183" s="69">
        <f t="shared" si="154"/>
        <v>-5.0874587878184312E-5</v>
      </c>
      <c r="Q183" s="69">
        <f t="shared" si="154"/>
        <v>-5.0874587878184312E-5</v>
      </c>
      <c r="R183" s="69">
        <f t="shared" si="154"/>
        <v>-5.0874587878184312E-5</v>
      </c>
      <c r="S183" s="69">
        <f t="shared" si="154"/>
        <v>-5.0874587878184312E-5</v>
      </c>
      <c r="T183" s="69">
        <f t="shared" si="154"/>
        <v>-5.0874587878184312E-5</v>
      </c>
      <c r="U183" s="69">
        <f t="shared" si="154"/>
        <v>-5.0874587878184312E-5</v>
      </c>
      <c r="V183" s="69">
        <f t="shared" si="154"/>
        <v>-5.0874587878184312E-5</v>
      </c>
      <c r="W183" s="69">
        <f t="shared" si="154"/>
        <v>-5.0874587878184312E-5</v>
      </c>
      <c r="X183" s="69">
        <f t="shared" si="154"/>
        <v>-5.0874587878184312E-5</v>
      </c>
      <c r="Y183" s="69">
        <f t="shared" si="154"/>
        <v>-5.0874587878184312E-5</v>
      </c>
      <c r="Z183" s="69">
        <f t="shared" si="154"/>
        <v>-5.0874587878184312E-5</v>
      </c>
      <c r="AA183" s="69">
        <f t="shared" si="154"/>
        <v>-5.0874587878184312E-5</v>
      </c>
      <c r="AB183" s="69">
        <f t="shared" si="154"/>
        <v>-5.0874587878184312E-5</v>
      </c>
      <c r="AC183" s="69">
        <f t="shared" si="154"/>
        <v>-5.0874587878184312E-5</v>
      </c>
    </row>
    <row r="184" spans="1:29" x14ac:dyDescent="0.25">
      <c r="A184" s="30" t="str">
        <f t="shared" si="150"/>
        <v>Opex fix (admin, crew, insurance)</v>
      </c>
      <c r="B184" s="66">
        <f>B142/B153/(B150)</f>
        <v>1.5506202480992397E-3</v>
      </c>
      <c r="C184" s="66">
        <f t="shared" ref="C184:AC184" si="155">C142/C153/(C150)</f>
        <v>1.5506202480992397E-3</v>
      </c>
      <c r="D184" s="66">
        <f t="shared" si="155"/>
        <v>1.5506202480992397E-3</v>
      </c>
      <c r="E184" s="66">
        <f t="shared" si="155"/>
        <v>1.5506202480992397E-3</v>
      </c>
      <c r="F184" s="66">
        <f t="shared" si="155"/>
        <v>1.5506202480992397E-3</v>
      </c>
      <c r="G184" s="66">
        <f t="shared" si="155"/>
        <v>1.5506202480992397E-3</v>
      </c>
      <c r="H184" s="66">
        <f t="shared" si="155"/>
        <v>1.5506202480992397E-3</v>
      </c>
      <c r="I184" s="66">
        <f t="shared" si="155"/>
        <v>1.5506202480992397E-3</v>
      </c>
      <c r="J184" s="66">
        <f t="shared" si="155"/>
        <v>1.5506202480992397E-3</v>
      </c>
      <c r="K184" s="66">
        <f t="shared" si="155"/>
        <v>1.5506202480992397E-3</v>
      </c>
      <c r="L184" s="66">
        <f t="shared" si="155"/>
        <v>1.5506202480992397E-3</v>
      </c>
      <c r="M184" s="66">
        <f t="shared" si="155"/>
        <v>1.5506202480992397E-3</v>
      </c>
      <c r="N184" s="66">
        <f t="shared" si="155"/>
        <v>1.5506202480992397E-3</v>
      </c>
      <c r="O184" s="66">
        <f t="shared" si="155"/>
        <v>1.5506202480992397E-3</v>
      </c>
      <c r="P184" s="66">
        <f t="shared" si="155"/>
        <v>1.5506202480992397E-3</v>
      </c>
      <c r="Q184" s="66">
        <f t="shared" si="155"/>
        <v>1.5506202480992397E-3</v>
      </c>
      <c r="R184" s="66">
        <f t="shared" si="155"/>
        <v>1.5506202480992397E-3</v>
      </c>
      <c r="S184" s="66">
        <f t="shared" si="155"/>
        <v>1.5506202480992397E-3</v>
      </c>
      <c r="T184" s="66">
        <f t="shared" si="155"/>
        <v>1.5506202480992397E-3</v>
      </c>
      <c r="U184" s="66">
        <f t="shared" si="155"/>
        <v>1.5506202480992397E-3</v>
      </c>
      <c r="V184" s="66">
        <f t="shared" si="155"/>
        <v>1.5506202480992397E-3</v>
      </c>
      <c r="W184" s="66">
        <f t="shared" si="155"/>
        <v>1.5506202480992397E-3</v>
      </c>
      <c r="X184" s="66">
        <f t="shared" si="155"/>
        <v>1.5506202480992397E-3</v>
      </c>
      <c r="Y184" s="66">
        <f t="shared" si="155"/>
        <v>1.5506202480992397E-3</v>
      </c>
      <c r="Z184" s="66">
        <f t="shared" si="155"/>
        <v>1.5506202480992397E-3</v>
      </c>
      <c r="AA184" s="66">
        <f t="shared" si="155"/>
        <v>1.5506202480992397E-3</v>
      </c>
      <c r="AB184" s="66">
        <f t="shared" si="155"/>
        <v>1.5506202480992397E-3</v>
      </c>
      <c r="AC184" s="66">
        <f t="shared" si="155"/>
        <v>1.5506202480992397E-3</v>
      </c>
    </row>
    <row r="185" spans="1:29" x14ac:dyDescent="0.25">
      <c r="A185" s="30" t="str">
        <f t="shared" si="150"/>
        <v>Opex maintenance &amp; repair</v>
      </c>
      <c r="B185" s="66">
        <f>B143/B153/(B150)</f>
        <v>3.235203975384487E-3</v>
      </c>
      <c r="C185" s="66">
        <f t="shared" ref="C185:AC185" si="156">C143/C153/(C150)</f>
        <v>3.228311912499835E-3</v>
      </c>
      <c r="D185" s="66">
        <f t="shared" si="156"/>
        <v>3.2185261711931679E-3</v>
      </c>
      <c r="E185" s="66">
        <f t="shared" si="156"/>
        <v>3.2046949662058941E-3</v>
      </c>
      <c r="F185" s="66">
        <f t="shared" si="156"/>
        <v>3.1852762039393709E-3</v>
      </c>
      <c r="G185" s="66">
        <f t="shared" si="156"/>
        <v>3.1582770751599136E-3</v>
      </c>
      <c r="H185" s="66">
        <f t="shared" si="156"/>
        <v>3.1212622796426945E-3</v>
      </c>
      <c r="I185" s="66">
        <f t="shared" si="156"/>
        <v>3.0715183608126854E-3</v>
      </c>
      <c r="J185" s="66">
        <f t="shared" si="156"/>
        <v>3.0064934490834873E-3</v>
      </c>
      <c r="K185" s="66">
        <f t="shared" si="156"/>
        <v>2.9246055633971525E-3</v>
      </c>
      <c r="L185" s="66">
        <f t="shared" si="156"/>
        <v>2.826342451165679E-3</v>
      </c>
      <c r="M185" s="66">
        <f t="shared" si="156"/>
        <v>2.7152291126929309E-3</v>
      </c>
      <c r="N185" s="66">
        <f t="shared" si="156"/>
        <v>2.5979272171538078E-3</v>
      </c>
      <c r="O185" s="66">
        <f t="shared" si="156"/>
        <v>2.4829336035118526E-3</v>
      </c>
      <c r="P185" s="66">
        <f t="shared" si="156"/>
        <v>2.37825255003627E-3</v>
      </c>
      <c r="Q185" s="66">
        <f t="shared" si="156"/>
        <v>2.2892885614507032E-3</v>
      </c>
      <c r="R185" s="66">
        <f t="shared" si="156"/>
        <v>2.218044339141322E-3</v>
      </c>
      <c r="S185" s="66">
        <f t="shared" si="156"/>
        <v>2.1636818354750301E-3</v>
      </c>
      <c r="T185" s="66">
        <f t="shared" si="156"/>
        <v>2.12372103540121E-3</v>
      </c>
      <c r="U185" s="66">
        <f t="shared" si="156"/>
        <v>2.0951496414479101E-3</v>
      </c>
      <c r="V185" s="66">
        <f t="shared" si="156"/>
        <v>2.0751253137001203E-3</v>
      </c>
      <c r="W185" s="66">
        <f t="shared" si="156"/>
        <v>2.0612872724350261E-3</v>
      </c>
      <c r="X185" s="66">
        <f t="shared" si="156"/>
        <v>2.0518172112212762E-3</v>
      </c>
      <c r="Y185" s="66">
        <f t="shared" si="156"/>
        <v>2.0453796325405234E-3</v>
      </c>
      <c r="Z185" s="66">
        <f t="shared" si="156"/>
        <v>2.0410233946808022E-3</v>
      </c>
      <c r="AA185" s="66">
        <f t="shared" si="156"/>
        <v>2.0380846720726327E-3</v>
      </c>
      <c r="AB185" s="66">
        <f t="shared" si="156"/>
        <v>2.0361063386111484E-3</v>
      </c>
      <c r="AC185" s="66">
        <f t="shared" si="156"/>
        <v>2.0347764046985059E-3</v>
      </c>
    </row>
    <row r="186" spans="1:29" x14ac:dyDescent="0.25">
      <c r="A186" s="30" t="str">
        <f t="shared" si="150"/>
        <v>Opex var (mode-fees, shunting)</v>
      </c>
      <c r="B186" s="66">
        <f>B144*B153/B153/(B150)</f>
        <v>1.6256502601040416E-3</v>
      </c>
      <c r="C186" s="66">
        <f t="shared" ref="C186:AC186" si="157">C144*C153/C153/(C150)</f>
        <v>1.6256502601040416E-3</v>
      </c>
      <c r="D186" s="66">
        <f t="shared" si="157"/>
        <v>1.6256502601040416E-3</v>
      </c>
      <c r="E186" s="66">
        <f t="shared" si="157"/>
        <v>1.6256502601040416E-3</v>
      </c>
      <c r="F186" s="66">
        <f t="shared" si="157"/>
        <v>1.6256502601040416E-3</v>
      </c>
      <c r="G186" s="66">
        <f t="shared" si="157"/>
        <v>1.6256502601040416E-3</v>
      </c>
      <c r="H186" s="66">
        <f t="shared" si="157"/>
        <v>1.6256502601040416E-3</v>
      </c>
      <c r="I186" s="66">
        <f t="shared" si="157"/>
        <v>1.6256502601040416E-3</v>
      </c>
      <c r="J186" s="66">
        <f t="shared" si="157"/>
        <v>1.6256502601040416E-3</v>
      </c>
      <c r="K186" s="66">
        <f t="shared" si="157"/>
        <v>1.6256502601040416E-3</v>
      </c>
      <c r="L186" s="66">
        <f t="shared" si="157"/>
        <v>1.6256502601040416E-3</v>
      </c>
      <c r="M186" s="66">
        <f t="shared" si="157"/>
        <v>1.6256502601040416E-3</v>
      </c>
      <c r="N186" s="66">
        <f t="shared" si="157"/>
        <v>1.6256502601040416E-3</v>
      </c>
      <c r="O186" s="66">
        <f t="shared" si="157"/>
        <v>1.6256502601040416E-3</v>
      </c>
      <c r="P186" s="66">
        <f t="shared" si="157"/>
        <v>1.6256502601040416E-3</v>
      </c>
      <c r="Q186" s="66">
        <f t="shared" si="157"/>
        <v>1.6256502601040416E-3</v>
      </c>
      <c r="R186" s="66">
        <f t="shared" si="157"/>
        <v>1.6256502601040416E-3</v>
      </c>
      <c r="S186" s="66">
        <f t="shared" si="157"/>
        <v>1.6256502601040416E-3</v>
      </c>
      <c r="T186" s="66">
        <f t="shared" si="157"/>
        <v>1.6256502601040416E-3</v>
      </c>
      <c r="U186" s="66">
        <f t="shared" si="157"/>
        <v>1.6256502601040416E-3</v>
      </c>
      <c r="V186" s="66">
        <f t="shared" si="157"/>
        <v>1.6256502601040416E-3</v>
      </c>
      <c r="W186" s="66">
        <f t="shared" si="157"/>
        <v>1.6256502601040416E-3</v>
      </c>
      <c r="X186" s="66">
        <f t="shared" si="157"/>
        <v>1.6256502601040416E-3</v>
      </c>
      <c r="Y186" s="66">
        <f t="shared" si="157"/>
        <v>1.6256502601040416E-3</v>
      </c>
      <c r="Z186" s="66">
        <f t="shared" si="157"/>
        <v>1.6256502601040416E-3</v>
      </c>
      <c r="AA186" s="66">
        <f t="shared" si="157"/>
        <v>1.6256502601040416E-3</v>
      </c>
      <c r="AB186" s="66">
        <f t="shared" si="157"/>
        <v>1.6256502601040416E-3</v>
      </c>
      <c r="AC186" s="66">
        <f t="shared" si="157"/>
        <v>1.6256502601040416E-3</v>
      </c>
    </row>
    <row r="187" spans="1:29" x14ac:dyDescent="0.25">
      <c r="A187" s="30" t="str">
        <f t="shared" si="150"/>
        <v>Fuel Cost</v>
      </c>
      <c r="B187" s="66">
        <f>B145*B146*B153/B153/(B150)</f>
        <v>1.4120879396070311E-3</v>
      </c>
      <c r="C187" s="66">
        <f t="shared" ref="C187:AC187" si="158">C145*C146*C153/C153/(C150)</f>
        <v>1.4120879396070311E-3</v>
      </c>
      <c r="D187" s="66">
        <f t="shared" si="158"/>
        <v>1.4120879396070311E-3</v>
      </c>
      <c r="E187" s="66">
        <f t="shared" si="158"/>
        <v>1.4120879396070311E-3</v>
      </c>
      <c r="F187" s="66">
        <f t="shared" si="158"/>
        <v>1.4120879396070311E-3</v>
      </c>
      <c r="G187" s="66">
        <f t="shared" si="158"/>
        <v>1.4120879396070311E-3</v>
      </c>
      <c r="H187" s="66">
        <f t="shared" si="158"/>
        <v>1.4120879396070311E-3</v>
      </c>
      <c r="I187" s="66">
        <f t="shared" si="158"/>
        <v>1.4120879396070311E-3</v>
      </c>
      <c r="J187" s="66">
        <f t="shared" si="158"/>
        <v>1.4395799160244996E-3</v>
      </c>
      <c r="K187" s="66">
        <f t="shared" si="158"/>
        <v>1.4670718924419688E-3</v>
      </c>
      <c r="L187" s="66">
        <f t="shared" si="158"/>
        <v>1.4945638688594373E-3</v>
      </c>
      <c r="M187" s="66">
        <f t="shared" si="158"/>
        <v>1.522055845276906E-3</v>
      </c>
      <c r="N187" s="66">
        <f t="shared" si="158"/>
        <v>1.5495478216943747E-3</v>
      </c>
      <c r="O187" s="66">
        <f t="shared" si="158"/>
        <v>1.5345521981939372E-3</v>
      </c>
      <c r="P187" s="66">
        <f t="shared" si="158"/>
        <v>1.5195565746934996E-3</v>
      </c>
      <c r="Q187" s="66">
        <f t="shared" si="158"/>
        <v>1.5045609511930621E-3</v>
      </c>
      <c r="R187" s="66">
        <f t="shared" si="158"/>
        <v>1.4895653276926248E-3</v>
      </c>
      <c r="S187" s="66">
        <f t="shared" si="158"/>
        <v>1.4745697041921872E-3</v>
      </c>
      <c r="T187" s="66">
        <f t="shared" si="158"/>
        <v>1.4595740806917497E-3</v>
      </c>
      <c r="U187" s="66">
        <f t="shared" si="158"/>
        <v>1.4445784571913123E-3</v>
      </c>
      <c r="V187" s="66">
        <f t="shared" si="158"/>
        <v>1.4295828336908744E-3</v>
      </c>
      <c r="W187" s="66">
        <f t="shared" si="158"/>
        <v>1.4145872101904372E-3</v>
      </c>
      <c r="X187" s="66">
        <f t="shared" si="158"/>
        <v>1.3995915866899999E-3</v>
      </c>
      <c r="Y187" s="66">
        <f t="shared" si="158"/>
        <v>1.3845959631895624E-3</v>
      </c>
      <c r="Z187" s="66">
        <f t="shared" si="158"/>
        <v>1.3696003396891248E-3</v>
      </c>
      <c r="AA187" s="66">
        <f t="shared" si="158"/>
        <v>1.3546047161886871E-3</v>
      </c>
      <c r="AB187" s="66">
        <f t="shared" si="158"/>
        <v>1.3396090926882495E-3</v>
      </c>
      <c r="AC187" s="66">
        <f t="shared" si="158"/>
        <v>1.3246134691878124E-3</v>
      </c>
    </row>
    <row r="188" spans="1:29" x14ac:dyDescent="0.25">
      <c r="A188" s="59" t="str">
        <f>A151</f>
        <v>Market failure (av. utilization)</v>
      </c>
      <c r="B188" s="66">
        <f t="shared" ref="B188:AC188" si="159">B177/B151-B177/B150</f>
        <v>1.4715857739236346E-2</v>
      </c>
      <c r="C188" s="66">
        <f t="shared" si="159"/>
        <v>1.4699660874866091E-2</v>
      </c>
      <c r="D188" s="66">
        <f t="shared" si="159"/>
        <v>1.46766636493098E-2</v>
      </c>
      <c r="E188" s="66">
        <f t="shared" si="159"/>
        <v>1.464415928087826E-2</v>
      </c>
      <c r="F188" s="66">
        <f t="shared" si="159"/>
        <v>1.4598523734027759E-2</v>
      </c>
      <c r="G188" s="66">
        <f t="shared" si="159"/>
        <v>1.4535073757689069E-2</v>
      </c>
      <c r="H188" s="66">
        <f t="shared" si="159"/>
        <v>1.4448086213797059E-2</v>
      </c>
      <c r="I188" s="66">
        <f t="shared" si="159"/>
        <v>1.4331184276014555E-2</v>
      </c>
      <c r="J188" s="66">
        <f t="shared" si="159"/>
        <v>1.4215313202850315E-2</v>
      </c>
      <c r="K188" s="66">
        <f t="shared" si="159"/>
        <v>1.4059812876930542E-2</v>
      </c>
      <c r="L188" s="66">
        <f t="shared" si="159"/>
        <v>1.3865829541232309E-2</v>
      </c>
      <c r="M188" s="66">
        <f t="shared" si="159"/>
        <v>1.364164721068443E-2</v>
      </c>
      <c r="N188" s="66">
        <f t="shared" si="159"/>
        <v>1.3402921307170195E-2</v>
      </c>
      <c r="O188" s="66">
        <f t="shared" si="159"/>
        <v>1.31125273267408E-2</v>
      </c>
      <c r="P188" s="66">
        <f t="shared" si="159"/>
        <v>1.2846368635675461E-2</v>
      </c>
      <c r="Q188" s="66">
        <f t="shared" si="159"/>
        <v>1.261714622516685E-2</v>
      </c>
      <c r="R188" s="66">
        <f t="shared" si="159"/>
        <v>1.2429566593584001E-2</v>
      </c>
      <c r="S188" s="66">
        <f t="shared" si="159"/>
        <v>1.2281660266173675E-2</v>
      </c>
      <c r="T188" s="66">
        <f t="shared" si="159"/>
        <v>1.2167599021678558E-2</v>
      </c>
      <c r="U188" s="66">
        <f t="shared" si="159"/>
        <v>1.2080303735254226E-2</v>
      </c>
      <c r="V188" s="66">
        <f t="shared" si="159"/>
        <v>1.2013094695054162E-2</v>
      </c>
      <c r="W188" s="66">
        <f t="shared" si="159"/>
        <v>1.1960423891778623E-2</v>
      </c>
      <c r="X188" s="66">
        <f t="shared" si="159"/>
        <v>1.1918018169023622E-2</v>
      </c>
      <c r="Y188" s="66">
        <f t="shared" si="159"/>
        <v>1.1882739007519466E-2</v>
      </c>
      <c r="Z188" s="66">
        <f t="shared" si="159"/>
        <v>1.1852351152950656E-2</v>
      </c>
      <c r="AA188" s="66">
        <f t="shared" si="159"/>
        <v>1.1825294565472174E-2</v>
      </c>
      <c r="AB188" s="66">
        <f t="shared" si="159"/>
        <v>1.1800494964473923E-2</v>
      </c>
      <c r="AC188" s="66">
        <f t="shared" si="159"/>
        <v>1.1777219151015933E-2</v>
      </c>
    </row>
    <row r="189" spans="1:29" x14ac:dyDescent="0.25">
      <c r="A189" s="59" t="str">
        <f>A152</f>
        <v>Payload loss (fuel)</v>
      </c>
      <c r="B189" s="66">
        <f>B177/(B150-B152)-B177/B150</f>
        <v>4.0282912452609815E-4</v>
      </c>
      <c r="C189" s="66">
        <f t="shared" ref="C189:AC189" si="160">C177/(C150-C152)-C177/C150</f>
        <v>4.011989139432303E-4</v>
      </c>
      <c r="D189" s="66">
        <f t="shared" si="160"/>
        <v>3.988891677397504E-4</v>
      </c>
      <c r="E189" s="66">
        <f t="shared" si="160"/>
        <v>3.956344044137982E-4</v>
      </c>
      <c r="F189" s="66">
        <f t="shared" si="160"/>
        <v>3.9108421486184521E-4</v>
      </c>
      <c r="G189" s="66">
        <f t="shared" si="160"/>
        <v>3.8479549680873158E-4</v>
      </c>
      <c r="H189" s="66">
        <f t="shared" si="160"/>
        <v>3.7624508225497788E-4</v>
      </c>
      <c r="I189" s="66">
        <f t="shared" si="160"/>
        <v>3.6488366936050787E-4</v>
      </c>
      <c r="J189" s="66">
        <f t="shared" si="160"/>
        <v>3.5116800876476388E-4</v>
      </c>
      <c r="K189" s="66">
        <f t="shared" si="160"/>
        <v>3.3394736894491912E-4</v>
      </c>
      <c r="L189" s="66">
        <f t="shared" si="160"/>
        <v>3.1354974649148125E-4</v>
      </c>
      <c r="M189" s="66">
        <f t="shared" si="160"/>
        <v>2.9096929243943234E-4</v>
      </c>
      <c r="N189" s="66">
        <f t="shared" si="160"/>
        <v>2.6777701004067865E-4</v>
      </c>
      <c r="O189" s="66">
        <f t="shared" si="160"/>
        <v>2.4467602430906787E-4</v>
      </c>
      <c r="P189" s="66">
        <f t="shared" si="160"/>
        <v>2.2433221123158154E-4</v>
      </c>
      <c r="Q189" s="66">
        <f t="shared" si="160"/>
        <v>2.0753119253218329E-4</v>
      </c>
      <c r="R189" s="66">
        <f t="shared" si="160"/>
        <v>1.9437333143690338E-4</v>
      </c>
      <c r="S189" s="66">
        <f t="shared" si="160"/>
        <v>1.8448033086712438E-4</v>
      </c>
      <c r="T189" s="66">
        <f t="shared" si="160"/>
        <v>1.7725462219309734E-4</v>
      </c>
      <c r="U189" s="66">
        <f t="shared" si="160"/>
        <v>1.720739059829831E-4</v>
      </c>
      <c r="V189" s="66">
        <f t="shared" si="160"/>
        <v>1.6839414108918774E-4</v>
      </c>
      <c r="W189" s="66">
        <f t="shared" si="160"/>
        <v>1.6578365557534322E-4</v>
      </c>
      <c r="X189" s="66">
        <f t="shared" si="160"/>
        <v>1.639196363216449E-4</v>
      </c>
      <c r="Y189" s="66">
        <f t="shared" si="160"/>
        <v>1.6256962214928825E-4</v>
      </c>
      <c r="Z189" s="66">
        <f t="shared" si="160"/>
        <v>1.6157027993215708E-4</v>
      </c>
      <c r="AA189" s="66">
        <f t="shared" si="160"/>
        <v>1.6080869024119419E-4</v>
      </c>
      <c r="AB189" s="66">
        <f t="shared" si="160"/>
        <v>1.602076199000782E-4</v>
      </c>
      <c r="AC189" s="66">
        <f t="shared" si="160"/>
        <v>1.5971461973468201E-4</v>
      </c>
    </row>
    <row r="190" spans="1:29" ht="15.75" thickBot="1" x14ac:dyDescent="0.3">
      <c r="A190" s="59" t="str">
        <f>A127</f>
        <v>Emission Cost</v>
      </c>
      <c r="B190" s="68">
        <f>B147*B153/B153/(B150)</f>
        <v>0</v>
      </c>
      <c r="C190" s="68">
        <f t="shared" ref="C190:AC190" si="161">C147*C153/C153/(C150)</f>
        <v>0</v>
      </c>
      <c r="D190" s="68">
        <f t="shared" si="161"/>
        <v>0</v>
      </c>
      <c r="E190" s="68">
        <f t="shared" si="161"/>
        <v>0</v>
      </c>
      <c r="F190" s="68">
        <f t="shared" si="161"/>
        <v>0</v>
      </c>
      <c r="G190" s="68">
        <f t="shared" si="161"/>
        <v>0</v>
      </c>
      <c r="H190" s="68">
        <f t="shared" si="161"/>
        <v>0</v>
      </c>
      <c r="I190" s="68">
        <f t="shared" si="161"/>
        <v>0</v>
      </c>
      <c r="J190" s="68">
        <f t="shared" si="161"/>
        <v>0</v>
      </c>
      <c r="K190" s="68">
        <f t="shared" si="161"/>
        <v>0</v>
      </c>
      <c r="L190" s="68">
        <f t="shared" si="161"/>
        <v>0</v>
      </c>
      <c r="M190" s="68">
        <f t="shared" si="161"/>
        <v>0</v>
      </c>
      <c r="N190" s="68">
        <f t="shared" si="161"/>
        <v>0</v>
      </c>
      <c r="O190" s="68">
        <f t="shared" si="161"/>
        <v>0</v>
      </c>
      <c r="P190" s="68">
        <f t="shared" si="161"/>
        <v>0</v>
      </c>
      <c r="Q190" s="68">
        <f t="shared" si="161"/>
        <v>0</v>
      </c>
      <c r="R190" s="68">
        <f t="shared" si="161"/>
        <v>0</v>
      </c>
      <c r="S190" s="68">
        <f t="shared" si="161"/>
        <v>0</v>
      </c>
      <c r="T190" s="68">
        <f t="shared" si="161"/>
        <v>0</v>
      </c>
      <c r="U190" s="68">
        <f t="shared" si="161"/>
        <v>0</v>
      </c>
      <c r="V190" s="68">
        <f t="shared" si="161"/>
        <v>0</v>
      </c>
      <c r="W190" s="68">
        <f t="shared" si="161"/>
        <v>0</v>
      </c>
      <c r="X190" s="68">
        <f t="shared" si="161"/>
        <v>0</v>
      </c>
      <c r="Y190" s="68">
        <f t="shared" si="161"/>
        <v>0</v>
      </c>
      <c r="Z190" s="68">
        <f t="shared" si="161"/>
        <v>0</v>
      </c>
      <c r="AA190" s="68">
        <f t="shared" si="161"/>
        <v>0</v>
      </c>
      <c r="AB190" s="68">
        <f t="shared" si="161"/>
        <v>0</v>
      </c>
      <c r="AC190" s="68">
        <f t="shared" si="161"/>
        <v>0</v>
      </c>
    </row>
    <row r="191" spans="1:29" ht="15.75" thickBot="1" x14ac:dyDescent="0.3">
      <c r="A191" s="31" t="s">
        <v>210</v>
      </c>
      <c r="B191" s="67">
        <f>B180+B181+B182+B183+B184+B185+B186+B187+B188+B189+B190</f>
        <v>2.5968273679995914E-2</v>
      </c>
      <c r="C191" s="67">
        <f t="shared" ref="C191:AC191" si="162">C180+C181+C182+C183+C184+C185+C186+C187+C188+C189+C190</f>
        <v>2.593839312458121E-2</v>
      </c>
      <c r="D191" s="67">
        <f t="shared" si="162"/>
        <v>2.5895971938453964E-2</v>
      </c>
      <c r="E191" s="67">
        <f t="shared" si="162"/>
        <v>2.5836023509259044E-2</v>
      </c>
      <c r="F191" s="67">
        <f t="shared" si="162"/>
        <v>2.5751876435665517E-2</v>
      </c>
      <c r="G191" s="67">
        <f t="shared" si="162"/>
        <v>2.5634919154230967E-2</v>
      </c>
      <c r="H191" s="67">
        <f t="shared" si="162"/>
        <v>2.5474646279400454E-2</v>
      </c>
      <c r="I191" s="67">
        <f t="shared" si="162"/>
        <v>2.5259386137815573E-2</v>
      </c>
      <c r="J191" s="67">
        <f t="shared" si="162"/>
        <v>2.5043569768212433E-2</v>
      </c>
      <c r="K191" s="67">
        <f t="shared" si="162"/>
        <v>2.4755127629695312E-2</v>
      </c>
      <c r="L191" s="67">
        <f t="shared" si="162"/>
        <v>2.4396386979861233E-2</v>
      </c>
      <c r="M191" s="67">
        <f t="shared" si="162"/>
        <v>2.3982790832993116E-2</v>
      </c>
      <c r="N191" s="67">
        <f t="shared" si="162"/>
        <v>2.3543216160743952E-2</v>
      </c>
      <c r="O191" s="67">
        <f t="shared" si="162"/>
        <v>2.301361404635642E-2</v>
      </c>
      <c r="P191" s="67">
        <f t="shared" si="162"/>
        <v>2.2529039958164972E-2</v>
      </c>
      <c r="Q191" s="67">
        <f t="shared" si="162"/>
        <v>2.2112432409508692E-2</v>
      </c>
      <c r="R191" s="67">
        <f t="shared" si="162"/>
        <v>2.1772100772396816E-2</v>
      </c>
      <c r="S191" s="67">
        <f t="shared" si="162"/>
        <v>2.1504231619367167E-2</v>
      </c>
      <c r="T191" s="67">
        <f t="shared" si="162"/>
        <v>2.1298061879597003E-2</v>
      </c>
      <c r="U191" s="67">
        <f t="shared" si="162"/>
        <v>2.1140621942879335E-2</v>
      </c>
      <c r="V191" s="67">
        <f t="shared" si="162"/>
        <v>2.1019717107869148E-2</v>
      </c>
      <c r="W191" s="67">
        <f t="shared" si="162"/>
        <v>2.0925238942223551E-2</v>
      </c>
      <c r="X191" s="67">
        <f t="shared" si="162"/>
        <v>2.084941145304834E-2</v>
      </c>
      <c r="Y191" s="67">
        <f t="shared" si="162"/>
        <v>2.0786528017647802E-2</v>
      </c>
      <c r="Z191" s="67">
        <f t="shared" si="162"/>
        <v>2.0732526603508328E-2</v>
      </c>
      <c r="AA191" s="67">
        <f t="shared" si="162"/>
        <v>2.0684573291471178E-2</v>
      </c>
      <c r="AB191" s="67">
        <f t="shared" si="162"/>
        <v>2.0640717103109853E-2</v>
      </c>
      <c r="AC191" s="67">
        <f t="shared" si="162"/>
        <v>2.0599626753889825E-2</v>
      </c>
    </row>
    <row r="193" spans="2:2" x14ac:dyDescent="0.25">
      <c r="B193" s="40"/>
    </row>
    <row r="215" spans="1:44" s="3" customFormat="1" ht="21" x14ac:dyDescent="0.35">
      <c r="A215" s="2" t="str">
        <f>'Parameter Input'!A170</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Input'!$L$171</f>
        <v>10000000</v>
      </c>
      <c r="C225" s="42">
        <f>'Parameter Input'!$M$171</f>
        <v>6250000</v>
      </c>
      <c r="D225" s="1" t="s">
        <v>15</v>
      </c>
      <c r="L225" s="51">
        <f>'Parameter Input'!$O$171</f>
        <v>12</v>
      </c>
      <c r="M225" s="52">
        <v>0</v>
      </c>
      <c r="N225" s="52">
        <v>1</v>
      </c>
      <c r="O225" s="52">
        <f>'Parameter Input'!$P$171</f>
        <v>0.9</v>
      </c>
      <c r="P225" s="53">
        <f>'Parameter Input'!$Q$171</f>
        <v>0.4</v>
      </c>
      <c r="Q225" s="4">
        <f t="shared" ref="Q225:AR234" si="163">$N225+($M225-$N225)*((1/(1+EXP(-$P225*(Q$9-$L225)))^$O225))</f>
        <v>0.9867978615748374</v>
      </c>
      <c r="R225" s="4">
        <f t="shared" si="163"/>
        <v>0.98114509762858249</v>
      </c>
      <c r="S225" s="4">
        <f t="shared" si="163"/>
        <v>0.97311898315872036</v>
      </c>
      <c r="T225" s="4">
        <f t="shared" si="163"/>
        <v>0.96177484161592774</v>
      </c>
      <c r="U225" s="4">
        <f t="shared" si="163"/>
        <v>0.94584787155511363</v>
      </c>
      <c r="V225" s="4">
        <f t="shared" si="163"/>
        <v>0.92370360150141495</v>
      </c>
      <c r="W225" s="4">
        <f t="shared" si="163"/>
        <v>0.89334463567658451</v>
      </c>
      <c r="X225" s="4">
        <f t="shared" si="163"/>
        <v>0.85254543874327005</v>
      </c>
      <c r="Y225" s="4">
        <f t="shared" si="163"/>
        <v>0.79921300652623883</v>
      </c>
      <c r="Z225" s="4">
        <f t="shared" si="163"/>
        <v>0.73204982249993378</v>
      </c>
      <c r="AA225" s="4">
        <f t="shared" si="163"/>
        <v>0.65145592958786691</v>
      </c>
      <c r="AB225" s="4">
        <f t="shared" si="163"/>
        <v>0.56032247880849573</v>
      </c>
      <c r="AC225" s="4">
        <f t="shared" si="163"/>
        <v>0.46411326873185343</v>
      </c>
      <c r="AD225" s="4">
        <f t="shared" si="163"/>
        <v>0.36979727595523937</v>
      </c>
      <c r="AE225" s="4">
        <f t="shared" si="163"/>
        <v>0.28393948637231203</v>
      </c>
      <c r="AF225" s="4">
        <f t="shared" si="163"/>
        <v>0.21097259161117732</v>
      </c>
      <c r="AG225" s="4">
        <f t="shared" si="163"/>
        <v>0.15253917653798199</v>
      </c>
      <c r="AH225" s="4">
        <f t="shared" si="163"/>
        <v>0.10795188737709993</v>
      </c>
      <c r="AI225" s="4">
        <f t="shared" si="163"/>
        <v>7.5176653938091809E-2</v>
      </c>
      <c r="AJ225" s="4">
        <f t="shared" si="163"/>
        <v>5.1742836177502194E-2</v>
      </c>
      <c r="AK225" s="4">
        <f t="shared" si="163"/>
        <v>3.5319190625345942E-2</v>
      </c>
      <c r="AL225" s="4">
        <f t="shared" si="163"/>
        <v>2.3969442072658165E-2</v>
      </c>
      <c r="AM225" s="4">
        <f t="shared" si="163"/>
        <v>1.6202243558389728E-2</v>
      </c>
      <c r="AN225" s="4">
        <f t="shared" si="163"/>
        <v>1.0922240564108399E-2</v>
      </c>
      <c r="AO225" s="4">
        <f t="shared" si="163"/>
        <v>7.3493212906090566E-3</v>
      </c>
      <c r="AP225" s="4">
        <f t="shared" si="163"/>
        <v>4.9390262185057265E-3</v>
      </c>
      <c r="AQ225" s="4">
        <f t="shared" si="163"/>
        <v>3.3164275492956197E-3</v>
      </c>
      <c r="AR225" s="4">
        <f t="shared" si="163"/>
        <v>2.2256362146679809E-3</v>
      </c>
    </row>
    <row r="226" spans="1:44" x14ac:dyDescent="0.25">
      <c r="A226" s="24" t="s">
        <v>28</v>
      </c>
      <c r="B226" s="60">
        <f>'Parameter Input'!$L$172</f>
        <v>-500000</v>
      </c>
      <c r="C226" s="61">
        <f>'Parameter Input'!$M$172</f>
        <v>-937500</v>
      </c>
      <c r="D226" s="1" t="s">
        <v>15</v>
      </c>
      <c r="L226" s="54">
        <f>'Parameter Input'!$O$172</f>
        <v>12</v>
      </c>
      <c r="M226" s="37">
        <v>0</v>
      </c>
      <c r="N226" s="37">
        <v>1</v>
      </c>
      <c r="O226" s="37">
        <f>'Parameter Input'!$P$172</f>
        <v>0.9</v>
      </c>
      <c r="P226" s="55">
        <f>'Parameter Input'!$Q$172</f>
        <v>0.4</v>
      </c>
      <c r="Q226" s="4">
        <f t="shared" si="163"/>
        <v>0.9867978615748374</v>
      </c>
      <c r="R226" s="4">
        <f t="shared" si="163"/>
        <v>0.98114509762858249</v>
      </c>
      <c r="S226" s="4">
        <f t="shared" si="163"/>
        <v>0.97311898315872036</v>
      </c>
      <c r="T226" s="4">
        <f t="shared" si="163"/>
        <v>0.96177484161592774</v>
      </c>
      <c r="U226" s="4">
        <f t="shared" si="163"/>
        <v>0.94584787155511363</v>
      </c>
      <c r="V226" s="4">
        <f t="shared" si="163"/>
        <v>0.92370360150141495</v>
      </c>
      <c r="W226" s="4">
        <f t="shared" si="163"/>
        <v>0.89334463567658451</v>
      </c>
      <c r="X226" s="4">
        <f t="shared" si="163"/>
        <v>0.85254543874327005</v>
      </c>
      <c r="Y226" s="4">
        <f t="shared" si="163"/>
        <v>0.79921300652623883</v>
      </c>
      <c r="Z226" s="4">
        <f t="shared" si="163"/>
        <v>0.73204982249993378</v>
      </c>
      <c r="AA226" s="4">
        <f t="shared" si="163"/>
        <v>0.65145592958786691</v>
      </c>
      <c r="AB226" s="4">
        <f t="shared" si="163"/>
        <v>0.56032247880849573</v>
      </c>
      <c r="AC226" s="4">
        <f t="shared" si="163"/>
        <v>0.46411326873185343</v>
      </c>
      <c r="AD226" s="4">
        <f t="shared" si="163"/>
        <v>0.36979727595523937</v>
      </c>
      <c r="AE226" s="4">
        <f t="shared" si="163"/>
        <v>0.28393948637231203</v>
      </c>
      <c r="AF226" s="4">
        <f t="shared" si="163"/>
        <v>0.21097259161117732</v>
      </c>
      <c r="AG226" s="4">
        <f t="shared" si="163"/>
        <v>0.15253917653798199</v>
      </c>
      <c r="AH226" s="4">
        <f t="shared" si="163"/>
        <v>0.10795188737709993</v>
      </c>
      <c r="AI226" s="4">
        <f t="shared" si="163"/>
        <v>7.5176653938091809E-2</v>
      </c>
      <c r="AJ226" s="4">
        <f t="shared" si="163"/>
        <v>5.1742836177502194E-2</v>
      </c>
      <c r="AK226" s="4">
        <f t="shared" si="163"/>
        <v>3.5319190625345942E-2</v>
      </c>
      <c r="AL226" s="4">
        <f t="shared" si="163"/>
        <v>2.3969442072658165E-2</v>
      </c>
      <c r="AM226" s="4">
        <f t="shared" si="163"/>
        <v>1.6202243558389728E-2</v>
      </c>
      <c r="AN226" s="4">
        <f t="shared" si="163"/>
        <v>1.0922240564108399E-2</v>
      </c>
      <c r="AO226" s="4">
        <f t="shared" si="163"/>
        <v>7.3493212906090566E-3</v>
      </c>
      <c r="AP226" s="4">
        <f t="shared" si="163"/>
        <v>4.9390262185057265E-3</v>
      </c>
      <c r="AQ226" s="4">
        <f t="shared" si="163"/>
        <v>3.3164275492956197E-3</v>
      </c>
      <c r="AR226" s="4">
        <f t="shared" si="163"/>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63"/>
        <v>0.9867978615748374</v>
      </c>
      <c r="R227" s="4">
        <f t="shared" si="163"/>
        <v>0.98114509762858249</v>
      </c>
      <c r="S227" s="4">
        <f t="shared" si="163"/>
        <v>0.97311898315872036</v>
      </c>
      <c r="T227" s="4">
        <f t="shared" si="163"/>
        <v>0.96177484161592774</v>
      </c>
      <c r="U227" s="4">
        <f t="shared" si="163"/>
        <v>0.94584787155511363</v>
      </c>
      <c r="V227" s="4">
        <f t="shared" si="163"/>
        <v>0.92370360150141495</v>
      </c>
      <c r="W227" s="4">
        <f t="shared" si="163"/>
        <v>0.89334463567658451</v>
      </c>
      <c r="X227" s="4">
        <f t="shared" si="163"/>
        <v>0.85254543874327005</v>
      </c>
      <c r="Y227" s="4">
        <f t="shared" si="163"/>
        <v>0.79921300652623883</v>
      </c>
      <c r="Z227" s="4">
        <f t="shared" si="163"/>
        <v>0.73204982249993378</v>
      </c>
      <c r="AA227" s="4">
        <f t="shared" si="163"/>
        <v>0.65145592958786691</v>
      </c>
      <c r="AB227" s="4">
        <f t="shared" si="163"/>
        <v>0.56032247880849573</v>
      </c>
      <c r="AC227" s="4">
        <f t="shared" si="163"/>
        <v>0.46411326873185343</v>
      </c>
      <c r="AD227" s="4">
        <f t="shared" si="163"/>
        <v>0.36979727595523937</v>
      </c>
      <c r="AE227" s="4">
        <f t="shared" si="163"/>
        <v>0.28393948637231203</v>
      </c>
      <c r="AF227" s="4">
        <f t="shared" si="163"/>
        <v>0.21097259161117732</v>
      </c>
      <c r="AG227" s="4">
        <f t="shared" si="163"/>
        <v>0.15253917653798199</v>
      </c>
      <c r="AH227" s="4">
        <f t="shared" si="163"/>
        <v>0.10795188737709993</v>
      </c>
      <c r="AI227" s="4">
        <f t="shared" si="163"/>
        <v>7.5176653938091809E-2</v>
      </c>
      <c r="AJ227" s="4">
        <f t="shared" si="163"/>
        <v>5.1742836177502194E-2</v>
      </c>
      <c r="AK227" s="4">
        <f t="shared" si="163"/>
        <v>3.5319190625345942E-2</v>
      </c>
      <c r="AL227" s="4">
        <f t="shared" si="163"/>
        <v>2.3969442072658165E-2</v>
      </c>
      <c r="AM227" s="4">
        <f t="shared" si="163"/>
        <v>1.6202243558389728E-2</v>
      </c>
      <c r="AN227" s="4">
        <f t="shared" si="163"/>
        <v>1.0922240564108399E-2</v>
      </c>
      <c r="AO227" s="4">
        <f t="shared" si="163"/>
        <v>7.3493212906090566E-3</v>
      </c>
      <c r="AP227" s="4">
        <f t="shared" si="163"/>
        <v>4.9390262185057265E-3</v>
      </c>
      <c r="AQ227" s="4">
        <f t="shared" si="163"/>
        <v>3.3164275492956197E-3</v>
      </c>
      <c r="AR227" s="4">
        <f t="shared" si="163"/>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63"/>
        <v>0.9867978615748374</v>
      </c>
      <c r="R228" s="4">
        <f t="shared" si="163"/>
        <v>0.98114509762858249</v>
      </c>
      <c r="S228" s="4">
        <f t="shared" si="163"/>
        <v>0.97311898315872036</v>
      </c>
      <c r="T228" s="4">
        <f t="shared" si="163"/>
        <v>0.96177484161592774</v>
      </c>
      <c r="U228" s="4">
        <f t="shared" si="163"/>
        <v>0.94584787155511363</v>
      </c>
      <c r="V228" s="4">
        <f t="shared" si="163"/>
        <v>0.92370360150141495</v>
      </c>
      <c r="W228" s="4">
        <f t="shared" si="163"/>
        <v>0.89334463567658451</v>
      </c>
      <c r="X228" s="4">
        <f t="shared" si="163"/>
        <v>0.85254543874327005</v>
      </c>
      <c r="Y228" s="4">
        <f t="shared" si="163"/>
        <v>0.79921300652623883</v>
      </c>
      <c r="Z228" s="4">
        <f t="shared" si="163"/>
        <v>0.73204982249993378</v>
      </c>
      <c r="AA228" s="4">
        <f t="shared" si="163"/>
        <v>0.65145592958786691</v>
      </c>
      <c r="AB228" s="4">
        <f t="shared" si="163"/>
        <v>0.56032247880849573</v>
      </c>
      <c r="AC228" s="4">
        <f t="shared" si="163"/>
        <v>0.46411326873185343</v>
      </c>
      <c r="AD228" s="4">
        <f t="shared" si="163"/>
        <v>0.36979727595523937</v>
      </c>
      <c r="AE228" s="4">
        <f t="shared" si="163"/>
        <v>0.28393948637231203</v>
      </c>
      <c r="AF228" s="4">
        <f t="shared" si="163"/>
        <v>0.21097259161117732</v>
      </c>
      <c r="AG228" s="4">
        <f t="shared" si="163"/>
        <v>0.15253917653798199</v>
      </c>
      <c r="AH228" s="4">
        <f t="shared" si="163"/>
        <v>0.10795188737709993</v>
      </c>
      <c r="AI228" s="4">
        <f t="shared" si="163"/>
        <v>7.5176653938091809E-2</v>
      </c>
      <c r="AJ228" s="4">
        <f t="shared" si="163"/>
        <v>5.1742836177502194E-2</v>
      </c>
      <c r="AK228" s="4">
        <f t="shared" si="163"/>
        <v>3.5319190625345942E-2</v>
      </c>
      <c r="AL228" s="4">
        <f t="shared" si="163"/>
        <v>2.3969442072658165E-2</v>
      </c>
      <c r="AM228" s="4">
        <f t="shared" si="163"/>
        <v>1.6202243558389728E-2</v>
      </c>
      <c r="AN228" s="4">
        <f t="shared" si="163"/>
        <v>1.0922240564108399E-2</v>
      </c>
      <c r="AO228" s="4">
        <f t="shared" si="163"/>
        <v>7.3493212906090566E-3</v>
      </c>
      <c r="AP228" s="4">
        <f t="shared" si="163"/>
        <v>4.9390262185057265E-3</v>
      </c>
      <c r="AQ228" s="4">
        <f t="shared" si="163"/>
        <v>3.3164275492956197E-3</v>
      </c>
      <c r="AR228" s="4">
        <f t="shared" si="163"/>
        <v>2.2256362146679809E-3</v>
      </c>
    </row>
    <row r="229" spans="1:44" x14ac:dyDescent="0.25">
      <c r="A229" s="24" t="s">
        <v>79</v>
      </c>
      <c r="B229" s="45">
        <f>'Parameter Input'!$L$178</f>
        <v>0.06</v>
      </c>
      <c r="C229" s="46">
        <f>'Parameter Input'!$M$178</f>
        <v>0.06</v>
      </c>
      <c r="D229" s="1" t="s">
        <v>57</v>
      </c>
      <c r="L229" s="54">
        <f>'Parameter Input'!$O$178</f>
        <v>12</v>
      </c>
      <c r="M229" s="37">
        <v>0</v>
      </c>
      <c r="N229" s="37">
        <v>1</v>
      </c>
      <c r="O229" s="37">
        <f>'Parameter Input'!$P$178</f>
        <v>0.9</v>
      </c>
      <c r="P229" s="55">
        <f>'Parameter Input'!$Q$178</f>
        <v>0.4</v>
      </c>
      <c r="Q229" s="4">
        <f t="shared" si="163"/>
        <v>0.9867978615748374</v>
      </c>
      <c r="R229" s="4">
        <f t="shared" si="163"/>
        <v>0.98114509762858249</v>
      </c>
      <c r="S229" s="4">
        <f t="shared" si="163"/>
        <v>0.97311898315872036</v>
      </c>
      <c r="T229" s="4">
        <f t="shared" si="163"/>
        <v>0.96177484161592774</v>
      </c>
      <c r="U229" s="4">
        <f t="shared" si="163"/>
        <v>0.94584787155511363</v>
      </c>
      <c r="V229" s="4">
        <f t="shared" si="163"/>
        <v>0.92370360150141495</v>
      </c>
      <c r="W229" s="4">
        <f t="shared" si="163"/>
        <v>0.89334463567658451</v>
      </c>
      <c r="X229" s="4">
        <f t="shared" si="163"/>
        <v>0.85254543874327005</v>
      </c>
      <c r="Y229" s="4">
        <f t="shared" si="163"/>
        <v>0.79921300652623883</v>
      </c>
      <c r="Z229" s="4">
        <f t="shared" si="163"/>
        <v>0.73204982249993378</v>
      </c>
      <c r="AA229" s="4">
        <f t="shared" si="163"/>
        <v>0.65145592958786691</v>
      </c>
      <c r="AB229" s="4">
        <f t="shared" si="163"/>
        <v>0.56032247880849573</v>
      </c>
      <c r="AC229" s="4">
        <f t="shared" si="163"/>
        <v>0.46411326873185343</v>
      </c>
      <c r="AD229" s="4">
        <f t="shared" si="163"/>
        <v>0.36979727595523937</v>
      </c>
      <c r="AE229" s="4">
        <f t="shared" si="163"/>
        <v>0.28393948637231203</v>
      </c>
      <c r="AF229" s="4">
        <f t="shared" si="163"/>
        <v>0.21097259161117732</v>
      </c>
      <c r="AG229" s="4">
        <f t="shared" si="163"/>
        <v>0.15253917653798199</v>
      </c>
      <c r="AH229" s="4">
        <f t="shared" si="163"/>
        <v>0.10795188737709993</v>
      </c>
      <c r="AI229" s="4">
        <f t="shared" si="163"/>
        <v>7.5176653938091809E-2</v>
      </c>
      <c r="AJ229" s="4">
        <f t="shared" si="163"/>
        <v>5.1742836177502194E-2</v>
      </c>
      <c r="AK229" s="4">
        <f t="shared" si="163"/>
        <v>3.5319190625345942E-2</v>
      </c>
      <c r="AL229" s="4">
        <f t="shared" si="163"/>
        <v>2.3969442072658165E-2</v>
      </c>
      <c r="AM229" s="4">
        <f t="shared" si="163"/>
        <v>1.6202243558389728E-2</v>
      </c>
      <c r="AN229" s="4">
        <f t="shared" si="163"/>
        <v>1.0922240564108399E-2</v>
      </c>
      <c r="AO229" s="4">
        <f t="shared" si="163"/>
        <v>7.3493212906090566E-3</v>
      </c>
      <c r="AP229" s="4">
        <f t="shared" si="163"/>
        <v>4.9390262185057265E-3</v>
      </c>
      <c r="AQ229" s="4">
        <f t="shared" si="163"/>
        <v>3.3164275492956197E-3</v>
      </c>
      <c r="AR229" s="4">
        <f t="shared" si="163"/>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63"/>
        <v>0.9867978615748374</v>
      </c>
      <c r="R230" s="4">
        <f t="shared" si="163"/>
        <v>0.98114509762858249</v>
      </c>
      <c r="S230" s="4">
        <f t="shared" si="163"/>
        <v>0.97311898315872036</v>
      </c>
      <c r="T230" s="4">
        <f t="shared" si="163"/>
        <v>0.96177484161592774</v>
      </c>
      <c r="U230" s="4">
        <f t="shared" si="163"/>
        <v>0.94584787155511363</v>
      </c>
      <c r="V230" s="4">
        <f t="shared" si="163"/>
        <v>0.92370360150141495</v>
      </c>
      <c r="W230" s="4">
        <f t="shared" si="163"/>
        <v>0.89334463567658451</v>
      </c>
      <c r="X230" s="4">
        <f t="shared" si="163"/>
        <v>0.85254543874327005</v>
      </c>
      <c r="Y230" s="4">
        <f t="shared" si="163"/>
        <v>0.79921300652623883</v>
      </c>
      <c r="Z230" s="4">
        <f t="shared" si="163"/>
        <v>0.73204982249993378</v>
      </c>
      <c r="AA230" s="4">
        <f t="shared" si="163"/>
        <v>0.65145592958786691</v>
      </c>
      <c r="AB230" s="4">
        <f t="shared" si="163"/>
        <v>0.56032247880849573</v>
      </c>
      <c r="AC230" s="4">
        <f t="shared" si="163"/>
        <v>0.46411326873185343</v>
      </c>
      <c r="AD230" s="4">
        <f t="shared" si="163"/>
        <v>0.36979727595523937</v>
      </c>
      <c r="AE230" s="4">
        <f t="shared" si="163"/>
        <v>0.28393948637231203</v>
      </c>
      <c r="AF230" s="4">
        <f t="shared" si="163"/>
        <v>0.21097259161117732</v>
      </c>
      <c r="AG230" s="4">
        <f t="shared" si="163"/>
        <v>0.15253917653798199</v>
      </c>
      <c r="AH230" s="4">
        <f t="shared" si="163"/>
        <v>0.10795188737709993</v>
      </c>
      <c r="AI230" s="4">
        <f t="shared" si="163"/>
        <v>7.5176653938091809E-2</v>
      </c>
      <c r="AJ230" s="4">
        <f t="shared" si="163"/>
        <v>5.1742836177502194E-2</v>
      </c>
      <c r="AK230" s="4">
        <f t="shared" si="163"/>
        <v>3.5319190625345942E-2</v>
      </c>
      <c r="AL230" s="4">
        <f t="shared" si="163"/>
        <v>2.3969442072658165E-2</v>
      </c>
      <c r="AM230" s="4">
        <f t="shared" si="163"/>
        <v>1.6202243558389728E-2</v>
      </c>
      <c r="AN230" s="4">
        <f t="shared" si="163"/>
        <v>1.0922240564108399E-2</v>
      </c>
      <c r="AO230" s="4">
        <f t="shared" si="163"/>
        <v>7.3493212906090566E-3</v>
      </c>
      <c r="AP230" s="4">
        <f t="shared" si="163"/>
        <v>4.9390262185057265E-3</v>
      </c>
      <c r="AQ230" s="4">
        <f t="shared" si="163"/>
        <v>3.3164275492956197E-3</v>
      </c>
      <c r="AR230" s="4">
        <f t="shared" si="163"/>
        <v>2.2256362146679809E-3</v>
      </c>
    </row>
    <row r="231" spans="1:44" x14ac:dyDescent="0.25">
      <c r="A231" s="24" t="s">
        <v>52</v>
      </c>
      <c r="B231" s="43">
        <f>'Parameter Input'!$L$174</f>
        <v>1300000</v>
      </c>
      <c r="C231" s="44">
        <f>'Parameter Input'!$M$174</f>
        <v>812500</v>
      </c>
      <c r="D231" s="1" t="s">
        <v>38</v>
      </c>
      <c r="L231" s="54">
        <f>'Parameter Input'!$O$174</f>
        <v>12</v>
      </c>
      <c r="M231" s="37">
        <v>0</v>
      </c>
      <c r="N231" s="37">
        <v>1</v>
      </c>
      <c r="O231" s="37">
        <f>'Parameter Input'!$P$174</f>
        <v>0.9</v>
      </c>
      <c r="P231" s="55">
        <f>'Parameter Input'!$Q$174</f>
        <v>0.4</v>
      </c>
      <c r="Q231" s="4">
        <f t="shared" si="163"/>
        <v>0.9867978615748374</v>
      </c>
      <c r="R231" s="4">
        <f t="shared" si="163"/>
        <v>0.98114509762858249</v>
      </c>
      <c r="S231" s="4">
        <f t="shared" si="163"/>
        <v>0.97311898315872036</v>
      </c>
      <c r="T231" s="4">
        <f t="shared" si="163"/>
        <v>0.96177484161592774</v>
      </c>
      <c r="U231" s="4">
        <f t="shared" si="163"/>
        <v>0.94584787155511363</v>
      </c>
      <c r="V231" s="4">
        <f t="shared" si="163"/>
        <v>0.92370360150141495</v>
      </c>
      <c r="W231" s="4">
        <f t="shared" si="163"/>
        <v>0.89334463567658451</v>
      </c>
      <c r="X231" s="4">
        <f t="shared" si="163"/>
        <v>0.85254543874327005</v>
      </c>
      <c r="Y231" s="4">
        <f t="shared" si="163"/>
        <v>0.79921300652623883</v>
      </c>
      <c r="Z231" s="4">
        <f t="shared" si="163"/>
        <v>0.73204982249993378</v>
      </c>
      <c r="AA231" s="4">
        <f t="shared" si="163"/>
        <v>0.65145592958786691</v>
      </c>
      <c r="AB231" s="4">
        <f t="shared" si="163"/>
        <v>0.56032247880849573</v>
      </c>
      <c r="AC231" s="4">
        <f t="shared" si="163"/>
        <v>0.46411326873185343</v>
      </c>
      <c r="AD231" s="4">
        <f t="shared" si="163"/>
        <v>0.36979727595523937</v>
      </c>
      <c r="AE231" s="4">
        <f t="shared" si="163"/>
        <v>0.28393948637231203</v>
      </c>
      <c r="AF231" s="4">
        <f t="shared" si="163"/>
        <v>0.21097259161117732</v>
      </c>
      <c r="AG231" s="4">
        <f t="shared" si="163"/>
        <v>0.15253917653798199</v>
      </c>
      <c r="AH231" s="4">
        <f t="shared" si="163"/>
        <v>0.10795188737709993</v>
      </c>
      <c r="AI231" s="4">
        <f t="shared" si="163"/>
        <v>7.5176653938091809E-2</v>
      </c>
      <c r="AJ231" s="4">
        <f t="shared" si="163"/>
        <v>5.1742836177502194E-2</v>
      </c>
      <c r="AK231" s="4">
        <f t="shared" si="163"/>
        <v>3.5319190625345942E-2</v>
      </c>
      <c r="AL231" s="4">
        <f t="shared" si="163"/>
        <v>2.3969442072658165E-2</v>
      </c>
      <c r="AM231" s="4">
        <f t="shared" si="163"/>
        <v>1.6202243558389728E-2</v>
      </c>
      <c r="AN231" s="4">
        <f t="shared" si="163"/>
        <v>1.0922240564108399E-2</v>
      </c>
      <c r="AO231" s="4">
        <f t="shared" si="163"/>
        <v>7.3493212906090566E-3</v>
      </c>
      <c r="AP231" s="4">
        <f t="shared" si="163"/>
        <v>4.9390262185057265E-3</v>
      </c>
      <c r="AQ231" s="4">
        <f t="shared" si="163"/>
        <v>3.3164275492956197E-3</v>
      </c>
      <c r="AR231" s="4">
        <f t="shared" si="163"/>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63"/>
        <v>0.9867978615748374</v>
      </c>
      <c r="R232" s="4">
        <f t="shared" si="163"/>
        <v>0.98114509762858249</v>
      </c>
      <c r="S232" s="4">
        <f t="shared" si="163"/>
        <v>0.97311898315872036</v>
      </c>
      <c r="T232" s="4">
        <f t="shared" si="163"/>
        <v>0.96177484161592774</v>
      </c>
      <c r="U232" s="4">
        <f t="shared" si="163"/>
        <v>0.94584787155511363</v>
      </c>
      <c r="V232" s="4">
        <f t="shared" si="163"/>
        <v>0.92370360150141495</v>
      </c>
      <c r="W232" s="4">
        <f t="shared" si="163"/>
        <v>0.89334463567658451</v>
      </c>
      <c r="X232" s="4">
        <f t="shared" si="163"/>
        <v>0.85254543874327005</v>
      </c>
      <c r="Y232" s="4">
        <f t="shared" si="163"/>
        <v>0.79921300652623883</v>
      </c>
      <c r="Z232" s="4">
        <f t="shared" si="163"/>
        <v>0.73204982249993378</v>
      </c>
      <c r="AA232" s="4">
        <f t="shared" si="163"/>
        <v>0.65145592958786691</v>
      </c>
      <c r="AB232" s="4">
        <f t="shared" si="163"/>
        <v>0.56032247880849573</v>
      </c>
      <c r="AC232" s="4">
        <f t="shared" si="163"/>
        <v>0.46411326873185343</v>
      </c>
      <c r="AD232" s="4">
        <f t="shared" si="163"/>
        <v>0.36979727595523937</v>
      </c>
      <c r="AE232" s="4">
        <f t="shared" si="163"/>
        <v>0.28393948637231203</v>
      </c>
      <c r="AF232" s="4">
        <f t="shared" si="163"/>
        <v>0.21097259161117732</v>
      </c>
      <c r="AG232" s="4">
        <f t="shared" si="163"/>
        <v>0.15253917653798199</v>
      </c>
      <c r="AH232" s="4">
        <f t="shared" si="163"/>
        <v>0.10795188737709993</v>
      </c>
      <c r="AI232" s="4">
        <f t="shared" si="163"/>
        <v>7.5176653938091809E-2</v>
      </c>
      <c r="AJ232" s="4">
        <f t="shared" si="163"/>
        <v>5.1742836177502194E-2</v>
      </c>
      <c r="AK232" s="4">
        <f t="shared" si="163"/>
        <v>3.5319190625345942E-2</v>
      </c>
      <c r="AL232" s="4">
        <f t="shared" si="163"/>
        <v>2.3969442072658165E-2</v>
      </c>
      <c r="AM232" s="4">
        <f t="shared" si="163"/>
        <v>1.6202243558389728E-2</v>
      </c>
      <c r="AN232" s="4">
        <f t="shared" si="163"/>
        <v>1.0922240564108399E-2</v>
      </c>
      <c r="AO232" s="4">
        <f t="shared" si="163"/>
        <v>7.3493212906090566E-3</v>
      </c>
      <c r="AP232" s="4">
        <f t="shared" si="163"/>
        <v>4.9390262185057265E-3</v>
      </c>
      <c r="AQ232" s="4">
        <f t="shared" si="163"/>
        <v>3.3164275492956197E-3</v>
      </c>
      <c r="AR232" s="4">
        <f t="shared" si="163"/>
        <v>2.2256362146679809E-3</v>
      </c>
    </row>
    <row r="233" spans="1:44" x14ac:dyDescent="0.25">
      <c r="A233" s="24" t="s">
        <v>59</v>
      </c>
      <c r="B233" s="47">
        <f>'Parameter Input'!$L$175</f>
        <v>33.590199999999996</v>
      </c>
      <c r="C233" s="48">
        <f>'Parameter Input'!$M$175</f>
        <v>33.590199999999996</v>
      </c>
      <c r="D233" s="1" t="s">
        <v>60</v>
      </c>
      <c r="L233" s="54">
        <f>'Parameter Input'!$O$175</f>
        <v>12</v>
      </c>
      <c r="M233" s="37">
        <v>0</v>
      </c>
      <c r="N233" s="37">
        <v>1</v>
      </c>
      <c r="O233" s="37">
        <f>'Parameter Input'!$P$175</f>
        <v>0.9</v>
      </c>
      <c r="P233" s="55">
        <f>'Parameter Input'!$Q$175</f>
        <v>0.4</v>
      </c>
      <c r="Q233" s="4">
        <f t="shared" si="163"/>
        <v>0.9867978615748374</v>
      </c>
      <c r="R233" s="4">
        <f t="shared" si="163"/>
        <v>0.98114509762858249</v>
      </c>
      <c r="S233" s="4">
        <f t="shared" si="163"/>
        <v>0.97311898315872036</v>
      </c>
      <c r="T233" s="4">
        <f t="shared" si="163"/>
        <v>0.96177484161592774</v>
      </c>
      <c r="U233" s="4">
        <f t="shared" si="163"/>
        <v>0.94584787155511363</v>
      </c>
      <c r="V233" s="4">
        <f t="shared" si="163"/>
        <v>0.92370360150141495</v>
      </c>
      <c r="W233" s="4">
        <f t="shared" si="163"/>
        <v>0.89334463567658451</v>
      </c>
      <c r="X233" s="4">
        <f t="shared" si="163"/>
        <v>0.85254543874327005</v>
      </c>
      <c r="Y233" s="4">
        <f t="shared" si="163"/>
        <v>0.79921300652623883</v>
      </c>
      <c r="Z233" s="4">
        <f t="shared" si="163"/>
        <v>0.73204982249993378</v>
      </c>
      <c r="AA233" s="4">
        <f t="shared" si="163"/>
        <v>0.65145592958786691</v>
      </c>
      <c r="AB233" s="4">
        <f t="shared" si="163"/>
        <v>0.56032247880849573</v>
      </c>
      <c r="AC233" s="4">
        <f t="shared" si="163"/>
        <v>0.46411326873185343</v>
      </c>
      <c r="AD233" s="4">
        <f t="shared" si="163"/>
        <v>0.36979727595523937</v>
      </c>
      <c r="AE233" s="4">
        <f t="shared" si="163"/>
        <v>0.28393948637231203</v>
      </c>
      <c r="AF233" s="4">
        <f t="shared" si="163"/>
        <v>0.21097259161117732</v>
      </c>
      <c r="AG233" s="4">
        <f t="shared" si="163"/>
        <v>0.15253917653798199</v>
      </c>
      <c r="AH233" s="4">
        <f t="shared" si="163"/>
        <v>0.10795188737709993</v>
      </c>
      <c r="AI233" s="4">
        <f t="shared" si="163"/>
        <v>7.5176653938091809E-2</v>
      </c>
      <c r="AJ233" s="4">
        <f t="shared" si="163"/>
        <v>5.1742836177502194E-2</v>
      </c>
      <c r="AK233" s="4">
        <f t="shared" si="163"/>
        <v>3.5319190625345942E-2</v>
      </c>
      <c r="AL233" s="4">
        <f t="shared" si="163"/>
        <v>2.3969442072658165E-2</v>
      </c>
      <c r="AM233" s="4">
        <f t="shared" si="163"/>
        <v>1.6202243558389728E-2</v>
      </c>
      <c r="AN233" s="4">
        <f t="shared" si="163"/>
        <v>1.0922240564108399E-2</v>
      </c>
      <c r="AO233" s="4">
        <f t="shared" si="163"/>
        <v>7.3493212906090566E-3</v>
      </c>
      <c r="AP233" s="4">
        <f t="shared" si="163"/>
        <v>4.9390262185057265E-3</v>
      </c>
      <c r="AQ233" s="4">
        <f t="shared" si="163"/>
        <v>3.3164275492956197E-3</v>
      </c>
      <c r="AR233" s="4">
        <f t="shared" si="163"/>
        <v>2.2256362146679809E-3</v>
      </c>
    </row>
    <row r="234" spans="1:44" x14ac:dyDescent="0.25">
      <c r="A234" s="24" t="s">
        <v>67</v>
      </c>
      <c r="B234" s="45">
        <f>'Parameter Input'!$L$176</f>
        <v>0.13371034051801745</v>
      </c>
      <c r="C234" s="46">
        <f>'Parameter Input'!$M$176</f>
        <v>8.7585019329602734E-2</v>
      </c>
      <c r="D234" s="1" t="s">
        <v>68</v>
      </c>
      <c r="L234" s="54">
        <f>'Parameter Input'!$O$176</f>
        <v>12</v>
      </c>
      <c r="M234" s="37">
        <v>0</v>
      </c>
      <c r="N234" s="37">
        <v>1</v>
      </c>
      <c r="O234" s="37">
        <f>'Parameter Input'!$P$176</f>
        <v>0.9</v>
      </c>
      <c r="P234" s="55">
        <f>'Parameter Input'!$Q$176</f>
        <v>0.4</v>
      </c>
      <c r="Q234" s="4">
        <f t="shared" si="163"/>
        <v>0.9867978615748374</v>
      </c>
      <c r="R234" s="4">
        <f t="shared" si="163"/>
        <v>0.98114509762858249</v>
      </c>
      <c r="S234" s="4">
        <f t="shared" si="163"/>
        <v>0.97311898315872036</v>
      </c>
      <c r="T234" s="4">
        <f t="shared" ref="T234:AI241" si="164">$N234+($M234-$N234)*((1/(1+EXP(-$P234*(T$9-$L234)))^$O234))</f>
        <v>0.96177484161592774</v>
      </c>
      <c r="U234" s="4">
        <f t="shared" si="164"/>
        <v>0.94584787155511363</v>
      </c>
      <c r="V234" s="4">
        <f t="shared" si="164"/>
        <v>0.92370360150141495</v>
      </c>
      <c r="W234" s="4">
        <f t="shared" si="164"/>
        <v>0.89334463567658451</v>
      </c>
      <c r="X234" s="4">
        <f t="shared" si="164"/>
        <v>0.85254543874327005</v>
      </c>
      <c r="Y234" s="4">
        <f t="shared" si="164"/>
        <v>0.79921300652623883</v>
      </c>
      <c r="Z234" s="4">
        <f t="shared" si="164"/>
        <v>0.73204982249993378</v>
      </c>
      <c r="AA234" s="4">
        <f t="shared" si="164"/>
        <v>0.65145592958786691</v>
      </c>
      <c r="AB234" s="4">
        <f t="shared" si="164"/>
        <v>0.56032247880849573</v>
      </c>
      <c r="AC234" s="4">
        <f t="shared" si="164"/>
        <v>0.46411326873185343</v>
      </c>
      <c r="AD234" s="4">
        <f t="shared" si="164"/>
        <v>0.36979727595523937</v>
      </c>
      <c r="AE234" s="4">
        <f t="shared" si="164"/>
        <v>0.28393948637231203</v>
      </c>
      <c r="AF234" s="4">
        <f t="shared" si="164"/>
        <v>0.21097259161117732</v>
      </c>
      <c r="AG234" s="4">
        <f t="shared" si="164"/>
        <v>0.15253917653798199</v>
      </c>
      <c r="AH234" s="4">
        <f t="shared" si="164"/>
        <v>0.10795188737709993</v>
      </c>
      <c r="AI234" s="4">
        <f t="shared" si="164"/>
        <v>7.5176653938091809E-2</v>
      </c>
      <c r="AJ234" s="4">
        <f t="shared" ref="AJ234:AR241" si="165">$N234+($M234-$N234)*((1/(1+EXP(-$P234*(AJ$9-$L234)))^$O234))</f>
        <v>5.1742836177502194E-2</v>
      </c>
      <c r="AK234" s="4">
        <f t="shared" si="165"/>
        <v>3.5319190625345942E-2</v>
      </c>
      <c r="AL234" s="4">
        <f t="shared" si="165"/>
        <v>2.3969442072658165E-2</v>
      </c>
      <c r="AM234" s="4">
        <f t="shared" si="165"/>
        <v>1.6202243558389728E-2</v>
      </c>
      <c r="AN234" s="4">
        <f t="shared" si="165"/>
        <v>1.0922240564108399E-2</v>
      </c>
      <c r="AO234" s="4">
        <f t="shared" si="165"/>
        <v>7.3493212906090566E-3</v>
      </c>
      <c r="AP234" s="4">
        <f t="shared" si="165"/>
        <v>4.9390262185057265E-3</v>
      </c>
      <c r="AQ234" s="4">
        <f t="shared" si="165"/>
        <v>3.3164275492956197E-3</v>
      </c>
      <c r="AR234" s="4">
        <f t="shared" si="165"/>
        <v>2.2256362146679809E-3</v>
      </c>
    </row>
    <row r="235" spans="1:44" x14ac:dyDescent="0.25">
      <c r="A235" s="24" t="s">
        <v>206</v>
      </c>
      <c r="B235" s="115">
        <f>'Parameter Input'!$L$179</f>
        <v>0</v>
      </c>
      <c r="C235" s="116">
        <f>'Parameter Input'!$M$179</f>
        <v>0</v>
      </c>
      <c r="D235" s="1" t="s">
        <v>76</v>
      </c>
      <c r="L235" s="54">
        <f>'Parameter Input'!$O$179</f>
        <v>17</v>
      </c>
      <c r="M235" s="37">
        <v>0</v>
      </c>
      <c r="N235" s="37">
        <v>1</v>
      </c>
      <c r="O235" s="37">
        <f>'Parameter Input'!$P$179</f>
        <v>0.9</v>
      </c>
      <c r="P235" s="55">
        <f>'Parameter Input'!$Q$179</f>
        <v>0.4</v>
      </c>
      <c r="Q235" s="4">
        <f t="shared" ref="Q235:AR235" si="166">$N235+($M235-$N235)*((1/(1+EXP(-$P235*(Q$9-$L235)))^$O235))</f>
        <v>0.99780374543478534</v>
      </c>
      <c r="R235" s="4">
        <f t="shared" si="166"/>
        <v>0.99685359315256394</v>
      </c>
      <c r="S235" s="4">
        <f t="shared" si="166"/>
        <v>0.99549347132349975</v>
      </c>
      <c r="T235" s="4">
        <f t="shared" si="166"/>
        <v>0.99354772139898062</v>
      </c>
      <c r="U235" s="4">
        <f t="shared" si="166"/>
        <v>0.99076681540580536</v>
      </c>
      <c r="V235" s="4">
        <f t="shared" si="166"/>
        <v>0.9867978615748374</v>
      </c>
      <c r="W235" s="4">
        <f t="shared" si="166"/>
        <v>0.98114509762858249</v>
      </c>
      <c r="X235" s="4">
        <f t="shared" si="166"/>
        <v>0.97311898315872036</v>
      </c>
      <c r="Y235" s="4">
        <f t="shared" si="166"/>
        <v>0.96177484161592774</v>
      </c>
      <c r="Z235" s="4">
        <f t="shared" si="166"/>
        <v>0.94584787155511363</v>
      </c>
      <c r="AA235" s="4">
        <f t="shared" si="166"/>
        <v>0.92370360150141495</v>
      </c>
      <c r="AB235" s="4">
        <f t="shared" si="166"/>
        <v>0.89334463567658451</v>
      </c>
      <c r="AC235" s="4">
        <f t="shared" si="166"/>
        <v>0.85254543874327005</v>
      </c>
      <c r="AD235" s="4">
        <f t="shared" si="166"/>
        <v>0.79921300652623883</v>
      </c>
      <c r="AE235" s="4">
        <f t="shared" si="166"/>
        <v>0.73204982249993378</v>
      </c>
      <c r="AF235" s="4">
        <f t="shared" si="166"/>
        <v>0.65145592958786691</v>
      </c>
      <c r="AG235" s="4">
        <f t="shared" si="166"/>
        <v>0.56032247880849573</v>
      </c>
      <c r="AH235" s="4">
        <f t="shared" si="166"/>
        <v>0.46411326873185343</v>
      </c>
      <c r="AI235" s="4">
        <f t="shared" si="166"/>
        <v>0.36979727595523937</v>
      </c>
      <c r="AJ235" s="4">
        <f t="shared" si="166"/>
        <v>0.28393948637231203</v>
      </c>
      <c r="AK235" s="4">
        <f t="shared" si="166"/>
        <v>0.21097259161117732</v>
      </c>
      <c r="AL235" s="4">
        <f t="shared" si="166"/>
        <v>0.15253917653798199</v>
      </c>
      <c r="AM235" s="4">
        <f t="shared" si="166"/>
        <v>0.10795188737709993</v>
      </c>
      <c r="AN235" s="4">
        <f t="shared" si="166"/>
        <v>7.5176653938091809E-2</v>
      </c>
      <c r="AO235" s="4">
        <f t="shared" si="166"/>
        <v>5.1742836177502194E-2</v>
      </c>
      <c r="AP235" s="4">
        <f t="shared" si="166"/>
        <v>3.5319190625345942E-2</v>
      </c>
      <c r="AQ235" s="4">
        <f t="shared" si="166"/>
        <v>2.3969442072658165E-2</v>
      </c>
      <c r="AR235" s="4">
        <f t="shared" si="166"/>
        <v>1.6202243558389728E-2</v>
      </c>
    </row>
    <row r="236" spans="1:44" x14ac:dyDescent="0.25">
      <c r="A236" s="24" t="s">
        <v>41</v>
      </c>
      <c r="B236" s="43">
        <f>'Parameter Input'!$L$173</f>
        <v>20</v>
      </c>
      <c r="C236" s="44">
        <f>'Parameter Input'!$M$173</f>
        <v>20</v>
      </c>
      <c r="D236" s="1" t="s">
        <v>42</v>
      </c>
      <c r="L236" s="54">
        <f>'Parameter Input'!$O$173</f>
        <v>12</v>
      </c>
      <c r="M236" s="37">
        <v>0</v>
      </c>
      <c r="N236" s="37">
        <v>1</v>
      </c>
      <c r="O236" s="37">
        <f>'Parameter Input'!$P$173</f>
        <v>0.9</v>
      </c>
      <c r="P236" s="55">
        <f>'Parameter Input'!$Q$173</f>
        <v>0.4</v>
      </c>
      <c r="Q236" s="4">
        <f t="shared" ref="Q236:AF241" si="167">$N236+($M236-$N236)*((1/(1+EXP(-$P236*(Q$9-$L236)))^$O236))</f>
        <v>0.9867978615748374</v>
      </c>
      <c r="R236" s="4">
        <f t="shared" si="167"/>
        <v>0.98114509762858249</v>
      </c>
      <c r="S236" s="4">
        <f t="shared" si="167"/>
        <v>0.97311898315872036</v>
      </c>
      <c r="T236" s="4">
        <f t="shared" si="167"/>
        <v>0.96177484161592774</v>
      </c>
      <c r="U236" s="4">
        <f t="shared" si="167"/>
        <v>0.94584787155511363</v>
      </c>
      <c r="V236" s="4">
        <f t="shared" si="167"/>
        <v>0.92370360150141495</v>
      </c>
      <c r="W236" s="4">
        <f t="shared" si="167"/>
        <v>0.89334463567658451</v>
      </c>
      <c r="X236" s="4">
        <f t="shared" si="167"/>
        <v>0.85254543874327005</v>
      </c>
      <c r="Y236" s="4">
        <f t="shared" si="167"/>
        <v>0.79921300652623883</v>
      </c>
      <c r="Z236" s="4">
        <f t="shared" si="167"/>
        <v>0.73204982249993378</v>
      </c>
      <c r="AA236" s="4">
        <f t="shared" si="167"/>
        <v>0.65145592958786691</v>
      </c>
      <c r="AB236" s="4">
        <f t="shared" si="167"/>
        <v>0.56032247880849573</v>
      </c>
      <c r="AC236" s="4">
        <f t="shared" si="167"/>
        <v>0.46411326873185343</v>
      </c>
      <c r="AD236" s="4">
        <f t="shared" si="167"/>
        <v>0.36979727595523937</v>
      </c>
      <c r="AE236" s="4">
        <f t="shared" si="167"/>
        <v>0.28393948637231203</v>
      </c>
      <c r="AF236" s="4">
        <f t="shared" si="167"/>
        <v>0.21097259161117732</v>
      </c>
      <c r="AG236" s="4">
        <f t="shared" si="164"/>
        <v>0.15253917653798199</v>
      </c>
      <c r="AH236" s="4">
        <f t="shared" si="164"/>
        <v>0.10795188737709993</v>
      </c>
      <c r="AI236" s="4">
        <f t="shared" si="164"/>
        <v>7.5176653938091809E-2</v>
      </c>
      <c r="AJ236" s="4">
        <f t="shared" si="165"/>
        <v>5.1742836177502194E-2</v>
      </c>
      <c r="AK236" s="4">
        <f t="shared" si="165"/>
        <v>3.5319190625345942E-2</v>
      </c>
      <c r="AL236" s="4">
        <f t="shared" si="165"/>
        <v>2.3969442072658165E-2</v>
      </c>
      <c r="AM236" s="4">
        <f t="shared" si="165"/>
        <v>1.6202243558389728E-2</v>
      </c>
      <c r="AN236" s="4">
        <f t="shared" si="165"/>
        <v>1.0922240564108399E-2</v>
      </c>
      <c r="AO236" s="4">
        <f t="shared" si="165"/>
        <v>7.3493212906090566E-3</v>
      </c>
      <c r="AP236" s="4">
        <f t="shared" si="165"/>
        <v>4.9390262185057265E-3</v>
      </c>
      <c r="AQ236" s="4">
        <f t="shared" si="165"/>
        <v>3.3164275492956197E-3</v>
      </c>
      <c r="AR236" s="4">
        <f t="shared" si="165"/>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7"/>
        <v>0.9867978615748374</v>
      </c>
      <c r="R237" s="4">
        <f t="shared" si="167"/>
        <v>0.98114509762858249</v>
      </c>
      <c r="S237" s="4">
        <f t="shared" si="167"/>
        <v>0.97311898315872036</v>
      </c>
      <c r="T237" s="4">
        <f t="shared" si="167"/>
        <v>0.96177484161592774</v>
      </c>
      <c r="U237" s="4">
        <f t="shared" si="167"/>
        <v>0.94584787155511363</v>
      </c>
      <c r="V237" s="4">
        <f t="shared" si="167"/>
        <v>0.92370360150141495</v>
      </c>
      <c r="W237" s="4">
        <f t="shared" si="167"/>
        <v>0.89334463567658451</v>
      </c>
      <c r="X237" s="4">
        <f t="shared" si="167"/>
        <v>0.85254543874327005</v>
      </c>
      <c r="Y237" s="4">
        <f t="shared" si="167"/>
        <v>0.79921300652623883</v>
      </c>
      <c r="Z237" s="4">
        <f t="shared" si="167"/>
        <v>0.73204982249993378</v>
      </c>
      <c r="AA237" s="4">
        <f t="shared" si="167"/>
        <v>0.65145592958786691</v>
      </c>
      <c r="AB237" s="4">
        <f t="shared" si="167"/>
        <v>0.56032247880849573</v>
      </c>
      <c r="AC237" s="4">
        <f t="shared" si="167"/>
        <v>0.46411326873185343</v>
      </c>
      <c r="AD237" s="4">
        <f t="shared" si="167"/>
        <v>0.36979727595523937</v>
      </c>
      <c r="AE237" s="4">
        <f t="shared" si="167"/>
        <v>0.28393948637231203</v>
      </c>
      <c r="AF237" s="4">
        <f t="shared" si="167"/>
        <v>0.21097259161117732</v>
      </c>
      <c r="AG237" s="4">
        <f t="shared" si="164"/>
        <v>0.15253917653798199</v>
      </c>
      <c r="AH237" s="4">
        <f t="shared" si="164"/>
        <v>0.10795188737709993</v>
      </c>
      <c r="AI237" s="4">
        <f t="shared" si="164"/>
        <v>7.5176653938091809E-2</v>
      </c>
      <c r="AJ237" s="4">
        <f t="shared" si="165"/>
        <v>5.1742836177502194E-2</v>
      </c>
      <c r="AK237" s="4">
        <f t="shared" si="165"/>
        <v>3.5319190625345942E-2</v>
      </c>
      <c r="AL237" s="4">
        <f t="shared" si="165"/>
        <v>2.3969442072658165E-2</v>
      </c>
      <c r="AM237" s="4">
        <f t="shared" si="165"/>
        <v>1.6202243558389728E-2</v>
      </c>
      <c r="AN237" s="4">
        <f t="shared" si="165"/>
        <v>1.0922240564108399E-2</v>
      </c>
      <c r="AO237" s="4">
        <f t="shared" si="165"/>
        <v>7.3493212906090566E-3</v>
      </c>
      <c r="AP237" s="4">
        <f t="shared" si="165"/>
        <v>4.9390262185057265E-3</v>
      </c>
      <c r="AQ237" s="4">
        <f t="shared" si="165"/>
        <v>3.3164275492956197E-3</v>
      </c>
      <c r="AR237" s="4">
        <f t="shared" si="165"/>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7"/>
        <v>0.9867978615748374</v>
      </c>
      <c r="R238" s="4">
        <f t="shared" si="167"/>
        <v>0.98114509762858249</v>
      </c>
      <c r="S238" s="4">
        <f t="shared" si="167"/>
        <v>0.97311898315872036</v>
      </c>
      <c r="T238" s="4">
        <f t="shared" si="167"/>
        <v>0.96177484161592774</v>
      </c>
      <c r="U238" s="4">
        <f t="shared" si="167"/>
        <v>0.94584787155511363</v>
      </c>
      <c r="V238" s="4">
        <f t="shared" si="167"/>
        <v>0.92370360150141495</v>
      </c>
      <c r="W238" s="4">
        <f t="shared" si="167"/>
        <v>0.89334463567658451</v>
      </c>
      <c r="X238" s="4">
        <f t="shared" si="167"/>
        <v>0.85254543874327005</v>
      </c>
      <c r="Y238" s="4">
        <f t="shared" si="167"/>
        <v>0.79921300652623883</v>
      </c>
      <c r="Z238" s="4">
        <f t="shared" si="167"/>
        <v>0.73204982249993378</v>
      </c>
      <c r="AA238" s="4">
        <f t="shared" si="167"/>
        <v>0.65145592958786691</v>
      </c>
      <c r="AB238" s="4">
        <f t="shared" si="167"/>
        <v>0.56032247880849573</v>
      </c>
      <c r="AC238" s="4">
        <f t="shared" si="167"/>
        <v>0.46411326873185343</v>
      </c>
      <c r="AD238" s="4">
        <f t="shared" si="167"/>
        <v>0.36979727595523937</v>
      </c>
      <c r="AE238" s="4">
        <f t="shared" si="167"/>
        <v>0.28393948637231203</v>
      </c>
      <c r="AF238" s="4">
        <f t="shared" si="167"/>
        <v>0.21097259161117732</v>
      </c>
      <c r="AG238" s="4">
        <f t="shared" si="164"/>
        <v>0.15253917653798199</v>
      </c>
      <c r="AH238" s="4">
        <f t="shared" si="164"/>
        <v>0.10795188737709993</v>
      </c>
      <c r="AI238" s="4">
        <f t="shared" si="164"/>
        <v>7.5176653938091809E-2</v>
      </c>
      <c r="AJ238" s="4">
        <f t="shared" si="165"/>
        <v>5.1742836177502194E-2</v>
      </c>
      <c r="AK238" s="4">
        <f t="shared" si="165"/>
        <v>3.5319190625345942E-2</v>
      </c>
      <c r="AL238" s="4">
        <f t="shared" si="165"/>
        <v>2.3969442072658165E-2</v>
      </c>
      <c r="AM238" s="4">
        <f t="shared" si="165"/>
        <v>1.6202243558389728E-2</v>
      </c>
      <c r="AN238" s="4">
        <f t="shared" si="165"/>
        <v>1.0922240564108399E-2</v>
      </c>
      <c r="AO238" s="4">
        <f t="shared" si="165"/>
        <v>7.3493212906090566E-3</v>
      </c>
      <c r="AP238" s="4">
        <f t="shared" si="165"/>
        <v>4.9390262185057265E-3</v>
      </c>
      <c r="AQ238" s="4">
        <f t="shared" si="165"/>
        <v>3.3164275492956197E-3</v>
      </c>
      <c r="AR238" s="4">
        <f t="shared" si="165"/>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7"/>
        <v>0.9867978615748374</v>
      </c>
      <c r="R239" s="4">
        <f t="shared" si="167"/>
        <v>0.98114509762858249</v>
      </c>
      <c r="S239" s="4">
        <f t="shared" si="167"/>
        <v>0.97311898315872036</v>
      </c>
      <c r="T239" s="4">
        <f t="shared" si="167"/>
        <v>0.96177484161592774</v>
      </c>
      <c r="U239" s="4">
        <f t="shared" si="167"/>
        <v>0.94584787155511363</v>
      </c>
      <c r="V239" s="4">
        <f t="shared" si="167"/>
        <v>0.92370360150141495</v>
      </c>
      <c r="W239" s="4">
        <f t="shared" si="167"/>
        <v>0.89334463567658451</v>
      </c>
      <c r="X239" s="4">
        <f t="shared" si="167"/>
        <v>0.85254543874327005</v>
      </c>
      <c r="Y239" s="4">
        <f t="shared" si="167"/>
        <v>0.79921300652623883</v>
      </c>
      <c r="Z239" s="4">
        <f t="shared" si="167"/>
        <v>0.73204982249993378</v>
      </c>
      <c r="AA239" s="4">
        <f t="shared" si="167"/>
        <v>0.65145592958786691</v>
      </c>
      <c r="AB239" s="4">
        <f t="shared" si="167"/>
        <v>0.56032247880849573</v>
      </c>
      <c r="AC239" s="4">
        <f t="shared" si="167"/>
        <v>0.46411326873185343</v>
      </c>
      <c r="AD239" s="4">
        <f t="shared" si="167"/>
        <v>0.36979727595523937</v>
      </c>
      <c r="AE239" s="4">
        <f t="shared" si="167"/>
        <v>0.28393948637231203</v>
      </c>
      <c r="AF239" s="4">
        <f t="shared" si="167"/>
        <v>0.21097259161117732</v>
      </c>
      <c r="AG239" s="4">
        <f t="shared" si="164"/>
        <v>0.15253917653798199</v>
      </c>
      <c r="AH239" s="4">
        <f t="shared" si="164"/>
        <v>0.10795188737709993</v>
      </c>
      <c r="AI239" s="4">
        <f t="shared" si="164"/>
        <v>7.5176653938091809E-2</v>
      </c>
      <c r="AJ239" s="4">
        <f t="shared" si="165"/>
        <v>5.1742836177502194E-2</v>
      </c>
      <c r="AK239" s="4">
        <f t="shared" si="165"/>
        <v>3.5319190625345942E-2</v>
      </c>
      <c r="AL239" s="4">
        <f t="shared" si="165"/>
        <v>2.3969442072658165E-2</v>
      </c>
      <c r="AM239" s="4">
        <f t="shared" si="165"/>
        <v>1.6202243558389728E-2</v>
      </c>
      <c r="AN239" s="4">
        <f t="shared" si="165"/>
        <v>1.0922240564108399E-2</v>
      </c>
      <c r="AO239" s="4">
        <f t="shared" si="165"/>
        <v>7.3493212906090566E-3</v>
      </c>
      <c r="AP239" s="4">
        <f t="shared" si="165"/>
        <v>4.9390262185057265E-3</v>
      </c>
      <c r="AQ239" s="4">
        <f t="shared" si="165"/>
        <v>3.3164275492956197E-3</v>
      </c>
      <c r="AR239" s="4">
        <f t="shared" si="165"/>
        <v>2.2256362146679809E-3</v>
      </c>
    </row>
    <row r="240" spans="1:44" x14ac:dyDescent="0.25">
      <c r="A240" s="24" t="s">
        <v>73</v>
      </c>
      <c r="B240" s="72">
        <f>'Parameter Input'!$L$177</f>
        <v>3.5714285714285712E-2</v>
      </c>
      <c r="C240" s="73">
        <f>'Parameter Input'!$M$177</f>
        <v>1.7857142857142856E-2</v>
      </c>
      <c r="D240" s="1" t="s">
        <v>57</v>
      </c>
      <c r="L240" s="54">
        <f>'Parameter Input'!$O$177</f>
        <v>12</v>
      </c>
      <c r="M240" s="37">
        <v>0</v>
      </c>
      <c r="N240" s="37">
        <v>1</v>
      </c>
      <c r="O240" s="37">
        <f>'Parameter Input'!$P$177</f>
        <v>0.9</v>
      </c>
      <c r="P240" s="55">
        <f>'Parameter Input'!$Q$177</f>
        <v>0.4</v>
      </c>
      <c r="Q240" s="4">
        <f t="shared" si="167"/>
        <v>0.9867978615748374</v>
      </c>
      <c r="R240" s="4">
        <f t="shared" si="167"/>
        <v>0.98114509762858249</v>
      </c>
      <c r="S240" s="4">
        <f t="shared" si="167"/>
        <v>0.97311898315872036</v>
      </c>
      <c r="T240" s="4">
        <f t="shared" si="167"/>
        <v>0.96177484161592774</v>
      </c>
      <c r="U240" s="4">
        <f t="shared" si="167"/>
        <v>0.94584787155511363</v>
      </c>
      <c r="V240" s="4">
        <f t="shared" si="167"/>
        <v>0.92370360150141495</v>
      </c>
      <c r="W240" s="4">
        <f t="shared" si="167"/>
        <v>0.89334463567658451</v>
      </c>
      <c r="X240" s="4">
        <f t="shared" si="167"/>
        <v>0.85254543874327005</v>
      </c>
      <c r="Y240" s="4">
        <f t="shared" si="167"/>
        <v>0.79921300652623883</v>
      </c>
      <c r="Z240" s="4">
        <f t="shared" si="167"/>
        <v>0.73204982249993378</v>
      </c>
      <c r="AA240" s="4">
        <f t="shared" si="167"/>
        <v>0.65145592958786691</v>
      </c>
      <c r="AB240" s="4">
        <f t="shared" si="167"/>
        <v>0.56032247880849573</v>
      </c>
      <c r="AC240" s="4">
        <f t="shared" si="167"/>
        <v>0.46411326873185343</v>
      </c>
      <c r="AD240" s="4">
        <f t="shared" si="167"/>
        <v>0.36979727595523937</v>
      </c>
      <c r="AE240" s="4">
        <f t="shared" si="167"/>
        <v>0.28393948637231203</v>
      </c>
      <c r="AF240" s="4">
        <f t="shared" si="167"/>
        <v>0.21097259161117732</v>
      </c>
      <c r="AG240" s="4">
        <f t="shared" si="164"/>
        <v>0.15253917653798199</v>
      </c>
      <c r="AH240" s="4">
        <f t="shared" si="164"/>
        <v>0.10795188737709993</v>
      </c>
      <c r="AI240" s="4">
        <f t="shared" si="164"/>
        <v>7.5176653938091809E-2</v>
      </c>
      <c r="AJ240" s="4">
        <f t="shared" si="165"/>
        <v>5.1742836177502194E-2</v>
      </c>
      <c r="AK240" s="4">
        <f t="shared" si="165"/>
        <v>3.5319190625345942E-2</v>
      </c>
      <c r="AL240" s="4">
        <f t="shared" si="165"/>
        <v>2.3969442072658165E-2</v>
      </c>
      <c r="AM240" s="4">
        <f t="shared" si="165"/>
        <v>1.6202243558389728E-2</v>
      </c>
      <c r="AN240" s="4">
        <f t="shared" si="165"/>
        <v>1.0922240564108399E-2</v>
      </c>
      <c r="AO240" s="4">
        <f t="shared" si="165"/>
        <v>7.3493212906090566E-3</v>
      </c>
      <c r="AP240" s="4">
        <f t="shared" si="165"/>
        <v>4.9390262185057265E-3</v>
      </c>
      <c r="AQ240" s="4">
        <f t="shared" si="165"/>
        <v>3.3164275492956197E-3</v>
      </c>
      <c r="AR240" s="4">
        <f t="shared" si="165"/>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7"/>
        <v>0.9867978615748374</v>
      </c>
      <c r="R241" s="4">
        <f t="shared" si="167"/>
        <v>0.98114509762858249</v>
      </c>
      <c r="S241" s="4">
        <f t="shared" si="167"/>
        <v>0.97311898315872036</v>
      </c>
      <c r="T241" s="4">
        <f t="shared" si="167"/>
        <v>0.96177484161592774</v>
      </c>
      <c r="U241" s="4">
        <f t="shared" si="167"/>
        <v>0.94584787155511363</v>
      </c>
      <c r="V241" s="4">
        <f t="shared" si="167"/>
        <v>0.92370360150141495</v>
      </c>
      <c r="W241" s="4">
        <f t="shared" si="167"/>
        <v>0.89334463567658451</v>
      </c>
      <c r="X241" s="4">
        <f t="shared" si="167"/>
        <v>0.85254543874327005</v>
      </c>
      <c r="Y241" s="4">
        <f t="shared" si="167"/>
        <v>0.79921300652623883</v>
      </c>
      <c r="Z241" s="4">
        <f t="shared" si="167"/>
        <v>0.73204982249993378</v>
      </c>
      <c r="AA241" s="4">
        <f t="shared" si="167"/>
        <v>0.65145592958786691</v>
      </c>
      <c r="AB241" s="4">
        <f t="shared" si="167"/>
        <v>0.56032247880849573</v>
      </c>
      <c r="AC241" s="4">
        <f t="shared" si="167"/>
        <v>0.46411326873185343</v>
      </c>
      <c r="AD241" s="4">
        <f t="shared" si="167"/>
        <v>0.36979727595523937</v>
      </c>
      <c r="AE241" s="4">
        <f t="shared" si="167"/>
        <v>0.28393948637231203</v>
      </c>
      <c r="AF241" s="4">
        <f t="shared" si="167"/>
        <v>0.21097259161117732</v>
      </c>
      <c r="AG241" s="4">
        <f t="shared" si="164"/>
        <v>0.15253917653798199</v>
      </c>
      <c r="AH241" s="4">
        <f t="shared" si="164"/>
        <v>0.10795188737709993</v>
      </c>
      <c r="AI241" s="4">
        <f t="shared" si="164"/>
        <v>7.5176653938091809E-2</v>
      </c>
      <c r="AJ241" s="4">
        <f t="shared" si="165"/>
        <v>5.1742836177502194E-2</v>
      </c>
      <c r="AK241" s="4">
        <f t="shared" si="165"/>
        <v>3.5319190625345942E-2</v>
      </c>
      <c r="AL241" s="4">
        <f t="shared" si="165"/>
        <v>2.3969442072658165E-2</v>
      </c>
      <c r="AM241" s="4">
        <f t="shared" si="165"/>
        <v>1.6202243558389728E-2</v>
      </c>
      <c r="AN241" s="4">
        <f t="shared" si="165"/>
        <v>1.0922240564108399E-2</v>
      </c>
      <c r="AO241" s="4">
        <f t="shared" si="165"/>
        <v>7.3493212906090566E-3</v>
      </c>
      <c r="AP241" s="4">
        <f t="shared" si="165"/>
        <v>4.9390262185057265E-3</v>
      </c>
      <c r="AQ241" s="4">
        <f t="shared" si="165"/>
        <v>3.3164275492956197E-3</v>
      </c>
      <c r="AR241" s="4">
        <f t="shared" si="165"/>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8">A225</f>
        <v>Capex vehicle</v>
      </c>
      <c r="B245" s="62">
        <f t="shared" ref="B245:B253" si="169">$B225+($C225-$B225)*(1-Q225)</f>
        <v>9950491.9809056409</v>
      </c>
      <c r="C245" s="62">
        <f t="shared" ref="C245:C253" si="170">$B225+($C225-$B225)*(1-R225)</f>
        <v>9929294.1161071844</v>
      </c>
      <c r="D245" s="62">
        <f t="shared" ref="D245:D253" si="171">$B225+($C225-$B225)*(1-S225)</f>
        <v>9899196.186845202</v>
      </c>
      <c r="E245" s="62">
        <f t="shared" ref="E245:E253" si="172">$B225+($C225-$B225)*(1-T225)</f>
        <v>9856655.6560597289</v>
      </c>
      <c r="F245" s="62">
        <f t="shared" ref="F245:F253" si="173">$B225+($C225-$B225)*(1-U225)</f>
        <v>9796929.5183316767</v>
      </c>
      <c r="G245" s="62">
        <f t="shared" ref="G245:G253" si="174">$B225+($C225-$B225)*(1-V225)</f>
        <v>9713888.5056303069</v>
      </c>
      <c r="H245" s="62">
        <f t="shared" ref="H245:H253" si="175">$B225+($C225-$B225)*(1-W225)</f>
        <v>9600042.3837871924</v>
      </c>
      <c r="I245" s="62">
        <f t="shared" ref="I245:I253" si="176">$B225+($C225-$B225)*(1-X225)</f>
        <v>9447045.3952872623</v>
      </c>
      <c r="J245" s="62">
        <f t="shared" ref="J245:J253" si="177">$B225+($C225-$B225)*(1-Y225)</f>
        <v>9247048.7744733952</v>
      </c>
      <c r="K245" s="62">
        <f t="shared" ref="K245:K253" si="178">$B225+($C225-$B225)*(1-Z225)</f>
        <v>8995186.8343747519</v>
      </c>
      <c r="L245" s="62">
        <f t="shared" ref="L245:L253" si="179">$B225+($C225-$B225)*(1-AA225)</f>
        <v>8692959.7359545007</v>
      </c>
      <c r="M245" s="62">
        <f t="shared" ref="M245:M253" si="180">$B225+($C225-$B225)*(1-AB225)</f>
        <v>8351209.2955318587</v>
      </c>
      <c r="N245" s="62">
        <f t="shared" ref="N245:N253" si="181">$B225+($C225-$B225)*(1-AC225)</f>
        <v>7990424.7577444501</v>
      </c>
      <c r="O245" s="62">
        <f t="shared" ref="O245:O253" si="182">$B225+($C225-$B225)*(1-AD225)</f>
        <v>7636739.7848321479</v>
      </c>
      <c r="P245" s="62">
        <f t="shared" ref="P245:P253" si="183">$B225+($C225-$B225)*(1-AE225)</f>
        <v>7314773.0738961697</v>
      </c>
      <c r="Q245" s="62">
        <f t="shared" ref="Q245:Q253" si="184">$B225+($C225-$B225)*(1-AF225)</f>
        <v>7041147.2185419146</v>
      </c>
      <c r="R245" s="62">
        <f t="shared" ref="R245:R253" si="185">$B225+($C225-$B225)*(1-AG225)</f>
        <v>6822021.912017433</v>
      </c>
      <c r="S245" s="62">
        <f t="shared" ref="S245:S253" si="186">$B225+($C225-$B225)*(1-AH225)</f>
        <v>6654819.5776641248</v>
      </c>
      <c r="T245" s="62">
        <f t="shared" ref="T245:T253" si="187">$B225+($C225-$B225)*(1-AI225)</f>
        <v>6531912.4522678442</v>
      </c>
      <c r="U245" s="62">
        <f t="shared" ref="U245:U253" si="188">$B225+($C225-$B225)*(1-AJ225)</f>
        <v>6444035.6356656328</v>
      </c>
      <c r="V245" s="62">
        <f t="shared" ref="V245:V253" si="189">$B225+($C225-$B225)*(1-AK225)</f>
        <v>6382446.9648450473</v>
      </c>
      <c r="W245" s="62">
        <f t="shared" ref="W245:W253" si="190">$B225+($C225-$B225)*(1-AL225)</f>
        <v>6339885.4077724684</v>
      </c>
      <c r="X245" s="62">
        <f t="shared" ref="X245:X253" si="191">$B225+($C225-$B225)*(1-AM225)</f>
        <v>6310758.4133439614</v>
      </c>
      <c r="Y245" s="62">
        <f t="shared" ref="Y245:Y253" si="192">$B225+($C225-$B225)*(1-AN225)</f>
        <v>6290958.4021154065</v>
      </c>
      <c r="Z245" s="62">
        <f t="shared" ref="Z245:Z253" si="193">$B225+($C225-$B225)*(1-AO225)</f>
        <v>6277559.9548397847</v>
      </c>
      <c r="AA245" s="62">
        <f t="shared" ref="AA245:AA253" si="194">$B225+($C225-$B225)*(1-AP225)</f>
        <v>6268521.3483193964</v>
      </c>
      <c r="AB245" s="62">
        <f t="shared" ref="AB245:AB253" si="195">$B225+($C225-$B225)*(1-AQ225)</f>
        <v>6262436.6033098586</v>
      </c>
      <c r="AC245" s="62">
        <f t="shared" ref="AC245:AC253" si="196">$B225+($C225-$B225)*(1-AR225)</f>
        <v>6258346.1358050052</v>
      </c>
    </row>
    <row r="246" spans="1:44" x14ac:dyDescent="0.25">
      <c r="A246" s="30" t="str">
        <f t="shared" si="168"/>
        <v>Residual value (vehicle)</v>
      </c>
      <c r="B246" s="62">
        <f t="shared" si="169"/>
        <v>-505775.93556100863</v>
      </c>
      <c r="C246" s="62">
        <f t="shared" si="170"/>
        <v>-508249.01978749514</v>
      </c>
      <c r="D246" s="62">
        <f t="shared" si="171"/>
        <v>-511760.44486805983</v>
      </c>
      <c r="E246" s="62">
        <f t="shared" si="172"/>
        <v>-516723.50679303159</v>
      </c>
      <c r="F246" s="62">
        <f t="shared" si="173"/>
        <v>-523691.55619463779</v>
      </c>
      <c r="G246" s="62">
        <f t="shared" si="174"/>
        <v>-533379.67434313102</v>
      </c>
      <c r="H246" s="62">
        <f t="shared" si="175"/>
        <v>-546661.72189149424</v>
      </c>
      <c r="I246" s="62">
        <f t="shared" si="176"/>
        <v>-564511.37054981932</v>
      </c>
      <c r="J246" s="62">
        <f t="shared" si="177"/>
        <v>-587844.30964477046</v>
      </c>
      <c r="K246" s="62">
        <f t="shared" si="178"/>
        <v>-617228.20265627897</v>
      </c>
      <c r="L246" s="62">
        <f t="shared" si="179"/>
        <v>-652488.03080530826</v>
      </c>
      <c r="M246" s="62">
        <f t="shared" si="180"/>
        <v>-692358.91552128317</v>
      </c>
      <c r="N246" s="62">
        <f t="shared" si="181"/>
        <v>-734450.44492981408</v>
      </c>
      <c r="O246" s="62">
        <f t="shared" si="182"/>
        <v>-775713.6917695828</v>
      </c>
      <c r="P246" s="62">
        <f t="shared" si="183"/>
        <v>-813276.4747121135</v>
      </c>
      <c r="Q246" s="62">
        <f t="shared" si="184"/>
        <v>-845199.49117010995</v>
      </c>
      <c r="R246" s="62">
        <f t="shared" si="185"/>
        <v>-870764.11026463285</v>
      </c>
      <c r="S246" s="62">
        <f t="shared" si="186"/>
        <v>-890271.04927251884</v>
      </c>
      <c r="T246" s="62">
        <f t="shared" si="187"/>
        <v>-904610.21390208486</v>
      </c>
      <c r="U246" s="62">
        <f t="shared" si="188"/>
        <v>-914862.50917234272</v>
      </c>
      <c r="V246" s="62">
        <f t="shared" si="189"/>
        <v>-922047.85410141107</v>
      </c>
      <c r="W246" s="62">
        <f t="shared" si="190"/>
        <v>-927013.36909321207</v>
      </c>
      <c r="X246" s="62">
        <f t="shared" si="191"/>
        <v>-930411.51844320446</v>
      </c>
      <c r="Y246" s="62">
        <f t="shared" si="192"/>
        <v>-932721.51975320256</v>
      </c>
      <c r="Z246" s="62">
        <f t="shared" si="193"/>
        <v>-934284.67193535855</v>
      </c>
      <c r="AA246" s="62">
        <f t="shared" si="194"/>
        <v>-935339.17602940369</v>
      </c>
      <c r="AB246" s="62">
        <f t="shared" si="195"/>
        <v>-936049.06294718315</v>
      </c>
      <c r="AC246" s="62">
        <f t="shared" si="196"/>
        <v>-936526.28415608278</v>
      </c>
    </row>
    <row r="247" spans="1:44" x14ac:dyDescent="0.25">
      <c r="A247" s="30" t="str">
        <f t="shared" si="168"/>
        <v>Capex costumization</v>
      </c>
      <c r="B247" s="62">
        <f t="shared" si="169"/>
        <v>2800000</v>
      </c>
      <c r="C247" s="62">
        <f t="shared" si="170"/>
        <v>2800000</v>
      </c>
      <c r="D247" s="62">
        <f t="shared" si="171"/>
        <v>2800000</v>
      </c>
      <c r="E247" s="62">
        <f t="shared" si="172"/>
        <v>2800000</v>
      </c>
      <c r="F247" s="62">
        <f t="shared" si="173"/>
        <v>2800000</v>
      </c>
      <c r="G247" s="62">
        <f t="shared" si="174"/>
        <v>2800000</v>
      </c>
      <c r="H247" s="62">
        <f t="shared" si="175"/>
        <v>2800000</v>
      </c>
      <c r="I247" s="62">
        <f t="shared" si="176"/>
        <v>2800000</v>
      </c>
      <c r="J247" s="62">
        <f t="shared" si="177"/>
        <v>2800000</v>
      </c>
      <c r="K247" s="62">
        <f t="shared" si="178"/>
        <v>2800000</v>
      </c>
      <c r="L247" s="62">
        <f t="shared" si="179"/>
        <v>2800000</v>
      </c>
      <c r="M247" s="62">
        <f t="shared" si="180"/>
        <v>2800000</v>
      </c>
      <c r="N247" s="62">
        <f t="shared" si="181"/>
        <v>2800000</v>
      </c>
      <c r="O247" s="62">
        <f t="shared" si="182"/>
        <v>2800000</v>
      </c>
      <c r="P247" s="62">
        <f t="shared" si="183"/>
        <v>2800000</v>
      </c>
      <c r="Q247" s="62">
        <f t="shared" si="184"/>
        <v>2800000</v>
      </c>
      <c r="R247" s="62">
        <f t="shared" si="185"/>
        <v>2800000</v>
      </c>
      <c r="S247" s="62">
        <f t="shared" si="186"/>
        <v>2800000</v>
      </c>
      <c r="T247" s="62">
        <f t="shared" si="187"/>
        <v>2800000</v>
      </c>
      <c r="U247" s="62">
        <f t="shared" si="188"/>
        <v>2800000</v>
      </c>
      <c r="V247" s="62">
        <f t="shared" si="189"/>
        <v>2800000</v>
      </c>
      <c r="W247" s="62">
        <f t="shared" si="190"/>
        <v>2800000</v>
      </c>
      <c r="X247" s="62">
        <f t="shared" si="191"/>
        <v>2800000</v>
      </c>
      <c r="Y247" s="62">
        <f t="shared" si="192"/>
        <v>2800000</v>
      </c>
      <c r="Z247" s="62">
        <f t="shared" si="193"/>
        <v>2800000</v>
      </c>
      <c r="AA247" s="62">
        <f t="shared" si="194"/>
        <v>2800000</v>
      </c>
      <c r="AB247" s="62">
        <f t="shared" si="195"/>
        <v>2800000</v>
      </c>
      <c r="AC247" s="62">
        <f t="shared" si="196"/>
        <v>2800000</v>
      </c>
    </row>
    <row r="248" spans="1:44" x14ac:dyDescent="0.25">
      <c r="A248" s="30" t="str">
        <f t="shared" si="168"/>
        <v>Residual value (costumization)</v>
      </c>
      <c r="B248" s="62">
        <f t="shared" si="169"/>
        <v>-140000</v>
      </c>
      <c r="C248" s="62">
        <f t="shared" si="170"/>
        <v>-140000</v>
      </c>
      <c r="D248" s="62">
        <f t="shared" si="171"/>
        <v>-140000</v>
      </c>
      <c r="E248" s="62">
        <f t="shared" si="172"/>
        <v>-140000</v>
      </c>
      <c r="F248" s="62">
        <f t="shared" si="173"/>
        <v>-140000</v>
      </c>
      <c r="G248" s="62">
        <f t="shared" si="174"/>
        <v>-140000</v>
      </c>
      <c r="H248" s="62">
        <f t="shared" si="175"/>
        <v>-140000</v>
      </c>
      <c r="I248" s="62">
        <f t="shared" si="176"/>
        <v>-140000</v>
      </c>
      <c r="J248" s="62">
        <f t="shared" si="177"/>
        <v>-140000</v>
      </c>
      <c r="K248" s="62">
        <f t="shared" si="178"/>
        <v>-140000</v>
      </c>
      <c r="L248" s="62">
        <f t="shared" si="179"/>
        <v>-140000</v>
      </c>
      <c r="M248" s="62">
        <f t="shared" si="180"/>
        <v>-140000</v>
      </c>
      <c r="N248" s="62">
        <f t="shared" si="181"/>
        <v>-140000</v>
      </c>
      <c r="O248" s="62">
        <f t="shared" si="182"/>
        <v>-140000</v>
      </c>
      <c r="P248" s="62">
        <f t="shared" si="183"/>
        <v>-140000</v>
      </c>
      <c r="Q248" s="62">
        <f t="shared" si="184"/>
        <v>-140000</v>
      </c>
      <c r="R248" s="62">
        <f t="shared" si="185"/>
        <v>-140000</v>
      </c>
      <c r="S248" s="62">
        <f t="shared" si="186"/>
        <v>-140000</v>
      </c>
      <c r="T248" s="62">
        <f t="shared" si="187"/>
        <v>-140000</v>
      </c>
      <c r="U248" s="62">
        <f t="shared" si="188"/>
        <v>-140000</v>
      </c>
      <c r="V248" s="62">
        <f t="shared" si="189"/>
        <v>-140000</v>
      </c>
      <c r="W248" s="62">
        <f t="shared" si="190"/>
        <v>-140000</v>
      </c>
      <c r="X248" s="62">
        <f t="shared" si="191"/>
        <v>-140000</v>
      </c>
      <c r="Y248" s="62">
        <f t="shared" si="192"/>
        <v>-140000</v>
      </c>
      <c r="Z248" s="62">
        <f t="shared" si="193"/>
        <v>-140000</v>
      </c>
      <c r="AA248" s="62">
        <f t="shared" si="194"/>
        <v>-140000</v>
      </c>
      <c r="AB248" s="62">
        <f t="shared" si="195"/>
        <v>-140000</v>
      </c>
      <c r="AC248" s="62">
        <f t="shared" si="196"/>
        <v>-140000</v>
      </c>
    </row>
    <row r="249" spans="1:44" x14ac:dyDescent="0.25">
      <c r="A249" s="30" t="str">
        <f t="shared" si="168"/>
        <v>WACC</v>
      </c>
      <c r="B249" s="62">
        <f t="shared" si="169"/>
        <v>0.06</v>
      </c>
      <c r="C249" s="62">
        <f t="shared" si="170"/>
        <v>0.06</v>
      </c>
      <c r="D249" s="62">
        <f t="shared" si="171"/>
        <v>0.06</v>
      </c>
      <c r="E249" s="62">
        <f t="shared" si="172"/>
        <v>0.06</v>
      </c>
      <c r="F249" s="62">
        <f t="shared" si="173"/>
        <v>0.06</v>
      </c>
      <c r="G249" s="62">
        <f t="shared" si="174"/>
        <v>0.06</v>
      </c>
      <c r="H249" s="62">
        <f t="shared" si="175"/>
        <v>0.06</v>
      </c>
      <c r="I249" s="62">
        <f t="shared" si="176"/>
        <v>0.06</v>
      </c>
      <c r="J249" s="62">
        <f t="shared" si="177"/>
        <v>0.06</v>
      </c>
      <c r="K249" s="62">
        <f t="shared" si="178"/>
        <v>0.06</v>
      </c>
      <c r="L249" s="62">
        <f t="shared" si="179"/>
        <v>0.06</v>
      </c>
      <c r="M249" s="62">
        <f t="shared" si="180"/>
        <v>0.06</v>
      </c>
      <c r="N249" s="62">
        <f t="shared" si="181"/>
        <v>0.06</v>
      </c>
      <c r="O249" s="62">
        <f t="shared" si="182"/>
        <v>0.06</v>
      </c>
      <c r="P249" s="62">
        <f t="shared" si="183"/>
        <v>0.06</v>
      </c>
      <c r="Q249" s="62">
        <f t="shared" si="184"/>
        <v>0.06</v>
      </c>
      <c r="R249" s="62">
        <f t="shared" si="185"/>
        <v>0.06</v>
      </c>
      <c r="S249" s="62">
        <f t="shared" si="186"/>
        <v>0.06</v>
      </c>
      <c r="T249" s="62">
        <f t="shared" si="187"/>
        <v>0.06</v>
      </c>
      <c r="U249" s="62">
        <f t="shared" si="188"/>
        <v>0.06</v>
      </c>
      <c r="V249" s="62">
        <f t="shared" si="189"/>
        <v>0.06</v>
      </c>
      <c r="W249" s="62">
        <f t="shared" si="190"/>
        <v>0.06</v>
      </c>
      <c r="X249" s="62">
        <f t="shared" si="191"/>
        <v>0.06</v>
      </c>
      <c r="Y249" s="62">
        <f t="shared" si="192"/>
        <v>0.06</v>
      </c>
      <c r="Z249" s="62">
        <f t="shared" si="193"/>
        <v>0.06</v>
      </c>
      <c r="AA249" s="62">
        <f t="shared" si="194"/>
        <v>0.06</v>
      </c>
      <c r="AB249" s="62">
        <f t="shared" si="195"/>
        <v>0.06</v>
      </c>
      <c r="AC249" s="62">
        <f t="shared" si="196"/>
        <v>0.06</v>
      </c>
    </row>
    <row r="250" spans="1:44" x14ac:dyDescent="0.25">
      <c r="A250" s="30" t="str">
        <f t="shared" si="168"/>
        <v>Opex fix (admin, crew, insurance)</v>
      </c>
      <c r="B250" s="62">
        <f t="shared" si="169"/>
        <v>610000</v>
      </c>
      <c r="C250" s="62">
        <f t="shared" si="170"/>
        <v>610000</v>
      </c>
      <c r="D250" s="62">
        <f t="shared" si="171"/>
        <v>610000</v>
      </c>
      <c r="E250" s="62">
        <f t="shared" si="172"/>
        <v>610000</v>
      </c>
      <c r="F250" s="62">
        <f t="shared" si="173"/>
        <v>610000</v>
      </c>
      <c r="G250" s="62">
        <f t="shared" si="174"/>
        <v>610000</v>
      </c>
      <c r="H250" s="62">
        <f t="shared" si="175"/>
        <v>610000</v>
      </c>
      <c r="I250" s="62">
        <f t="shared" si="176"/>
        <v>610000</v>
      </c>
      <c r="J250" s="62">
        <f t="shared" si="177"/>
        <v>610000</v>
      </c>
      <c r="K250" s="62">
        <f t="shared" si="178"/>
        <v>610000</v>
      </c>
      <c r="L250" s="62">
        <f t="shared" si="179"/>
        <v>610000</v>
      </c>
      <c r="M250" s="62">
        <f t="shared" si="180"/>
        <v>610000</v>
      </c>
      <c r="N250" s="62">
        <f t="shared" si="181"/>
        <v>610000</v>
      </c>
      <c r="O250" s="62">
        <f t="shared" si="182"/>
        <v>610000</v>
      </c>
      <c r="P250" s="62">
        <f t="shared" si="183"/>
        <v>610000</v>
      </c>
      <c r="Q250" s="62">
        <f t="shared" si="184"/>
        <v>610000</v>
      </c>
      <c r="R250" s="62">
        <f t="shared" si="185"/>
        <v>610000</v>
      </c>
      <c r="S250" s="62">
        <f t="shared" si="186"/>
        <v>610000</v>
      </c>
      <c r="T250" s="62">
        <f t="shared" si="187"/>
        <v>610000</v>
      </c>
      <c r="U250" s="62">
        <f t="shared" si="188"/>
        <v>610000</v>
      </c>
      <c r="V250" s="62">
        <f t="shared" si="189"/>
        <v>610000</v>
      </c>
      <c r="W250" s="62">
        <f t="shared" si="190"/>
        <v>610000</v>
      </c>
      <c r="X250" s="62">
        <f t="shared" si="191"/>
        <v>610000</v>
      </c>
      <c r="Y250" s="62">
        <f t="shared" si="192"/>
        <v>610000</v>
      </c>
      <c r="Z250" s="62">
        <f t="shared" si="193"/>
        <v>610000</v>
      </c>
      <c r="AA250" s="62">
        <f t="shared" si="194"/>
        <v>610000</v>
      </c>
      <c r="AB250" s="62">
        <f t="shared" si="195"/>
        <v>610000</v>
      </c>
      <c r="AC250" s="62">
        <f t="shared" si="196"/>
        <v>610000</v>
      </c>
    </row>
    <row r="251" spans="1:44" x14ac:dyDescent="0.25">
      <c r="A251" s="30" t="str">
        <f t="shared" si="168"/>
        <v>Opex maintenance &amp; repair</v>
      </c>
      <c r="B251" s="62">
        <f t="shared" si="169"/>
        <v>1293563.9575177333</v>
      </c>
      <c r="C251" s="62">
        <f t="shared" si="170"/>
        <v>1290808.235093934</v>
      </c>
      <c r="D251" s="62">
        <f t="shared" si="171"/>
        <v>1286895.5042898762</v>
      </c>
      <c r="E251" s="62">
        <f t="shared" si="172"/>
        <v>1281365.2352877648</v>
      </c>
      <c r="F251" s="62">
        <f t="shared" si="173"/>
        <v>1273600.837383118</v>
      </c>
      <c r="G251" s="62">
        <f t="shared" si="174"/>
        <v>1262805.5057319398</v>
      </c>
      <c r="H251" s="62">
        <f t="shared" si="175"/>
        <v>1248005.5098923349</v>
      </c>
      <c r="I251" s="62">
        <f t="shared" si="176"/>
        <v>1228115.9013873441</v>
      </c>
      <c r="J251" s="62">
        <f t="shared" si="177"/>
        <v>1202116.3406815415</v>
      </c>
      <c r="K251" s="62">
        <f t="shared" si="178"/>
        <v>1169374.2884687176</v>
      </c>
      <c r="L251" s="62">
        <f t="shared" si="179"/>
        <v>1130084.7656740851</v>
      </c>
      <c r="M251" s="62">
        <f t="shared" si="180"/>
        <v>1085657.2084191416</v>
      </c>
      <c r="N251" s="62">
        <f t="shared" si="181"/>
        <v>1038755.2185067786</v>
      </c>
      <c r="O251" s="62">
        <f t="shared" si="182"/>
        <v>992776.17202817916</v>
      </c>
      <c r="P251" s="62">
        <f t="shared" si="183"/>
        <v>950920.49960650213</v>
      </c>
      <c r="Q251" s="62">
        <f t="shared" si="184"/>
        <v>915349.13841044903</v>
      </c>
      <c r="R251" s="62">
        <f t="shared" si="185"/>
        <v>886862.84856226621</v>
      </c>
      <c r="S251" s="62">
        <f t="shared" si="186"/>
        <v>865126.54509633617</v>
      </c>
      <c r="T251" s="62">
        <f t="shared" si="187"/>
        <v>849148.61879481981</v>
      </c>
      <c r="U251" s="62">
        <f t="shared" si="188"/>
        <v>837724.6326365323</v>
      </c>
      <c r="V251" s="62">
        <f t="shared" si="189"/>
        <v>829718.10542985611</v>
      </c>
      <c r="W251" s="62">
        <f t="shared" si="190"/>
        <v>824185.10301042092</v>
      </c>
      <c r="X251" s="62">
        <f t="shared" si="191"/>
        <v>820398.59373471502</v>
      </c>
      <c r="Y251" s="62">
        <f t="shared" si="192"/>
        <v>817824.59227500285</v>
      </c>
      <c r="Z251" s="62">
        <f t="shared" si="193"/>
        <v>816082.79412917187</v>
      </c>
      <c r="AA251" s="62">
        <f t="shared" si="194"/>
        <v>814907.77528152149</v>
      </c>
      <c r="AB251" s="62">
        <f t="shared" si="195"/>
        <v>814116.75843028165</v>
      </c>
      <c r="AC251" s="62">
        <f t="shared" si="196"/>
        <v>813584.99765465059</v>
      </c>
    </row>
    <row r="252" spans="1:44" x14ac:dyDescent="0.25">
      <c r="A252" s="30" t="str">
        <f t="shared" si="168"/>
        <v>Opex var (mode-fees, shunting)</v>
      </c>
      <c r="B252" s="62">
        <f t="shared" si="169"/>
        <v>3.6414565826330532</v>
      </c>
      <c r="C252" s="62">
        <f t="shared" si="170"/>
        <v>3.6414565826330532</v>
      </c>
      <c r="D252" s="62">
        <f t="shared" si="171"/>
        <v>3.6414565826330532</v>
      </c>
      <c r="E252" s="62">
        <f t="shared" si="172"/>
        <v>3.6414565826330532</v>
      </c>
      <c r="F252" s="62">
        <f t="shared" si="173"/>
        <v>3.6414565826330532</v>
      </c>
      <c r="G252" s="62">
        <f t="shared" si="174"/>
        <v>3.6414565826330532</v>
      </c>
      <c r="H252" s="62">
        <f t="shared" si="175"/>
        <v>3.6414565826330532</v>
      </c>
      <c r="I252" s="62">
        <f t="shared" si="176"/>
        <v>3.6414565826330532</v>
      </c>
      <c r="J252" s="62">
        <f t="shared" si="177"/>
        <v>3.6414565826330532</v>
      </c>
      <c r="K252" s="62">
        <f t="shared" si="178"/>
        <v>3.6414565826330532</v>
      </c>
      <c r="L252" s="62">
        <f t="shared" si="179"/>
        <v>3.6414565826330532</v>
      </c>
      <c r="M252" s="62">
        <f t="shared" si="180"/>
        <v>3.6414565826330532</v>
      </c>
      <c r="N252" s="62">
        <f t="shared" si="181"/>
        <v>3.6414565826330532</v>
      </c>
      <c r="O252" s="62">
        <f t="shared" si="182"/>
        <v>3.6414565826330532</v>
      </c>
      <c r="P252" s="62">
        <f t="shared" si="183"/>
        <v>3.6414565826330532</v>
      </c>
      <c r="Q252" s="62">
        <f t="shared" si="184"/>
        <v>3.6414565826330532</v>
      </c>
      <c r="R252" s="62">
        <f t="shared" si="185"/>
        <v>3.6414565826330532</v>
      </c>
      <c r="S252" s="62">
        <f t="shared" si="186"/>
        <v>3.6414565826330532</v>
      </c>
      <c r="T252" s="62">
        <f t="shared" si="187"/>
        <v>3.6414565826330532</v>
      </c>
      <c r="U252" s="62">
        <f t="shared" si="188"/>
        <v>3.6414565826330532</v>
      </c>
      <c r="V252" s="62">
        <f t="shared" si="189"/>
        <v>3.6414565826330532</v>
      </c>
      <c r="W252" s="62">
        <f t="shared" si="190"/>
        <v>3.6414565826330532</v>
      </c>
      <c r="X252" s="62">
        <f t="shared" si="191"/>
        <v>3.6414565826330532</v>
      </c>
      <c r="Y252" s="62">
        <f t="shared" si="192"/>
        <v>3.6414565826330532</v>
      </c>
      <c r="Z252" s="62">
        <f t="shared" si="193"/>
        <v>3.6414565826330532</v>
      </c>
      <c r="AA252" s="62">
        <f t="shared" si="194"/>
        <v>3.6414565826330532</v>
      </c>
      <c r="AB252" s="62">
        <f t="shared" si="195"/>
        <v>3.6414565826330532</v>
      </c>
      <c r="AC252" s="62">
        <f t="shared" si="196"/>
        <v>3.6414565826330532</v>
      </c>
    </row>
    <row r="253" spans="1:44" x14ac:dyDescent="0.25">
      <c r="A253" s="30" t="str">
        <f t="shared" si="168"/>
        <v>Fuel Economy</v>
      </c>
      <c r="B253" s="62">
        <f t="shared" si="169"/>
        <v>33.590199999999996</v>
      </c>
      <c r="C253" s="62">
        <f t="shared" si="170"/>
        <v>33.590199999999996</v>
      </c>
      <c r="D253" s="62">
        <f t="shared" si="171"/>
        <v>33.590199999999996</v>
      </c>
      <c r="E253" s="62">
        <f t="shared" si="172"/>
        <v>33.590199999999996</v>
      </c>
      <c r="F253" s="62">
        <f t="shared" si="173"/>
        <v>33.590199999999996</v>
      </c>
      <c r="G253" s="62">
        <f t="shared" si="174"/>
        <v>33.590199999999996</v>
      </c>
      <c r="H253" s="62">
        <f t="shared" si="175"/>
        <v>33.590199999999996</v>
      </c>
      <c r="I253" s="62">
        <f t="shared" si="176"/>
        <v>33.590199999999996</v>
      </c>
      <c r="J253" s="62">
        <f t="shared" si="177"/>
        <v>33.590199999999996</v>
      </c>
      <c r="K253" s="62">
        <f t="shared" si="178"/>
        <v>33.590199999999996</v>
      </c>
      <c r="L253" s="62">
        <f t="shared" si="179"/>
        <v>33.590199999999996</v>
      </c>
      <c r="M253" s="62">
        <f t="shared" si="180"/>
        <v>33.590199999999996</v>
      </c>
      <c r="N253" s="62">
        <f t="shared" si="181"/>
        <v>33.590199999999996</v>
      </c>
      <c r="O253" s="62">
        <f t="shared" si="182"/>
        <v>33.590199999999996</v>
      </c>
      <c r="P253" s="62">
        <f t="shared" si="183"/>
        <v>33.590199999999996</v>
      </c>
      <c r="Q253" s="62">
        <f t="shared" si="184"/>
        <v>33.590199999999996</v>
      </c>
      <c r="R253" s="62">
        <f t="shared" si="185"/>
        <v>33.590199999999996</v>
      </c>
      <c r="S253" s="62">
        <f t="shared" si="186"/>
        <v>33.590199999999996</v>
      </c>
      <c r="T253" s="62">
        <f t="shared" si="187"/>
        <v>33.590199999999996</v>
      </c>
      <c r="U253" s="62">
        <f t="shared" si="188"/>
        <v>33.590199999999996</v>
      </c>
      <c r="V253" s="62">
        <f t="shared" si="189"/>
        <v>33.590199999999996</v>
      </c>
      <c r="W253" s="62">
        <f t="shared" si="190"/>
        <v>33.590199999999996</v>
      </c>
      <c r="X253" s="62">
        <f t="shared" si="191"/>
        <v>33.590199999999996</v>
      </c>
      <c r="Y253" s="62">
        <f t="shared" si="192"/>
        <v>33.590199999999996</v>
      </c>
      <c r="Z253" s="62">
        <f t="shared" si="193"/>
        <v>33.590199999999996</v>
      </c>
      <c r="AA253" s="62">
        <f t="shared" si="194"/>
        <v>33.590199999999996</v>
      </c>
      <c r="AB253" s="62">
        <f t="shared" si="195"/>
        <v>33.590199999999996</v>
      </c>
      <c r="AC253" s="62">
        <f t="shared" si="196"/>
        <v>33.590199999999996</v>
      </c>
    </row>
    <row r="254" spans="1:44" x14ac:dyDescent="0.25">
      <c r="A254" s="30" t="str">
        <f t="shared" si="168"/>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197">A235</f>
        <v>Emission Cost</v>
      </c>
      <c r="B255" s="66">
        <f>$B235+($C235-$B235)*(1-Q235)</f>
        <v>0</v>
      </c>
      <c r="C255" s="66">
        <f t="shared" ref="C255:AC255" si="198">$B235+($C235-$B235)*(1-R235)</f>
        <v>0</v>
      </c>
      <c r="D255" s="66">
        <f t="shared" si="198"/>
        <v>0</v>
      </c>
      <c r="E255" s="66">
        <f t="shared" si="198"/>
        <v>0</v>
      </c>
      <c r="F255" s="66">
        <f t="shared" si="198"/>
        <v>0</v>
      </c>
      <c r="G255" s="66">
        <f t="shared" si="198"/>
        <v>0</v>
      </c>
      <c r="H255" s="66">
        <f t="shared" si="198"/>
        <v>0</v>
      </c>
      <c r="I255" s="66">
        <f t="shared" si="198"/>
        <v>0</v>
      </c>
      <c r="J255" s="66">
        <f t="shared" si="198"/>
        <v>0</v>
      </c>
      <c r="K255" s="66">
        <f t="shared" si="198"/>
        <v>0</v>
      </c>
      <c r="L255" s="66">
        <f t="shared" si="198"/>
        <v>0</v>
      </c>
      <c r="M255" s="66">
        <f t="shared" si="198"/>
        <v>0</v>
      </c>
      <c r="N255" s="66">
        <f t="shared" si="198"/>
        <v>0</v>
      </c>
      <c r="O255" s="66">
        <f t="shared" si="198"/>
        <v>0</v>
      </c>
      <c r="P255" s="66">
        <f t="shared" si="198"/>
        <v>0</v>
      </c>
      <c r="Q255" s="66">
        <f t="shared" si="198"/>
        <v>0</v>
      </c>
      <c r="R255" s="66">
        <f t="shared" si="198"/>
        <v>0</v>
      </c>
      <c r="S255" s="66">
        <f t="shared" si="198"/>
        <v>0</v>
      </c>
      <c r="T255" s="66">
        <f t="shared" si="198"/>
        <v>0</v>
      </c>
      <c r="U255" s="66">
        <f t="shared" si="198"/>
        <v>0</v>
      </c>
      <c r="V255" s="66">
        <f t="shared" si="198"/>
        <v>0</v>
      </c>
      <c r="W255" s="66">
        <f t="shared" si="198"/>
        <v>0</v>
      </c>
      <c r="X255" s="66">
        <f t="shared" si="198"/>
        <v>0</v>
      </c>
      <c r="Y255" s="66">
        <f t="shared" si="198"/>
        <v>0</v>
      </c>
      <c r="Z255" s="66">
        <f t="shared" si="198"/>
        <v>0</v>
      </c>
      <c r="AA255" s="66">
        <f t="shared" si="198"/>
        <v>0</v>
      </c>
      <c r="AB255" s="66">
        <f t="shared" si="198"/>
        <v>0</v>
      </c>
      <c r="AC255" s="66">
        <f t="shared" si="198"/>
        <v>0</v>
      </c>
    </row>
    <row r="256" spans="1:44" x14ac:dyDescent="0.25">
      <c r="A256" s="30" t="str">
        <f>A236</f>
        <v>Lifetime vehicle</v>
      </c>
      <c r="B256" s="62">
        <f>$B236+($C236-$B236)*(1-Q236)</f>
        <v>20</v>
      </c>
      <c r="C256" s="62">
        <f t="shared" ref="C256:L258" si="199">$B236+($C236-$B236)*(1-R236)</f>
        <v>20</v>
      </c>
      <c r="D256" s="62">
        <f t="shared" si="199"/>
        <v>20</v>
      </c>
      <c r="E256" s="62">
        <f t="shared" si="199"/>
        <v>20</v>
      </c>
      <c r="F256" s="62">
        <f t="shared" si="199"/>
        <v>20</v>
      </c>
      <c r="G256" s="62">
        <f t="shared" si="199"/>
        <v>20</v>
      </c>
      <c r="H256" s="62">
        <f t="shared" si="199"/>
        <v>20</v>
      </c>
      <c r="I256" s="62">
        <f t="shared" si="199"/>
        <v>20</v>
      </c>
      <c r="J256" s="62">
        <f t="shared" si="199"/>
        <v>20</v>
      </c>
      <c r="K256" s="62">
        <f t="shared" si="199"/>
        <v>20</v>
      </c>
      <c r="L256" s="62">
        <f t="shared" si="199"/>
        <v>20</v>
      </c>
      <c r="M256" s="62">
        <f t="shared" ref="M256:V258" si="200">$B236+($C236-$B236)*(1-AB236)</f>
        <v>20</v>
      </c>
      <c r="N256" s="62">
        <f t="shared" si="200"/>
        <v>20</v>
      </c>
      <c r="O256" s="62">
        <f t="shared" si="200"/>
        <v>20</v>
      </c>
      <c r="P256" s="62">
        <f t="shared" si="200"/>
        <v>20</v>
      </c>
      <c r="Q256" s="62">
        <f t="shared" si="200"/>
        <v>20</v>
      </c>
      <c r="R256" s="62">
        <f t="shared" si="200"/>
        <v>20</v>
      </c>
      <c r="S256" s="62">
        <f t="shared" si="200"/>
        <v>20</v>
      </c>
      <c r="T256" s="62">
        <f t="shared" si="200"/>
        <v>20</v>
      </c>
      <c r="U256" s="62">
        <f t="shared" si="200"/>
        <v>20</v>
      </c>
      <c r="V256" s="62">
        <f t="shared" si="200"/>
        <v>20</v>
      </c>
      <c r="W256" s="62">
        <f t="shared" ref="W256:AC258" si="201">$B236+($C236-$B236)*(1-AL236)</f>
        <v>20</v>
      </c>
      <c r="X256" s="62">
        <f t="shared" si="201"/>
        <v>20</v>
      </c>
      <c r="Y256" s="62">
        <f t="shared" si="201"/>
        <v>20</v>
      </c>
      <c r="Z256" s="62">
        <f t="shared" si="201"/>
        <v>20</v>
      </c>
      <c r="AA256" s="62">
        <f t="shared" si="201"/>
        <v>20</v>
      </c>
      <c r="AB256" s="62">
        <f t="shared" si="201"/>
        <v>20</v>
      </c>
      <c r="AC256" s="62">
        <f t="shared" si="201"/>
        <v>20</v>
      </c>
    </row>
    <row r="257" spans="1:29" x14ac:dyDescent="0.25">
      <c r="A257" s="30" t="str">
        <f>A237</f>
        <v>Lifetime costumization</v>
      </c>
      <c r="B257" s="62">
        <f>$B237+($C237-$B237)*(1-Q237)</f>
        <v>30</v>
      </c>
      <c r="C257" s="62">
        <f t="shared" si="199"/>
        <v>30</v>
      </c>
      <c r="D257" s="62">
        <f t="shared" si="199"/>
        <v>30</v>
      </c>
      <c r="E257" s="62">
        <f t="shared" si="199"/>
        <v>30</v>
      </c>
      <c r="F257" s="62">
        <f t="shared" si="199"/>
        <v>30</v>
      </c>
      <c r="G257" s="62">
        <f t="shared" si="199"/>
        <v>30</v>
      </c>
      <c r="H257" s="62">
        <f t="shared" si="199"/>
        <v>30</v>
      </c>
      <c r="I257" s="62">
        <f t="shared" si="199"/>
        <v>30</v>
      </c>
      <c r="J257" s="62">
        <f t="shared" si="199"/>
        <v>30</v>
      </c>
      <c r="K257" s="62">
        <f t="shared" si="199"/>
        <v>30</v>
      </c>
      <c r="L257" s="62">
        <f t="shared" si="199"/>
        <v>30</v>
      </c>
      <c r="M257" s="62">
        <f t="shared" si="200"/>
        <v>30</v>
      </c>
      <c r="N257" s="62">
        <f t="shared" si="200"/>
        <v>30</v>
      </c>
      <c r="O257" s="62">
        <f t="shared" si="200"/>
        <v>30</v>
      </c>
      <c r="P257" s="62">
        <f t="shared" si="200"/>
        <v>30</v>
      </c>
      <c r="Q257" s="62">
        <f t="shared" si="200"/>
        <v>30</v>
      </c>
      <c r="R257" s="62">
        <f t="shared" si="200"/>
        <v>30</v>
      </c>
      <c r="S257" s="62">
        <f t="shared" si="200"/>
        <v>30</v>
      </c>
      <c r="T257" s="62">
        <f t="shared" si="200"/>
        <v>30</v>
      </c>
      <c r="U257" s="62">
        <f t="shared" si="200"/>
        <v>30</v>
      </c>
      <c r="V257" s="62">
        <f t="shared" si="200"/>
        <v>30</v>
      </c>
      <c r="W257" s="62">
        <f t="shared" si="201"/>
        <v>30</v>
      </c>
      <c r="X257" s="62">
        <f t="shared" si="201"/>
        <v>30</v>
      </c>
      <c r="Y257" s="62">
        <f t="shared" si="201"/>
        <v>30</v>
      </c>
      <c r="Z257" s="62">
        <f t="shared" si="201"/>
        <v>30</v>
      </c>
      <c r="AA257" s="62">
        <f t="shared" si="201"/>
        <v>30</v>
      </c>
      <c r="AB257" s="62">
        <f t="shared" si="201"/>
        <v>30</v>
      </c>
      <c r="AC257" s="62">
        <f t="shared" si="201"/>
        <v>30</v>
      </c>
    </row>
    <row r="258" spans="1:29" x14ac:dyDescent="0.25">
      <c r="A258" s="30" t="str">
        <f>A238</f>
        <v>Tonnage .</v>
      </c>
      <c r="B258" s="62">
        <f>$B238+($C238-$B238)*(1-Q238)</f>
        <v>2240</v>
      </c>
      <c r="C258" s="62">
        <f t="shared" si="199"/>
        <v>2240</v>
      </c>
      <c r="D258" s="62">
        <f t="shared" si="199"/>
        <v>2240</v>
      </c>
      <c r="E258" s="62">
        <f t="shared" si="199"/>
        <v>2240</v>
      </c>
      <c r="F258" s="62">
        <f t="shared" si="199"/>
        <v>2240</v>
      </c>
      <c r="G258" s="62">
        <f t="shared" si="199"/>
        <v>2240</v>
      </c>
      <c r="H258" s="62">
        <f t="shared" si="199"/>
        <v>2240</v>
      </c>
      <c r="I258" s="62">
        <f t="shared" si="199"/>
        <v>2240</v>
      </c>
      <c r="J258" s="62">
        <f t="shared" si="199"/>
        <v>2240</v>
      </c>
      <c r="K258" s="62">
        <f t="shared" si="199"/>
        <v>2240</v>
      </c>
      <c r="L258" s="62">
        <f t="shared" si="199"/>
        <v>2240</v>
      </c>
      <c r="M258" s="62">
        <f t="shared" si="200"/>
        <v>2240</v>
      </c>
      <c r="N258" s="62">
        <f t="shared" si="200"/>
        <v>2240</v>
      </c>
      <c r="O258" s="62">
        <f t="shared" si="200"/>
        <v>2240</v>
      </c>
      <c r="P258" s="62">
        <f t="shared" si="200"/>
        <v>2240</v>
      </c>
      <c r="Q258" s="62">
        <f t="shared" si="200"/>
        <v>2240</v>
      </c>
      <c r="R258" s="62">
        <f t="shared" si="200"/>
        <v>2240</v>
      </c>
      <c r="S258" s="62">
        <f t="shared" si="200"/>
        <v>2240</v>
      </c>
      <c r="T258" s="62">
        <f t="shared" si="200"/>
        <v>2240</v>
      </c>
      <c r="U258" s="62">
        <f t="shared" si="200"/>
        <v>2240</v>
      </c>
      <c r="V258" s="62">
        <f t="shared" si="200"/>
        <v>2240</v>
      </c>
      <c r="W258" s="62">
        <f t="shared" si="201"/>
        <v>2240</v>
      </c>
      <c r="X258" s="62">
        <f t="shared" si="201"/>
        <v>2240</v>
      </c>
      <c r="Y258" s="62">
        <f t="shared" si="201"/>
        <v>2240</v>
      </c>
      <c r="Z258" s="62">
        <f t="shared" si="201"/>
        <v>2240</v>
      </c>
      <c r="AA258" s="62">
        <f t="shared" si="201"/>
        <v>2240</v>
      </c>
      <c r="AB258" s="62">
        <f t="shared" si="201"/>
        <v>2240</v>
      </c>
      <c r="AC258" s="62">
        <f t="shared" si="201"/>
        <v>2240</v>
      </c>
    </row>
    <row r="259" spans="1:29" x14ac:dyDescent="0.25">
      <c r="A259" s="30" t="str">
        <f>A239</f>
        <v>Market failure (av. utilization)</v>
      </c>
      <c r="B259" s="62">
        <f t="shared" ref="B259:K260" si="202">($B239+($C239-$B239)*(1-Q239))*B$44</f>
        <v>955.73333333333335</v>
      </c>
      <c r="C259" s="62">
        <f t="shared" si="202"/>
        <v>955.73333333333335</v>
      </c>
      <c r="D259" s="62">
        <f t="shared" si="202"/>
        <v>955.73333333333335</v>
      </c>
      <c r="E259" s="62">
        <f t="shared" si="202"/>
        <v>955.73333333333335</v>
      </c>
      <c r="F259" s="62">
        <f t="shared" si="202"/>
        <v>955.73333333333335</v>
      </c>
      <c r="G259" s="62">
        <f t="shared" si="202"/>
        <v>955.73333333333335</v>
      </c>
      <c r="H259" s="62">
        <f t="shared" si="202"/>
        <v>955.73333333333335</v>
      </c>
      <c r="I259" s="62">
        <f t="shared" si="202"/>
        <v>955.73333333333335</v>
      </c>
      <c r="J259" s="62">
        <f t="shared" si="202"/>
        <v>955.73333333333335</v>
      </c>
      <c r="K259" s="62">
        <f t="shared" si="202"/>
        <v>955.73333333333335</v>
      </c>
      <c r="L259" s="62">
        <f t="shared" ref="L259:U260" si="203">($B239+($C239-$B239)*(1-AA239))*L$44</f>
        <v>955.73333333333335</v>
      </c>
      <c r="M259" s="62">
        <f t="shared" si="203"/>
        <v>955.73333333333335</v>
      </c>
      <c r="N259" s="62">
        <f t="shared" si="203"/>
        <v>955.73333333333335</v>
      </c>
      <c r="O259" s="62">
        <f t="shared" si="203"/>
        <v>955.73333333333335</v>
      </c>
      <c r="P259" s="62">
        <f t="shared" si="203"/>
        <v>955.73333333333335</v>
      </c>
      <c r="Q259" s="62">
        <f t="shared" si="203"/>
        <v>955.73333333333335</v>
      </c>
      <c r="R259" s="62">
        <f t="shared" si="203"/>
        <v>955.73333333333335</v>
      </c>
      <c r="S259" s="62">
        <f t="shared" si="203"/>
        <v>955.73333333333335</v>
      </c>
      <c r="T259" s="62">
        <f t="shared" si="203"/>
        <v>955.73333333333335</v>
      </c>
      <c r="U259" s="62">
        <f t="shared" si="203"/>
        <v>955.73333333333335</v>
      </c>
      <c r="V259" s="62">
        <f t="shared" ref="V259:AC260" si="204">($B239+($C239-$B239)*(1-AK239))*V$44</f>
        <v>955.73333333333335</v>
      </c>
      <c r="W259" s="62">
        <f t="shared" si="204"/>
        <v>955.73333333333335</v>
      </c>
      <c r="X259" s="62">
        <f t="shared" si="204"/>
        <v>955.73333333333335</v>
      </c>
      <c r="Y259" s="62">
        <f t="shared" si="204"/>
        <v>955.73333333333335</v>
      </c>
      <c r="Z259" s="62">
        <f t="shared" si="204"/>
        <v>955.73333333333335</v>
      </c>
      <c r="AA259" s="62">
        <f t="shared" si="204"/>
        <v>955.73333333333335</v>
      </c>
      <c r="AB259" s="62">
        <f t="shared" si="204"/>
        <v>955.73333333333335</v>
      </c>
      <c r="AC259" s="62">
        <f t="shared" si="204"/>
        <v>955.73333333333335</v>
      </c>
    </row>
    <row r="260" spans="1:29" x14ac:dyDescent="0.25">
      <c r="A260" s="30" t="s">
        <v>73</v>
      </c>
      <c r="B260" s="62">
        <f t="shared" si="202"/>
        <v>79.471914462993496</v>
      </c>
      <c r="C260" s="62">
        <f t="shared" si="202"/>
        <v>79.245803905143291</v>
      </c>
      <c r="D260" s="62">
        <f t="shared" si="202"/>
        <v>78.924759326348806</v>
      </c>
      <c r="E260" s="62">
        <f t="shared" si="202"/>
        <v>78.470993664637106</v>
      </c>
      <c r="F260" s="62">
        <f t="shared" si="202"/>
        <v>77.833914862204551</v>
      </c>
      <c r="G260" s="62">
        <f t="shared" si="202"/>
        <v>76.948144060056592</v>
      </c>
      <c r="H260" s="62">
        <f t="shared" si="202"/>
        <v>75.733785427063381</v>
      </c>
      <c r="I260" s="62">
        <f t="shared" si="202"/>
        <v>74.101817549730796</v>
      </c>
      <c r="J260" s="62">
        <f t="shared" si="202"/>
        <v>71.968520261049548</v>
      </c>
      <c r="K260" s="62">
        <f t="shared" si="202"/>
        <v>69.281992899997348</v>
      </c>
      <c r="L260" s="62">
        <f t="shared" si="203"/>
        <v>66.058237183514677</v>
      </c>
      <c r="M260" s="62">
        <f t="shared" si="203"/>
        <v>62.412899152339826</v>
      </c>
      <c r="N260" s="62">
        <f t="shared" si="203"/>
        <v>58.564530749274141</v>
      </c>
      <c r="O260" s="62">
        <f t="shared" si="203"/>
        <v>54.79189103820957</v>
      </c>
      <c r="P260" s="62">
        <f t="shared" si="203"/>
        <v>51.357579454892473</v>
      </c>
      <c r="Q260" s="62">
        <f t="shared" si="203"/>
        <v>48.438903664447089</v>
      </c>
      <c r="R260" s="62">
        <f t="shared" si="203"/>
        <v>46.101567061519283</v>
      </c>
      <c r="S260" s="62">
        <f t="shared" si="203"/>
        <v>44.318075495083995</v>
      </c>
      <c r="T260" s="62">
        <f t="shared" si="203"/>
        <v>43.007066157523667</v>
      </c>
      <c r="U260" s="62">
        <f t="shared" si="203"/>
        <v>42.069713447100085</v>
      </c>
      <c r="V260" s="62">
        <f t="shared" si="204"/>
        <v>41.412767625013835</v>
      </c>
      <c r="W260" s="62">
        <f t="shared" si="204"/>
        <v>40.958777682906323</v>
      </c>
      <c r="X260" s="62">
        <f t="shared" si="204"/>
        <v>40.648089742335586</v>
      </c>
      <c r="Y260" s="62">
        <f t="shared" si="204"/>
        <v>40.43688962256433</v>
      </c>
      <c r="Z260" s="62">
        <f t="shared" si="204"/>
        <v>40.29397285162436</v>
      </c>
      <c r="AA260" s="62">
        <f t="shared" si="204"/>
        <v>40.197561048740226</v>
      </c>
      <c r="AB260" s="62">
        <f t="shared" si="204"/>
        <v>40.132657101971823</v>
      </c>
      <c r="AC260" s="62">
        <f t="shared" si="204"/>
        <v>40.08902544858671</v>
      </c>
    </row>
    <row r="261" spans="1:29" x14ac:dyDescent="0.25">
      <c r="A261" s="30" t="str">
        <f>A241</f>
        <v>Annual Mileage</v>
      </c>
      <c r="B261" s="62">
        <f t="shared" ref="B261:AC261" si="205">$B241+($C241-$B241)*(1-Q241)</f>
        <v>178500</v>
      </c>
      <c r="C261" s="62">
        <f t="shared" si="205"/>
        <v>178500</v>
      </c>
      <c r="D261" s="62">
        <f t="shared" si="205"/>
        <v>178500</v>
      </c>
      <c r="E261" s="62">
        <f t="shared" si="205"/>
        <v>178500</v>
      </c>
      <c r="F261" s="62">
        <f t="shared" si="205"/>
        <v>178500</v>
      </c>
      <c r="G261" s="62">
        <f t="shared" si="205"/>
        <v>178500</v>
      </c>
      <c r="H261" s="62">
        <f t="shared" si="205"/>
        <v>178500</v>
      </c>
      <c r="I261" s="62">
        <f t="shared" si="205"/>
        <v>178500</v>
      </c>
      <c r="J261" s="62">
        <f t="shared" si="205"/>
        <v>178500</v>
      </c>
      <c r="K261" s="62">
        <f t="shared" si="205"/>
        <v>178500</v>
      </c>
      <c r="L261" s="62">
        <f t="shared" si="205"/>
        <v>178500</v>
      </c>
      <c r="M261" s="62">
        <f t="shared" si="205"/>
        <v>178500</v>
      </c>
      <c r="N261" s="62">
        <f t="shared" si="205"/>
        <v>178500</v>
      </c>
      <c r="O261" s="62">
        <f t="shared" si="205"/>
        <v>178500</v>
      </c>
      <c r="P261" s="62">
        <f t="shared" si="205"/>
        <v>178500</v>
      </c>
      <c r="Q261" s="62">
        <f t="shared" si="205"/>
        <v>178500</v>
      </c>
      <c r="R261" s="62">
        <f t="shared" si="205"/>
        <v>178500</v>
      </c>
      <c r="S261" s="62">
        <f t="shared" si="205"/>
        <v>178500</v>
      </c>
      <c r="T261" s="62">
        <f t="shared" si="205"/>
        <v>178500</v>
      </c>
      <c r="U261" s="62">
        <f t="shared" si="205"/>
        <v>178500</v>
      </c>
      <c r="V261" s="62">
        <f t="shared" si="205"/>
        <v>178500</v>
      </c>
      <c r="W261" s="62">
        <f t="shared" si="205"/>
        <v>178500</v>
      </c>
      <c r="X261" s="62">
        <f t="shared" si="205"/>
        <v>178500</v>
      </c>
      <c r="Y261" s="62">
        <f t="shared" si="205"/>
        <v>178500</v>
      </c>
      <c r="Z261" s="62">
        <f t="shared" si="205"/>
        <v>178500</v>
      </c>
      <c r="AA261" s="62">
        <f t="shared" si="205"/>
        <v>178500</v>
      </c>
      <c r="AB261" s="62">
        <f t="shared" si="205"/>
        <v>178500</v>
      </c>
      <c r="AC261" s="62">
        <f t="shared" si="205"/>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6">((1+C249)^C256)*C249/(((1+C249)^C256)-1)*(C245)</f>
        <v>865681.10860566224</v>
      </c>
      <c r="D264" s="63">
        <f t="shared" si="206"/>
        <v>863057.03397703567</v>
      </c>
      <c r="E264" s="63">
        <f t="shared" si="206"/>
        <v>859348.15664694412</v>
      </c>
      <c r="F264" s="63">
        <f t="shared" si="206"/>
        <v>854140.95978918544</v>
      </c>
      <c r="G264" s="63">
        <f t="shared" si="206"/>
        <v>846901.06588590739</v>
      </c>
      <c r="H264" s="63">
        <f t="shared" si="206"/>
        <v>836975.44218948286</v>
      </c>
      <c r="I264" s="63">
        <f t="shared" si="206"/>
        <v>823636.46752832399</v>
      </c>
      <c r="J264" s="63">
        <f t="shared" si="206"/>
        <v>806199.8507457996</v>
      </c>
      <c r="K264" s="63">
        <f t="shared" si="206"/>
        <v>784241.37907896913</v>
      </c>
      <c r="L264" s="63">
        <f t="shared" si="206"/>
        <v>757891.84339680034</v>
      </c>
      <c r="M264" s="63">
        <f t="shared" si="206"/>
        <v>728096.48265190842</v>
      </c>
      <c r="N264" s="63">
        <f t="shared" si="206"/>
        <v>696641.64256081509</v>
      </c>
      <c r="O264" s="63">
        <f t="shared" si="206"/>
        <v>665805.77488808637</v>
      </c>
      <c r="P264" s="63">
        <f t="shared" si="206"/>
        <v>637735.24983383913</v>
      </c>
      <c r="Q264" s="63">
        <f t="shared" si="206"/>
        <v>613879.3008573663</v>
      </c>
      <c r="R264" s="63">
        <f t="shared" si="206"/>
        <v>594774.95808561263</v>
      </c>
      <c r="S264" s="63">
        <f t="shared" si="206"/>
        <v>580197.49663952412</v>
      </c>
      <c r="T264" s="63">
        <f t="shared" si="206"/>
        <v>569481.893362551</v>
      </c>
      <c r="U264" s="63">
        <f t="shared" si="206"/>
        <v>561820.39203855116</v>
      </c>
      <c r="V264" s="63">
        <f t="shared" si="206"/>
        <v>556450.81105826527</v>
      </c>
      <c r="W264" s="63">
        <f t="shared" si="206"/>
        <v>552740.10056064755</v>
      </c>
      <c r="X264" s="63">
        <f t="shared" si="206"/>
        <v>550200.67645533092</v>
      </c>
      <c r="Y264" s="63">
        <f t="shared" si="206"/>
        <v>548474.42124823271</v>
      </c>
      <c r="Z264" s="63">
        <f t="shared" si="206"/>
        <v>547306.28355832992</v>
      </c>
      <c r="AA264" s="63">
        <f t="shared" si="206"/>
        <v>546518.25665316184</v>
      </c>
      <c r="AB264" s="63">
        <f t="shared" si="206"/>
        <v>545987.76085518813</v>
      </c>
      <c r="AC264" s="63">
        <f t="shared" si="206"/>
        <v>545631.13525794924</v>
      </c>
    </row>
    <row r="265" spans="1:29" x14ac:dyDescent="0.25">
      <c r="A265" s="30" t="str">
        <f>A246</f>
        <v>Residual value (vehicle)</v>
      </c>
      <c r="B265" s="62">
        <f>((1+B249)^B256)*B249/(((1+B249)^B256)-1)*(B246)</f>
        <v>-44095.850871439077</v>
      </c>
      <c r="C265" s="62">
        <f t="shared" ref="C265:AC265" si="207">((1+C249)^C256)*C249/(((1+C249)^C256)-1)*(C246)</f>
        <v>-44311.465624091747</v>
      </c>
      <c r="D265" s="62">
        <f t="shared" si="207"/>
        <v>-44617.607664098185</v>
      </c>
      <c r="E265" s="62">
        <f t="shared" si="207"/>
        <v>-45050.310019275523</v>
      </c>
      <c r="F265" s="62">
        <f t="shared" si="207"/>
        <v>-45657.816319347374</v>
      </c>
      <c r="G265" s="62">
        <f t="shared" si="207"/>
        <v>-46502.470608063151</v>
      </c>
      <c r="H265" s="62">
        <f t="shared" si="207"/>
        <v>-47660.460039312675</v>
      </c>
      <c r="I265" s="62">
        <f t="shared" si="207"/>
        <v>-49216.673749781199</v>
      </c>
      <c r="J265" s="62">
        <f t="shared" si="207"/>
        <v>-51250.945707742365</v>
      </c>
      <c r="K265" s="62">
        <f t="shared" si="207"/>
        <v>-53812.767402205936</v>
      </c>
      <c r="L265" s="62">
        <f t="shared" si="207"/>
        <v>-56886.879898458967</v>
      </c>
      <c r="M265" s="62">
        <f t="shared" si="207"/>
        <v>-60363.005318696356</v>
      </c>
      <c r="N265" s="62">
        <f t="shared" si="207"/>
        <v>-64032.73666265724</v>
      </c>
      <c r="O265" s="62">
        <f t="shared" si="207"/>
        <v>-67630.254557808934</v>
      </c>
      <c r="P265" s="62">
        <f t="shared" si="207"/>
        <v>-70905.149147471107</v>
      </c>
      <c r="Q265" s="62">
        <f t="shared" si="207"/>
        <v>-73688.343194726258</v>
      </c>
      <c r="R265" s="62">
        <f t="shared" si="207"/>
        <v>-75917.183184764202</v>
      </c>
      <c r="S265" s="62">
        <f t="shared" si="207"/>
        <v>-77617.887020141206</v>
      </c>
      <c r="T265" s="62">
        <f t="shared" si="207"/>
        <v>-78868.040735788047</v>
      </c>
      <c r="U265" s="62">
        <f t="shared" si="207"/>
        <v>-79761.882556921351</v>
      </c>
      <c r="V265" s="62">
        <f t="shared" si="207"/>
        <v>-80388.333671288041</v>
      </c>
      <c r="W265" s="62">
        <f t="shared" si="207"/>
        <v>-80821.249896010122</v>
      </c>
      <c r="X265" s="62">
        <f t="shared" si="207"/>
        <v>-81117.516041630384</v>
      </c>
      <c r="Y265" s="62">
        <f t="shared" si="207"/>
        <v>-81318.912482458516</v>
      </c>
      <c r="Z265" s="62">
        <f t="shared" si="207"/>
        <v>-81455.19521294719</v>
      </c>
      <c r="AA265" s="62">
        <f t="shared" si="207"/>
        <v>-81547.131685216795</v>
      </c>
      <c r="AB265" s="62">
        <f t="shared" si="207"/>
        <v>-81609.022861647056</v>
      </c>
      <c r="AC265" s="62">
        <f t="shared" si="207"/>
        <v>-81650.629181324926</v>
      </c>
    </row>
    <row r="266" spans="1:29" x14ac:dyDescent="0.25">
      <c r="A266" s="30" t="str">
        <f>A247</f>
        <v>Capex costumization</v>
      </c>
      <c r="B266" s="62">
        <f>((1+B249)^B257)*B249/(((1+B249)^B257)-1)*(B247)</f>
        <v>203416.95217213215</v>
      </c>
      <c r="C266" s="62">
        <f t="shared" ref="C266:AC266" si="208">((1+C249)^C257)*C249/(((1+C249)^C257)-1)*(C247)</f>
        <v>203416.95217213215</v>
      </c>
      <c r="D266" s="62">
        <f t="shared" si="208"/>
        <v>203416.95217213215</v>
      </c>
      <c r="E266" s="62">
        <f t="shared" si="208"/>
        <v>203416.95217213215</v>
      </c>
      <c r="F266" s="62">
        <f t="shared" si="208"/>
        <v>203416.95217213215</v>
      </c>
      <c r="G266" s="62">
        <f t="shared" si="208"/>
        <v>203416.95217213215</v>
      </c>
      <c r="H266" s="62">
        <f t="shared" si="208"/>
        <v>203416.95217213215</v>
      </c>
      <c r="I266" s="62">
        <f t="shared" si="208"/>
        <v>203416.95217213215</v>
      </c>
      <c r="J266" s="62">
        <f t="shared" si="208"/>
        <v>203416.95217213215</v>
      </c>
      <c r="K266" s="62">
        <f t="shared" si="208"/>
        <v>203416.95217213215</v>
      </c>
      <c r="L266" s="62">
        <f t="shared" si="208"/>
        <v>203416.95217213215</v>
      </c>
      <c r="M266" s="62">
        <f t="shared" si="208"/>
        <v>203416.95217213215</v>
      </c>
      <c r="N266" s="62">
        <f t="shared" si="208"/>
        <v>203416.95217213215</v>
      </c>
      <c r="O266" s="62">
        <f t="shared" si="208"/>
        <v>203416.95217213215</v>
      </c>
      <c r="P266" s="62">
        <f t="shared" si="208"/>
        <v>203416.95217213215</v>
      </c>
      <c r="Q266" s="62">
        <f t="shared" si="208"/>
        <v>203416.95217213215</v>
      </c>
      <c r="R266" s="62">
        <f t="shared" si="208"/>
        <v>203416.95217213215</v>
      </c>
      <c r="S266" s="62">
        <f t="shared" si="208"/>
        <v>203416.95217213215</v>
      </c>
      <c r="T266" s="62">
        <f t="shared" si="208"/>
        <v>203416.95217213215</v>
      </c>
      <c r="U266" s="62">
        <f t="shared" si="208"/>
        <v>203416.95217213215</v>
      </c>
      <c r="V266" s="62">
        <f t="shared" si="208"/>
        <v>203416.95217213215</v>
      </c>
      <c r="W266" s="62">
        <f t="shared" si="208"/>
        <v>203416.95217213215</v>
      </c>
      <c r="X266" s="62">
        <f t="shared" si="208"/>
        <v>203416.95217213215</v>
      </c>
      <c r="Y266" s="62">
        <f t="shared" si="208"/>
        <v>203416.95217213215</v>
      </c>
      <c r="Z266" s="62">
        <f t="shared" si="208"/>
        <v>203416.95217213215</v>
      </c>
      <c r="AA266" s="62">
        <f t="shared" si="208"/>
        <v>203416.95217213215</v>
      </c>
      <c r="AB266" s="62">
        <f t="shared" si="208"/>
        <v>203416.95217213215</v>
      </c>
      <c r="AC266" s="62">
        <f t="shared" si="208"/>
        <v>203416.95217213215</v>
      </c>
    </row>
    <row r="267" spans="1:29" x14ac:dyDescent="0.25">
      <c r="A267" s="30" t="str">
        <f>A248</f>
        <v>Residual value (costumization)</v>
      </c>
      <c r="B267" s="62">
        <f>((1+B249)^B257)*B249/(((1+B249)^B257)-1)*(B248)</f>
        <v>-10170.847608606608</v>
      </c>
      <c r="C267" s="62">
        <f t="shared" ref="C267:AC267" si="209">((1+C249)^C257)*C249/(((1+C249)^C257)-1)*(C248)</f>
        <v>-10170.847608606608</v>
      </c>
      <c r="D267" s="62">
        <f t="shared" si="209"/>
        <v>-10170.847608606608</v>
      </c>
      <c r="E267" s="62">
        <f t="shared" si="209"/>
        <v>-10170.847608606608</v>
      </c>
      <c r="F267" s="62">
        <f t="shared" si="209"/>
        <v>-10170.847608606608</v>
      </c>
      <c r="G267" s="62">
        <f t="shared" si="209"/>
        <v>-10170.847608606608</v>
      </c>
      <c r="H267" s="62">
        <f t="shared" si="209"/>
        <v>-10170.847608606608</v>
      </c>
      <c r="I267" s="62">
        <f t="shared" si="209"/>
        <v>-10170.847608606608</v>
      </c>
      <c r="J267" s="62">
        <f t="shared" si="209"/>
        <v>-10170.847608606608</v>
      </c>
      <c r="K267" s="62">
        <f t="shared" si="209"/>
        <v>-10170.847608606608</v>
      </c>
      <c r="L267" s="62">
        <f t="shared" si="209"/>
        <v>-10170.847608606608</v>
      </c>
      <c r="M267" s="62">
        <f t="shared" si="209"/>
        <v>-10170.847608606608</v>
      </c>
      <c r="N267" s="62">
        <f t="shared" si="209"/>
        <v>-10170.847608606608</v>
      </c>
      <c r="O267" s="62">
        <f t="shared" si="209"/>
        <v>-10170.847608606608</v>
      </c>
      <c r="P267" s="62">
        <f t="shared" si="209"/>
        <v>-10170.847608606608</v>
      </c>
      <c r="Q267" s="62">
        <f t="shared" si="209"/>
        <v>-10170.847608606608</v>
      </c>
      <c r="R267" s="62">
        <f t="shared" si="209"/>
        <v>-10170.847608606608</v>
      </c>
      <c r="S267" s="62">
        <f t="shared" si="209"/>
        <v>-10170.847608606608</v>
      </c>
      <c r="T267" s="62">
        <f t="shared" si="209"/>
        <v>-10170.847608606608</v>
      </c>
      <c r="U267" s="62">
        <f t="shared" si="209"/>
        <v>-10170.847608606608</v>
      </c>
      <c r="V267" s="62">
        <f t="shared" si="209"/>
        <v>-10170.847608606608</v>
      </c>
      <c r="W267" s="62">
        <f t="shared" si="209"/>
        <v>-10170.847608606608</v>
      </c>
      <c r="X267" s="62">
        <f t="shared" si="209"/>
        <v>-10170.847608606608</v>
      </c>
      <c r="Y267" s="62">
        <f t="shared" si="209"/>
        <v>-10170.847608606608</v>
      </c>
      <c r="Z267" s="62">
        <f t="shared" si="209"/>
        <v>-10170.847608606608</v>
      </c>
      <c r="AA267" s="62">
        <f t="shared" si="209"/>
        <v>-10170.847608606608</v>
      </c>
      <c r="AB267" s="62">
        <f t="shared" si="209"/>
        <v>-10170.847608606608</v>
      </c>
      <c r="AC267" s="62">
        <f t="shared" si="209"/>
        <v>-10170.847608606608</v>
      </c>
    </row>
    <row r="268" spans="1:29" x14ac:dyDescent="0.25">
      <c r="A268" s="30" t="str">
        <f t="shared" ref="A268:AC268" si="210">A250</f>
        <v>Opex fix (admin, crew, insurance)</v>
      </c>
      <c r="B268" s="62">
        <f t="shared" si="210"/>
        <v>610000</v>
      </c>
      <c r="C268" s="62">
        <f t="shared" si="210"/>
        <v>610000</v>
      </c>
      <c r="D268" s="62">
        <f t="shared" si="210"/>
        <v>610000</v>
      </c>
      <c r="E268" s="62">
        <f t="shared" si="210"/>
        <v>610000</v>
      </c>
      <c r="F268" s="62">
        <f t="shared" si="210"/>
        <v>610000</v>
      </c>
      <c r="G268" s="62">
        <f t="shared" si="210"/>
        <v>610000</v>
      </c>
      <c r="H268" s="62">
        <f t="shared" si="210"/>
        <v>610000</v>
      </c>
      <c r="I268" s="62">
        <f t="shared" si="210"/>
        <v>610000</v>
      </c>
      <c r="J268" s="62">
        <f t="shared" si="210"/>
        <v>610000</v>
      </c>
      <c r="K268" s="62">
        <f t="shared" si="210"/>
        <v>610000</v>
      </c>
      <c r="L268" s="62">
        <f t="shared" si="210"/>
        <v>610000</v>
      </c>
      <c r="M268" s="62">
        <f t="shared" si="210"/>
        <v>610000</v>
      </c>
      <c r="N268" s="62">
        <f t="shared" si="210"/>
        <v>610000</v>
      </c>
      <c r="O268" s="62">
        <f t="shared" si="210"/>
        <v>610000</v>
      </c>
      <c r="P268" s="62">
        <f t="shared" si="210"/>
        <v>610000</v>
      </c>
      <c r="Q268" s="62">
        <f t="shared" si="210"/>
        <v>610000</v>
      </c>
      <c r="R268" s="62">
        <f t="shared" si="210"/>
        <v>610000</v>
      </c>
      <c r="S268" s="62">
        <f t="shared" si="210"/>
        <v>610000</v>
      </c>
      <c r="T268" s="62">
        <f t="shared" si="210"/>
        <v>610000</v>
      </c>
      <c r="U268" s="62">
        <f t="shared" si="210"/>
        <v>610000</v>
      </c>
      <c r="V268" s="62">
        <f t="shared" si="210"/>
        <v>610000</v>
      </c>
      <c r="W268" s="62">
        <f t="shared" si="210"/>
        <v>610000</v>
      </c>
      <c r="X268" s="62">
        <f t="shared" si="210"/>
        <v>610000</v>
      </c>
      <c r="Y268" s="62">
        <f t="shared" si="210"/>
        <v>610000</v>
      </c>
      <c r="Z268" s="62">
        <f t="shared" si="210"/>
        <v>610000</v>
      </c>
      <c r="AA268" s="62">
        <f t="shared" si="210"/>
        <v>610000</v>
      </c>
      <c r="AB268" s="62">
        <f t="shared" si="210"/>
        <v>610000</v>
      </c>
      <c r="AC268" s="62">
        <f t="shared" si="210"/>
        <v>610000</v>
      </c>
    </row>
    <row r="269" spans="1:29" x14ac:dyDescent="0.25">
      <c r="A269" s="30" t="str">
        <f t="shared" ref="A269:AC269" si="211">A251</f>
        <v>Opex maintenance &amp; repair</v>
      </c>
      <c r="B269" s="62">
        <f t="shared" si="211"/>
        <v>1293563.9575177333</v>
      </c>
      <c r="C269" s="62">
        <f t="shared" si="211"/>
        <v>1290808.235093934</v>
      </c>
      <c r="D269" s="62">
        <f t="shared" si="211"/>
        <v>1286895.5042898762</v>
      </c>
      <c r="E269" s="62">
        <f t="shared" si="211"/>
        <v>1281365.2352877648</v>
      </c>
      <c r="F269" s="62">
        <f t="shared" si="211"/>
        <v>1273600.837383118</v>
      </c>
      <c r="G269" s="62">
        <f t="shared" si="211"/>
        <v>1262805.5057319398</v>
      </c>
      <c r="H269" s="62">
        <f t="shared" si="211"/>
        <v>1248005.5098923349</v>
      </c>
      <c r="I269" s="62">
        <f t="shared" si="211"/>
        <v>1228115.9013873441</v>
      </c>
      <c r="J269" s="62">
        <f t="shared" si="211"/>
        <v>1202116.3406815415</v>
      </c>
      <c r="K269" s="62">
        <f t="shared" si="211"/>
        <v>1169374.2884687176</v>
      </c>
      <c r="L269" s="62">
        <f t="shared" si="211"/>
        <v>1130084.7656740851</v>
      </c>
      <c r="M269" s="62">
        <f t="shared" si="211"/>
        <v>1085657.2084191416</v>
      </c>
      <c r="N269" s="62">
        <f t="shared" si="211"/>
        <v>1038755.2185067786</v>
      </c>
      <c r="O269" s="62">
        <f t="shared" si="211"/>
        <v>992776.17202817916</v>
      </c>
      <c r="P269" s="62">
        <f t="shared" si="211"/>
        <v>950920.49960650213</v>
      </c>
      <c r="Q269" s="62">
        <f t="shared" si="211"/>
        <v>915349.13841044903</v>
      </c>
      <c r="R269" s="62">
        <f t="shared" si="211"/>
        <v>886862.84856226621</v>
      </c>
      <c r="S269" s="62">
        <f t="shared" si="211"/>
        <v>865126.54509633617</v>
      </c>
      <c r="T269" s="62">
        <f t="shared" si="211"/>
        <v>849148.61879481981</v>
      </c>
      <c r="U269" s="62">
        <f t="shared" si="211"/>
        <v>837724.6326365323</v>
      </c>
      <c r="V269" s="62">
        <f t="shared" si="211"/>
        <v>829718.10542985611</v>
      </c>
      <c r="W269" s="62">
        <f t="shared" si="211"/>
        <v>824185.10301042092</v>
      </c>
      <c r="X269" s="62">
        <f t="shared" si="211"/>
        <v>820398.59373471502</v>
      </c>
      <c r="Y269" s="62">
        <f t="shared" si="211"/>
        <v>817824.59227500285</v>
      </c>
      <c r="Z269" s="62">
        <f t="shared" si="211"/>
        <v>816082.79412917187</v>
      </c>
      <c r="AA269" s="62">
        <f t="shared" si="211"/>
        <v>814907.77528152149</v>
      </c>
      <c r="AB269" s="62">
        <f t="shared" si="211"/>
        <v>814116.75843028165</v>
      </c>
      <c r="AC269" s="62">
        <f t="shared" si="211"/>
        <v>813584.99765465059</v>
      </c>
    </row>
    <row r="270" spans="1:29" x14ac:dyDescent="0.25">
      <c r="A270" s="30" t="str">
        <f>A252</f>
        <v>Opex var (mode-fees, shunting)</v>
      </c>
      <c r="B270" s="62">
        <f>B252*B261</f>
        <v>650000</v>
      </c>
      <c r="C270" s="62">
        <f t="shared" ref="C270:AC270" si="212">C252*C261</f>
        <v>650000</v>
      </c>
      <c r="D270" s="62">
        <f t="shared" si="212"/>
        <v>650000</v>
      </c>
      <c r="E270" s="62">
        <f t="shared" si="212"/>
        <v>650000</v>
      </c>
      <c r="F270" s="62">
        <f t="shared" si="212"/>
        <v>650000</v>
      </c>
      <c r="G270" s="62">
        <f t="shared" si="212"/>
        <v>650000</v>
      </c>
      <c r="H270" s="62">
        <f t="shared" si="212"/>
        <v>650000</v>
      </c>
      <c r="I270" s="62">
        <f t="shared" si="212"/>
        <v>650000</v>
      </c>
      <c r="J270" s="62">
        <f t="shared" si="212"/>
        <v>650000</v>
      </c>
      <c r="K270" s="62">
        <f t="shared" si="212"/>
        <v>650000</v>
      </c>
      <c r="L270" s="62">
        <f t="shared" si="212"/>
        <v>650000</v>
      </c>
      <c r="M270" s="62">
        <f t="shared" si="212"/>
        <v>650000</v>
      </c>
      <c r="N270" s="62">
        <f t="shared" si="212"/>
        <v>650000</v>
      </c>
      <c r="O270" s="62">
        <f t="shared" si="212"/>
        <v>650000</v>
      </c>
      <c r="P270" s="62">
        <f t="shared" si="212"/>
        <v>650000</v>
      </c>
      <c r="Q270" s="62">
        <f t="shared" si="212"/>
        <v>650000</v>
      </c>
      <c r="R270" s="62">
        <f t="shared" si="212"/>
        <v>650000</v>
      </c>
      <c r="S270" s="62">
        <f t="shared" si="212"/>
        <v>650000</v>
      </c>
      <c r="T270" s="62">
        <f t="shared" si="212"/>
        <v>650000</v>
      </c>
      <c r="U270" s="62">
        <f t="shared" si="212"/>
        <v>650000</v>
      </c>
      <c r="V270" s="62">
        <f t="shared" si="212"/>
        <v>650000</v>
      </c>
      <c r="W270" s="62">
        <f t="shared" si="212"/>
        <v>650000</v>
      </c>
      <c r="X270" s="62">
        <f t="shared" si="212"/>
        <v>650000</v>
      </c>
      <c r="Y270" s="62">
        <f t="shared" si="212"/>
        <v>650000</v>
      </c>
      <c r="Z270" s="62">
        <f t="shared" si="212"/>
        <v>650000</v>
      </c>
      <c r="AA270" s="62">
        <f t="shared" si="212"/>
        <v>650000</v>
      </c>
      <c r="AB270" s="62">
        <f t="shared" si="212"/>
        <v>650000</v>
      </c>
      <c r="AC270" s="62">
        <f t="shared" si="212"/>
        <v>650000</v>
      </c>
    </row>
    <row r="271" spans="1:29" x14ac:dyDescent="0.25">
      <c r="A271" s="30" t="str">
        <f>A254</f>
        <v>Fuel Cost</v>
      </c>
      <c r="B271" s="62">
        <f>B253*B254*B261</f>
        <v>564609.2417724753</v>
      </c>
      <c r="C271" s="62">
        <f t="shared" ref="C271:AC271" si="213">C253*C254*C261</f>
        <v>564609.2417724753</v>
      </c>
      <c r="D271" s="62">
        <f t="shared" si="213"/>
        <v>564609.2417724753</v>
      </c>
      <c r="E271" s="62">
        <f t="shared" si="213"/>
        <v>564609.2417724753</v>
      </c>
      <c r="F271" s="62">
        <f t="shared" si="213"/>
        <v>564609.2417724753</v>
      </c>
      <c r="G271" s="62">
        <f t="shared" si="213"/>
        <v>564609.2417724753</v>
      </c>
      <c r="H271" s="62">
        <f t="shared" si="213"/>
        <v>564609.2417724753</v>
      </c>
      <c r="I271" s="62">
        <f t="shared" si="213"/>
        <v>564609.2417724753</v>
      </c>
      <c r="J271" s="62">
        <f t="shared" si="213"/>
        <v>575601.63362323598</v>
      </c>
      <c r="K271" s="62">
        <f t="shared" si="213"/>
        <v>586594.02547399676</v>
      </c>
      <c r="L271" s="62">
        <f t="shared" si="213"/>
        <v>597586.41732475744</v>
      </c>
      <c r="M271" s="62">
        <f t="shared" si="213"/>
        <v>608578.80917551811</v>
      </c>
      <c r="N271" s="62">
        <f t="shared" si="213"/>
        <v>619571.20102627878</v>
      </c>
      <c r="O271" s="62">
        <f t="shared" si="213"/>
        <v>613575.35092586384</v>
      </c>
      <c r="P271" s="62">
        <f t="shared" si="213"/>
        <v>607579.50082544889</v>
      </c>
      <c r="Q271" s="62">
        <f t="shared" si="213"/>
        <v>601583.65072503395</v>
      </c>
      <c r="R271" s="62">
        <f t="shared" si="213"/>
        <v>595587.80062461901</v>
      </c>
      <c r="S271" s="62">
        <f t="shared" si="213"/>
        <v>589591.95052420418</v>
      </c>
      <c r="T271" s="62">
        <f t="shared" si="213"/>
        <v>583596.10042378923</v>
      </c>
      <c r="U271" s="62">
        <f t="shared" si="213"/>
        <v>577600.25032337429</v>
      </c>
      <c r="V271" s="62">
        <f t="shared" si="213"/>
        <v>571604.40022295923</v>
      </c>
      <c r="W271" s="62">
        <f t="shared" si="213"/>
        <v>565608.5501225444</v>
      </c>
      <c r="X271" s="62">
        <f t="shared" si="213"/>
        <v>559612.70002212957</v>
      </c>
      <c r="Y271" s="62">
        <f t="shared" si="213"/>
        <v>553616.84992171463</v>
      </c>
      <c r="Z271" s="62">
        <f t="shared" si="213"/>
        <v>547620.99982129969</v>
      </c>
      <c r="AA271" s="62">
        <f t="shared" si="213"/>
        <v>541625.14972088463</v>
      </c>
      <c r="AB271" s="62">
        <f t="shared" si="213"/>
        <v>535629.29962046968</v>
      </c>
      <c r="AC271" s="62">
        <f t="shared" si="213"/>
        <v>529633.44952005497</v>
      </c>
    </row>
    <row r="272" spans="1:29" ht="15.75" thickBot="1" x14ac:dyDescent="0.3">
      <c r="A272" s="59" t="str">
        <f>A235</f>
        <v>Emission Cost</v>
      </c>
      <c r="B272" s="62">
        <f>B255*B261</f>
        <v>0</v>
      </c>
      <c r="C272" s="62">
        <f t="shared" ref="C272:AC272" si="214">C255*C261</f>
        <v>0</v>
      </c>
      <c r="D272" s="62">
        <f t="shared" si="214"/>
        <v>0</v>
      </c>
      <c r="E272" s="62">
        <f t="shared" si="214"/>
        <v>0</v>
      </c>
      <c r="F272" s="62">
        <f t="shared" si="214"/>
        <v>0</v>
      </c>
      <c r="G272" s="62">
        <f t="shared" si="214"/>
        <v>0</v>
      </c>
      <c r="H272" s="62">
        <f t="shared" si="214"/>
        <v>0</v>
      </c>
      <c r="I272" s="62">
        <f t="shared" si="214"/>
        <v>0</v>
      </c>
      <c r="J272" s="62">
        <f t="shared" si="214"/>
        <v>0</v>
      </c>
      <c r="K272" s="62">
        <f t="shared" si="214"/>
        <v>0</v>
      </c>
      <c r="L272" s="62">
        <f t="shared" si="214"/>
        <v>0</v>
      </c>
      <c r="M272" s="62">
        <f t="shared" si="214"/>
        <v>0</v>
      </c>
      <c r="N272" s="62">
        <f t="shared" si="214"/>
        <v>0</v>
      </c>
      <c r="O272" s="62">
        <f t="shared" si="214"/>
        <v>0</v>
      </c>
      <c r="P272" s="62">
        <f t="shared" si="214"/>
        <v>0</v>
      </c>
      <c r="Q272" s="62">
        <f t="shared" si="214"/>
        <v>0</v>
      </c>
      <c r="R272" s="62">
        <f t="shared" si="214"/>
        <v>0</v>
      </c>
      <c r="S272" s="62">
        <f t="shared" si="214"/>
        <v>0</v>
      </c>
      <c r="T272" s="62">
        <f t="shared" si="214"/>
        <v>0</v>
      </c>
      <c r="U272" s="62">
        <f t="shared" si="214"/>
        <v>0</v>
      </c>
      <c r="V272" s="62">
        <f t="shared" si="214"/>
        <v>0</v>
      </c>
      <c r="W272" s="62">
        <f t="shared" si="214"/>
        <v>0</v>
      </c>
      <c r="X272" s="62">
        <f t="shared" si="214"/>
        <v>0</v>
      </c>
      <c r="Y272" s="62">
        <f t="shared" si="214"/>
        <v>0</v>
      </c>
      <c r="Z272" s="62">
        <f t="shared" si="214"/>
        <v>0</v>
      </c>
      <c r="AA272" s="62">
        <f t="shared" si="214"/>
        <v>0</v>
      </c>
      <c r="AB272" s="62">
        <f t="shared" si="214"/>
        <v>0</v>
      </c>
      <c r="AC272" s="62">
        <f t="shared" si="214"/>
        <v>0</v>
      </c>
    </row>
    <row r="273" spans="1:29" ht="15.75" thickBot="1" x14ac:dyDescent="0.3">
      <c r="A273" s="31" t="s">
        <v>209</v>
      </c>
      <c r="B273" s="64">
        <f>B264+B265+B266+B267+B268+B269+B270+B271+B272</f>
        <v>4134852.688039266</v>
      </c>
      <c r="C273" s="64">
        <f t="shared" ref="C273:AC273" si="215">C264+C265+C266+C267+C268+C269+C270+C271+C272</f>
        <v>4130033.2244115053</v>
      </c>
      <c r="D273" s="64">
        <f t="shared" si="215"/>
        <v>4123190.2769388142</v>
      </c>
      <c r="E273" s="64">
        <f t="shared" si="215"/>
        <v>4113518.4282514341</v>
      </c>
      <c r="F273" s="64">
        <f t="shared" si="215"/>
        <v>4099939.327188957</v>
      </c>
      <c r="G273" s="64">
        <f t="shared" si="215"/>
        <v>4081059.4473457849</v>
      </c>
      <c r="H273" s="64">
        <f t="shared" si="215"/>
        <v>4055175.8383785058</v>
      </c>
      <c r="I273" s="64">
        <f t="shared" si="215"/>
        <v>4020391.0415018876</v>
      </c>
      <c r="J273" s="64">
        <f t="shared" si="215"/>
        <v>3985912.9839063603</v>
      </c>
      <c r="K273" s="64">
        <f t="shared" si="215"/>
        <v>3939643.0301830033</v>
      </c>
      <c r="L273" s="64">
        <f t="shared" si="215"/>
        <v>3881922.2510607094</v>
      </c>
      <c r="M273" s="64">
        <f t="shared" si="215"/>
        <v>3815215.5994913979</v>
      </c>
      <c r="N273" s="64">
        <f t="shared" si="215"/>
        <v>3744181.4299947405</v>
      </c>
      <c r="O273" s="64">
        <f t="shared" si="215"/>
        <v>3657773.1478478457</v>
      </c>
      <c r="P273" s="64">
        <f t="shared" si="215"/>
        <v>3578576.2056818446</v>
      </c>
      <c r="Q273" s="64">
        <f t="shared" si="215"/>
        <v>3510369.8513616486</v>
      </c>
      <c r="R273" s="64">
        <f t="shared" si="215"/>
        <v>3454554.5286512589</v>
      </c>
      <c r="S273" s="64">
        <f t="shared" si="215"/>
        <v>3410544.209803449</v>
      </c>
      <c r="T273" s="64">
        <f t="shared" si="215"/>
        <v>3376604.6764088976</v>
      </c>
      <c r="U273" s="64">
        <f t="shared" si="215"/>
        <v>3350629.4970050622</v>
      </c>
      <c r="V273" s="64">
        <f t="shared" si="215"/>
        <v>3330631.0876033185</v>
      </c>
      <c r="W273" s="64">
        <f t="shared" si="215"/>
        <v>3314958.6083611278</v>
      </c>
      <c r="X273" s="64">
        <f t="shared" si="215"/>
        <v>3302340.5587340705</v>
      </c>
      <c r="Y273" s="64">
        <f t="shared" si="215"/>
        <v>3291843.0555260172</v>
      </c>
      <c r="Z273" s="64">
        <f t="shared" si="215"/>
        <v>3282800.9868593798</v>
      </c>
      <c r="AA273" s="64">
        <f t="shared" si="215"/>
        <v>3274750.154533877</v>
      </c>
      <c r="AB273" s="64">
        <f t="shared" si="215"/>
        <v>3267370.9006078178</v>
      </c>
      <c r="AC273" s="64">
        <f t="shared" si="215"/>
        <v>3260445.0578148561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6">A264</f>
        <v>Capex vehicle</v>
      </c>
      <c r="B276" s="65">
        <f>((1+B249)^B256)*B249/(((1+B249)^B256)-1)*(B245)/B261</f>
        <v>4.8601077594228057</v>
      </c>
      <c r="C276" s="65">
        <f t="shared" ref="C276:AC276" si="217">((1+C249)^C256)*C249/(((1+C249)^C256)-1)*(C245)/C261</f>
        <v>4.8497541098356427</v>
      </c>
      <c r="D276" s="65">
        <f t="shared" si="217"/>
        <v>4.8350534116360544</v>
      </c>
      <c r="E276" s="65">
        <f t="shared" si="217"/>
        <v>4.8142753873778386</v>
      </c>
      <c r="F276" s="65">
        <f t="shared" si="217"/>
        <v>4.7851034161859127</v>
      </c>
      <c r="G276" s="65">
        <f t="shared" si="217"/>
        <v>4.7445437864756714</v>
      </c>
      <c r="H276" s="65">
        <f t="shared" si="217"/>
        <v>4.6889380514816965</v>
      </c>
      <c r="I276" s="65">
        <f t="shared" si="217"/>
        <v>4.6142099021194625</v>
      </c>
      <c r="J276" s="65">
        <f t="shared" si="217"/>
        <v>4.5165257744862721</v>
      </c>
      <c r="K276" s="65">
        <f t="shared" si="217"/>
        <v>4.3935091264928241</v>
      </c>
      <c r="L276" s="65">
        <f t="shared" si="217"/>
        <v>4.2458926800941192</v>
      </c>
      <c r="M276" s="65">
        <f t="shared" si="217"/>
        <v>4.0789718916073303</v>
      </c>
      <c r="N276" s="65">
        <f t="shared" si="217"/>
        <v>3.9027543000605887</v>
      </c>
      <c r="O276" s="65">
        <f t="shared" si="217"/>
        <v>3.7300043411097277</v>
      </c>
      <c r="P276" s="65">
        <f t="shared" si="217"/>
        <v>3.5727464976685668</v>
      </c>
      <c r="Q276" s="65">
        <f t="shared" si="217"/>
        <v>3.4390997246911277</v>
      </c>
      <c r="R276" s="65">
        <f t="shared" si="217"/>
        <v>3.3320725943171574</v>
      </c>
      <c r="S276" s="65">
        <f t="shared" si="217"/>
        <v>3.2504061436387905</v>
      </c>
      <c r="T276" s="65">
        <f t="shared" si="217"/>
        <v>3.1903747527313779</v>
      </c>
      <c r="U276" s="65">
        <f t="shared" si="217"/>
        <v>3.147453176686561</v>
      </c>
      <c r="V276" s="65">
        <f t="shared" si="217"/>
        <v>3.1173714905224945</v>
      </c>
      <c r="W276" s="65">
        <f t="shared" si="217"/>
        <v>3.0965831964181936</v>
      </c>
      <c r="X276" s="65">
        <f t="shared" si="217"/>
        <v>3.0823567308421902</v>
      </c>
      <c r="Y276" s="65">
        <f t="shared" si="217"/>
        <v>3.0726858333234324</v>
      </c>
      <c r="Z276" s="65">
        <f t="shared" si="217"/>
        <v>3.0661416445844814</v>
      </c>
      <c r="AA276" s="65">
        <f t="shared" si="217"/>
        <v>3.0617269280289179</v>
      </c>
      <c r="AB276" s="65">
        <f t="shared" si="217"/>
        <v>3.058754962774163</v>
      </c>
      <c r="AC276" s="65">
        <f t="shared" si="217"/>
        <v>3.0567570602686231</v>
      </c>
    </row>
    <row r="277" spans="1:29" x14ac:dyDescent="0.25">
      <c r="A277" s="30" t="str">
        <f t="shared" si="216"/>
        <v>Residual value (vehicle)</v>
      </c>
      <c r="B277" s="66">
        <f>((1+B249)^B256)*B249/(((1+B249)^B256)-1)*(B246)/B261</f>
        <v>-0.24703557911170351</v>
      </c>
      <c r="C277" s="66">
        <f t="shared" ref="C277:AC277" si="218">((1+C249)^C256)*C249/(((1+C249)^C256)-1)*(C246)/C261</f>
        <v>-0.24824350489687252</v>
      </c>
      <c r="D277" s="66">
        <f t="shared" si="218"/>
        <v>-0.24995858635349122</v>
      </c>
      <c r="E277" s="66">
        <f t="shared" si="218"/>
        <v>-0.25238268918361639</v>
      </c>
      <c r="F277" s="66">
        <f t="shared" si="218"/>
        <v>-0.25578608582267437</v>
      </c>
      <c r="G277" s="66">
        <f t="shared" si="218"/>
        <v>-0.26051804262220252</v>
      </c>
      <c r="H277" s="66">
        <f t="shared" si="218"/>
        <v>-0.26700537837149957</v>
      </c>
      <c r="I277" s="66">
        <f t="shared" si="218"/>
        <v>-0.27572366246376023</v>
      </c>
      <c r="J277" s="66">
        <f t="shared" si="218"/>
        <v>-0.28712014402096564</v>
      </c>
      <c r="K277" s="66">
        <f t="shared" si="218"/>
        <v>-0.301472086286868</v>
      </c>
      <c r="L277" s="66">
        <f t="shared" si="218"/>
        <v>-0.31869400503338358</v>
      </c>
      <c r="M277" s="66">
        <f t="shared" si="218"/>
        <v>-0.33816809702350897</v>
      </c>
      <c r="N277" s="66">
        <f t="shared" si="218"/>
        <v>-0.35872681603729545</v>
      </c>
      <c r="O277" s="66">
        <f t="shared" si="218"/>
        <v>-0.378880977914896</v>
      </c>
      <c r="P277" s="66">
        <f t="shared" si="218"/>
        <v>-0.39722772631636477</v>
      </c>
      <c r="Q277" s="66">
        <f t="shared" si="218"/>
        <v>-0.41281984983039921</v>
      </c>
      <c r="R277" s="66">
        <f t="shared" si="218"/>
        <v>-0.42530634837402914</v>
      </c>
      <c r="S277" s="66">
        <f t="shared" si="218"/>
        <v>-0.43483410095317204</v>
      </c>
      <c r="T277" s="66">
        <f t="shared" si="218"/>
        <v>-0.44183776322570334</v>
      </c>
      <c r="U277" s="66">
        <f t="shared" si="218"/>
        <v>-0.44684528043093191</v>
      </c>
      <c r="V277" s="66">
        <f t="shared" si="218"/>
        <v>-0.45035481048340636</v>
      </c>
      <c r="W277" s="66">
        <f t="shared" si="218"/>
        <v>-0.45278011146224156</v>
      </c>
      <c r="X277" s="66">
        <f t="shared" si="218"/>
        <v>-0.45443986577944195</v>
      </c>
      <c r="Y277" s="66">
        <f t="shared" si="218"/>
        <v>-0.45556813715663036</v>
      </c>
      <c r="Z277" s="66">
        <f t="shared" si="218"/>
        <v>-0.45633162584284143</v>
      </c>
      <c r="AA277" s="66">
        <f t="shared" si="218"/>
        <v>-0.45684667610765711</v>
      </c>
      <c r="AB277" s="66">
        <f t="shared" si="218"/>
        <v>-0.45719340538737846</v>
      </c>
      <c r="AC277" s="66">
        <f t="shared" si="218"/>
        <v>-0.45742649401302482</v>
      </c>
    </row>
    <row r="278" spans="1:29" x14ac:dyDescent="0.25">
      <c r="A278" s="30" t="str">
        <f t="shared" si="216"/>
        <v>Capex costumization</v>
      </c>
      <c r="B278" s="66">
        <f>((1+B249)^B257)*B249/(((1+B249)^B257)-1)*(B247)/B261</f>
        <v>1.1395907684713287</v>
      </c>
      <c r="C278" s="66">
        <f t="shared" ref="C278:AC278" si="219">((1+C249)^C257)*C249/(((1+C249)^C257)-1)*(C247)/C261</f>
        <v>1.1395907684713287</v>
      </c>
      <c r="D278" s="66">
        <f t="shared" si="219"/>
        <v>1.1395907684713287</v>
      </c>
      <c r="E278" s="66">
        <f t="shared" si="219"/>
        <v>1.1395907684713287</v>
      </c>
      <c r="F278" s="66">
        <f t="shared" si="219"/>
        <v>1.1395907684713287</v>
      </c>
      <c r="G278" s="66">
        <f t="shared" si="219"/>
        <v>1.1395907684713287</v>
      </c>
      <c r="H278" s="66">
        <f t="shared" si="219"/>
        <v>1.1395907684713287</v>
      </c>
      <c r="I278" s="66">
        <f t="shared" si="219"/>
        <v>1.1395907684713287</v>
      </c>
      <c r="J278" s="66">
        <f t="shared" si="219"/>
        <v>1.1395907684713287</v>
      </c>
      <c r="K278" s="66">
        <f t="shared" si="219"/>
        <v>1.1395907684713287</v>
      </c>
      <c r="L278" s="66">
        <f t="shared" si="219"/>
        <v>1.1395907684713287</v>
      </c>
      <c r="M278" s="66">
        <f t="shared" si="219"/>
        <v>1.1395907684713287</v>
      </c>
      <c r="N278" s="66">
        <f t="shared" si="219"/>
        <v>1.1395907684713287</v>
      </c>
      <c r="O278" s="66">
        <f t="shared" si="219"/>
        <v>1.1395907684713287</v>
      </c>
      <c r="P278" s="66">
        <f t="shared" si="219"/>
        <v>1.1395907684713287</v>
      </c>
      <c r="Q278" s="66">
        <f t="shared" si="219"/>
        <v>1.1395907684713287</v>
      </c>
      <c r="R278" s="66">
        <f t="shared" si="219"/>
        <v>1.1395907684713287</v>
      </c>
      <c r="S278" s="66">
        <f t="shared" si="219"/>
        <v>1.1395907684713287</v>
      </c>
      <c r="T278" s="66">
        <f t="shared" si="219"/>
        <v>1.1395907684713287</v>
      </c>
      <c r="U278" s="66">
        <f t="shared" si="219"/>
        <v>1.1395907684713287</v>
      </c>
      <c r="V278" s="66">
        <f t="shared" si="219"/>
        <v>1.1395907684713287</v>
      </c>
      <c r="W278" s="66">
        <f t="shared" si="219"/>
        <v>1.1395907684713287</v>
      </c>
      <c r="X278" s="66">
        <f t="shared" si="219"/>
        <v>1.1395907684713287</v>
      </c>
      <c r="Y278" s="66">
        <f t="shared" si="219"/>
        <v>1.1395907684713287</v>
      </c>
      <c r="Z278" s="66">
        <f t="shared" si="219"/>
        <v>1.1395907684713287</v>
      </c>
      <c r="AA278" s="66">
        <f t="shared" si="219"/>
        <v>1.1395907684713287</v>
      </c>
      <c r="AB278" s="66">
        <f t="shared" si="219"/>
        <v>1.1395907684713287</v>
      </c>
      <c r="AC278" s="66">
        <f t="shared" si="219"/>
        <v>1.1395907684713287</v>
      </c>
    </row>
    <row r="279" spans="1:29" x14ac:dyDescent="0.25">
      <c r="A279" s="30" t="str">
        <f t="shared" si="216"/>
        <v>Residual value (costumization)</v>
      </c>
      <c r="B279" s="66">
        <f>((1+B249)^B257)*B249/(((1+B249)^B257)-1)*(B248)/B261</f>
        <v>-5.6979538423566428E-2</v>
      </c>
      <c r="C279" s="66">
        <f t="shared" ref="C279:AC279" si="220">((1+C249)^C257)*C249/(((1+C249)^C257)-1)*(C248)/C261</f>
        <v>-5.6979538423566428E-2</v>
      </c>
      <c r="D279" s="66">
        <f t="shared" si="220"/>
        <v>-5.6979538423566428E-2</v>
      </c>
      <c r="E279" s="66">
        <f t="shared" si="220"/>
        <v>-5.6979538423566428E-2</v>
      </c>
      <c r="F279" s="66">
        <f t="shared" si="220"/>
        <v>-5.6979538423566428E-2</v>
      </c>
      <c r="G279" s="66">
        <f t="shared" si="220"/>
        <v>-5.6979538423566428E-2</v>
      </c>
      <c r="H279" s="66">
        <f t="shared" si="220"/>
        <v>-5.6979538423566428E-2</v>
      </c>
      <c r="I279" s="66">
        <f t="shared" si="220"/>
        <v>-5.6979538423566428E-2</v>
      </c>
      <c r="J279" s="66">
        <f t="shared" si="220"/>
        <v>-5.6979538423566428E-2</v>
      </c>
      <c r="K279" s="66">
        <f t="shared" si="220"/>
        <v>-5.6979538423566428E-2</v>
      </c>
      <c r="L279" s="66">
        <f t="shared" si="220"/>
        <v>-5.6979538423566428E-2</v>
      </c>
      <c r="M279" s="66">
        <f t="shared" si="220"/>
        <v>-5.6979538423566428E-2</v>
      </c>
      <c r="N279" s="66">
        <f t="shared" si="220"/>
        <v>-5.6979538423566428E-2</v>
      </c>
      <c r="O279" s="66">
        <f t="shared" si="220"/>
        <v>-5.6979538423566428E-2</v>
      </c>
      <c r="P279" s="66">
        <f t="shared" si="220"/>
        <v>-5.6979538423566428E-2</v>
      </c>
      <c r="Q279" s="66">
        <f t="shared" si="220"/>
        <v>-5.6979538423566428E-2</v>
      </c>
      <c r="R279" s="66">
        <f t="shared" si="220"/>
        <v>-5.6979538423566428E-2</v>
      </c>
      <c r="S279" s="66">
        <f t="shared" si="220"/>
        <v>-5.6979538423566428E-2</v>
      </c>
      <c r="T279" s="66">
        <f t="shared" si="220"/>
        <v>-5.6979538423566428E-2</v>
      </c>
      <c r="U279" s="66">
        <f t="shared" si="220"/>
        <v>-5.6979538423566428E-2</v>
      </c>
      <c r="V279" s="66">
        <f t="shared" si="220"/>
        <v>-5.6979538423566428E-2</v>
      </c>
      <c r="W279" s="66">
        <f t="shared" si="220"/>
        <v>-5.6979538423566428E-2</v>
      </c>
      <c r="X279" s="66">
        <f t="shared" si="220"/>
        <v>-5.6979538423566428E-2</v>
      </c>
      <c r="Y279" s="66">
        <f t="shared" si="220"/>
        <v>-5.6979538423566428E-2</v>
      </c>
      <c r="Z279" s="66">
        <f t="shared" si="220"/>
        <v>-5.6979538423566428E-2</v>
      </c>
      <c r="AA279" s="66">
        <f t="shared" si="220"/>
        <v>-5.6979538423566428E-2</v>
      </c>
      <c r="AB279" s="66">
        <f t="shared" si="220"/>
        <v>-5.6979538423566428E-2</v>
      </c>
      <c r="AC279" s="66">
        <f t="shared" si="220"/>
        <v>-5.6979538423566428E-2</v>
      </c>
    </row>
    <row r="280" spans="1:29" x14ac:dyDescent="0.25">
      <c r="A280" s="30" t="str">
        <f t="shared" si="216"/>
        <v>Opex fix (admin, crew, insurance)</v>
      </c>
      <c r="B280" s="66">
        <f>B250/B261</f>
        <v>3.4173669467787113</v>
      </c>
      <c r="C280" s="66">
        <f t="shared" ref="C280:AC280" si="221">C250/C261</f>
        <v>3.4173669467787113</v>
      </c>
      <c r="D280" s="66">
        <f t="shared" si="221"/>
        <v>3.4173669467787113</v>
      </c>
      <c r="E280" s="66">
        <f t="shared" si="221"/>
        <v>3.4173669467787113</v>
      </c>
      <c r="F280" s="66">
        <f t="shared" si="221"/>
        <v>3.4173669467787113</v>
      </c>
      <c r="G280" s="66">
        <f t="shared" si="221"/>
        <v>3.4173669467787113</v>
      </c>
      <c r="H280" s="66">
        <f t="shared" si="221"/>
        <v>3.4173669467787113</v>
      </c>
      <c r="I280" s="66">
        <f t="shared" si="221"/>
        <v>3.4173669467787113</v>
      </c>
      <c r="J280" s="66">
        <f t="shared" si="221"/>
        <v>3.4173669467787113</v>
      </c>
      <c r="K280" s="66">
        <f t="shared" si="221"/>
        <v>3.4173669467787113</v>
      </c>
      <c r="L280" s="66">
        <f t="shared" si="221"/>
        <v>3.4173669467787113</v>
      </c>
      <c r="M280" s="66">
        <f t="shared" si="221"/>
        <v>3.4173669467787113</v>
      </c>
      <c r="N280" s="66">
        <f t="shared" si="221"/>
        <v>3.4173669467787113</v>
      </c>
      <c r="O280" s="66">
        <f t="shared" si="221"/>
        <v>3.4173669467787113</v>
      </c>
      <c r="P280" s="66">
        <f t="shared" si="221"/>
        <v>3.4173669467787113</v>
      </c>
      <c r="Q280" s="66">
        <f t="shared" si="221"/>
        <v>3.4173669467787113</v>
      </c>
      <c r="R280" s="66">
        <f t="shared" si="221"/>
        <v>3.4173669467787113</v>
      </c>
      <c r="S280" s="66">
        <f t="shared" si="221"/>
        <v>3.4173669467787113</v>
      </c>
      <c r="T280" s="66">
        <f t="shared" si="221"/>
        <v>3.4173669467787113</v>
      </c>
      <c r="U280" s="66">
        <f t="shared" si="221"/>
        <v>3.4173669467787113</v>
      </c>
      <c r="V280" s="66">
        <f t="shared" si="221"/>
        <v>3.4173669467787113</v>
      </c>
      <c r="W280" s="66">
        <f t="shared" si="221"/>
        <v>3.4173669467787113</v>
      </c>
      <c r="X280" s="66">
        <f t="shared" si="221"/>
        <v>3.4173669467787113</v>
      </c>
      <c r="Y280" s="66">
        <f t="shared" si="221"/>
        <v>3.4173669467787113</v>
      </c>
      <c r="Z280" s="66">
        <f t="shared" si="221"/>
        <v>3.4173669467787113</v>
      </c>
      <c r="AA280" s="66">
        <f t="shared" si="221"/>
        <v>3.4173669467787113</v>
      </c>
      <c r="AB280" s="66">
        <f t="shared" si="221"/>
        <v>3.4173669467787113</v>
      </c>
      <c r="AC280" s="66">
        <f t="shared" si="221"/>
        <v>3.4173669467787113</v>
      </c>
    </row>
    <row r="281" spans="1:29" x14ac:dyDescent="0.25">
      <c r="A281" s="30" t="str">
        <f t="shared" si="216"/>
        <v>Opex maintenance &amp; repair</v>
      </c>
      <c r="B281" s="66">
        <f>B251/B261</f>
        <v>7.246856904861251</v>
      </c>
      <c r="C281" s="66">
        <f t="shared" ref="C281:AC281" si="222">C251/C261</f>
        <v>7.2314186839996299</v>
      </c>
      <c r="D281" s="66">
        <f t="shared" si="222"/>
        <v>7.2094986234726957</v>
      </c>
      <c r="E281" s="66">
        <f t="shared" si="222"/>
        <v>7.1785167243012031</v>
      </c>
      <c r="F281" s="66">
        <f t="shared" si="222"/>
        <v>7.1350186968241909</v>
      </c>
      <c r="G281" s="66">
        <f t="shared" si="222"/>
        <v>7.0745406483582061</v>
      </c>
      <c r="H281" s="66">
        <f t="shared" si="222"/>
        <v>6.9916275063996354</v>
      </c>
      <c r="I281" s="66">
        <f t="shared" si="222"/>
        <v>6.8802011282204152</v>
      </c>
      <c r="J281" s="66">
        <f t="shared" si="222"/>
        <v>6.7345453259470114</v>
      </c>
      <c r="K281" s="66">
        <f t="shared" si="222"/>
        <v>6.5511164620096221</v>
      </c>
      <c r="L281" s="66">
        <f t="shared" si="222"/>
        <v>6.3310070906111209</v>
      </c>
      <c r="M281" s="66">
        <f t="shared" si="222"/>
        <v>6.0821132124321657</v>
      </c>
      <c r="N281" s="66">
        <f t="shared" si="222"/>
        <v>5.8193569664245297</v>
      </c>
      <c r="O281" s="66">
        <f t="shared" si="222"/>
        <v>5.56177127186655</v>
      </c>
      <c r="P281" s="66">
        <f t="shared" si="222"/>
        <v>5.3272857120812445</v>
      </c>
      <c r="Q281" s="66">
        <f t="shared" si="222"/>
        <v>5.1280063776495748</v>
      </c>
      <c r="R281" s="66">
        <f t="shared" si="222"/>
        <v>4.9684193196765616</v>
      </c>
      <c r="S281" s="66">
        <f t="shared" si="222"/>
        <v>4.8466473114640678</v>
      </c>
      <c r="T281" s="66">
        <f t="shared" si="222"/>
        <v>4.7571351192987104</v>
      </c>
      <c r="U281" s="66">
        <f t="shared" si="222"/>
        <v>4.6931351968433184</v>
      </c>
      <c r="V281" s="66">
        <f t="shared" si="222"/>
        <v>4.6482807026882691</v>
      </c>
      <c r="W281" s="66">
        <f t="shared" si="222"/>
        <v>4.6172834902544588</v>
      </c>
      <c r="X281" s="66">
        <f t="shared" si="222"/>
        <v>4.5960705531356583</v>
      </c>
      <c r="Y281" s="66">
        <f t="shared" si="222"/>
        <v>4.5816503768907726</v>
      </c>
      <c r="Z281" s="66">
        <f t="shared" si="222"/>
        <v>4.5718924040849966</v>
      </c>
      <c r="AA281" s="66">
        <f t="shared" si="222"/>
        <v>4.5653096654426975</v>
      </c>
      <c r="AB281" s="66">
        <f t="shared" si="222"/>
        <v>4.5608781984889726</v>
      </c>
      <c r="AC281" s="66">
        <f t="shared" si="222"/>
        <v>4.5578991465246528</v>
      </c>
    </row>
    <row r="282" spans="1:29" x14ac:dyDescent="0.25">
      <c r="A282" s="30" t="str">
        <f t="shared" si="216"/>
        <v>Opex var (mode-fees, shunting)</v>
      </c>
      <c r="B282" s="66">
        <f>B252*B261/B261</f>
        <v>3.6414565826330532</v>
      </c>
      <c r="C282" s="66">
        <f t="shared" ref="C282:AC282" si="223">C252*C261/C261</f>
        <v>3.6414565826330532</v>
      </c>
      <c r="D282" s="66">
        <f t="shared" si="223"/>
        <v>3.6414565826330532</v>
      </c>
      <c r="E282" s="66">
        <f t="shared" si="223"/>
        <v>3.6414565826330532</v>
      </c>
      <c r="F282" s="66">
        <f t="shared" si="223"/>
        <v>3.6414565826330532</v>
      </c>
      <c r="G282" s="66">
        <f t="shared" si="223"/>
        <v>3.6414565826330532</v>
      </c>
      <c r="H282" s="66">
        <f t="shared" si="223"/>
        <v>3.6414565826330532</v>
      </c>
      <c r="I282" s="66">
        <f t="shared" si="223"/>
        <v>3.6414565826330532</v>
      </c>
      <c r="J282" s="66">
        <f t="shared" si="223"/>
        <v>3.6414565826330532</v>
      </c>
      <c r="K282" s="66">
        <f t="shared" si="223"/>
        <v>3.6414565826330532</v>
      </c>
      <c r="L282" s="66">
        <f t="shared" si="223"/>
        <v>3.6414565826330532</v>
      </c>
      <c r="M282" s="66">
        <f t="shared" si="223"/>
        <v>3.6414565826330532</v>
      </c>
      <c r="N282" s="66">
        <f t="shared" si="223"/>
        <v>3.6414565826330532</v>
      </c>
      <c r="O282" s="66">
        <f t="shared" si="223"/>
        <v>3.6414565826330532</v>
      </c>
      <c r="P282" s="66">
        <f t="shared" si="223"/>
        <v>3.6414565826330532</v>
      </c>
      <c r="Q282" s="66">
        <f t="shared" si="223"/>
        <v>3.6414565826330532</v>
      </c>
      <c r="R282" s="66">
        <f t="shared" si="223"/>
        <v>3.6414565826330532</v>
      </c>
      <c r="S282" s="66">
        <f t="shared" si="223"/>
        <v>3.6414565826330532</v>
      </c>
      <c r="T282" s="66">
        <f t="shared" si="223"/>
        <v>3.6414565826330532</v>
      </c>
      <c r="U282" s="66">
        <f t="shared" si="223"/>
        <v>3.6414565826330532</v>
      </c>
      <c r="V282" s="66">
        <f t="shared" si="223"/>
        <v>3.6414565826330532</v>
      </c>
      <c r="W282" s="66">
        <f t="shared" si="223"/>
        <v>3.6414565826330532</v>
      </c>
      <c r="X282" s="66">
        <f t="shared" si="223"/>
        <v>3.6414565826330532</v>
      </c>
      <c r="Y282" s="66">
        <f t="shared" si="223"/>
        <v>3.6414565826330532</v>
      </c>
      <c r="Z282" s="66">
        <f t="shared" si="223"/>
        <v>3.6414565826330532</v>
      </c>
      <c r="AA282" s="66">
        <f t="shared" si="223"/>
        <v>3.6414565826330532</v>
      </c>
      <c r="AB282" s="66">
        <f t="shared" si="223"/>
        <v>3.6414565826330532</v>
      </c>
      <c r="AC282" s="66">
        <f t="shared" si="223"/>
        <v>3.6414565826330532</v>
      </c>
    </row>
    <row r="283" spans="1:29" x14ac:dyDescent="0.25">
      <c r="A283" s="30" t="str">
        <f t="shared" si="216"/>
        <v>Fuel Cost</v>
      </c>
      <c r="B283" s="66">
        <f>B253*B254*B261/B261</f>
        <v>3.1630769847197495</v>
      </c>
      <c r="C283" s="66">
        <f t="shared" ref="C283:AC283" si="224">C253*C254*C261/C261</f>
        <v>3.1630769847197495</v>
      </c>
      <c r="D283" s="66">
        <f t="shared" si="224"/>
        <v>3.1630769847197495</v>
      </c>
      <c r="E283" s="66">
        <f t="shared" si="224"/>
        <v>3.1630769847197495</v>
      </c>
      <c r="F283" s="66">
        <f t="shared" si="224"/>
        <v>3.1630769847197495</v>
      </c>
      <c r="G283" s="66">
        <f t="shared" si="224"/>
        <v>3.1630769847197495</v>
      </c>
      <c r="H283" s="66">
        <f t="shared" si="224"/>
        <v>3.1630769847197495</v>
      </c>
      <c r="I283" s="66">
        <f t="shared" si="224"/>
        <v>3.1630769847197495</v>
      </c>
      <c r="J283" s="66">
        <f t="shared" si="224"/>
        <v>3.2246590118948792</v>
      </c>
      <c r="K283" s="66">
        <f t="shared" si="224"/>
        <v>3.2862410390700099</v>
      </c>
      <c r="L283" s="66">
        <f t="shared" si="224"/>
        <v>3.3478230662451396</v>
      </c>
      <c r="M283" s="66">
        <f t="shared" si="224"/>
        <v>3.4094050934202693</v>
      </c>
      <c r="N283" s="66">
        <f t="shared" si="224"/>
        <v>3.4709871205953995</v>
      </c>
      <c r="O283" s="66">
        <f t="shared" si="224"/>
        <v>3.4373969239544193</v>
      </c>
      <c r="P283" s="66">
        <f t="shared" si="224"/>
        <v>3.4038067273134391</v>
      </c>
      <c r="Q283" s="66">
        <f t="shared" si="224"/>
        <v>3.370216530672459</v>
      </c>
      <c r="R283" s="66">
        <f t="shared" si="224"/>
        <v>3.3366263340314792</v>
      </c>
      <c r="S283" s="66">
        <f t="shared" si="224"/>
        <v>3.3030361373904995</v>
      </c>
      <c r="T283" s="66">
        <f t="shared" si="224"/>
        <v>3.2694459407495193</v>
      </c>
      <c r="U283" s="66">
        <f t="shared" si="224"/>
        <v>3.2358557441085396</v>
      </c>
      <c r="V283" s="66">
        <f t="shared" si="224"/>
        <v>3.2022655474675585</v>
      </c>
      <c r="W283" s="66">
        <f t="shared" si="224"/>
        <v>3.1686753508265793</v>
      </c>
      <c r="X283" s="66">
        <f t="shared" si="224"/>
        <v>3.1350851541856</v>
      </c>
      <c r="Y283" s="66">
        <f t="shared" si="224"/>
        <v>3.1014949575446198</v>
      </c>
      <c r="Z283" s="66">
        <f t="shared" si="224"/>
        <v>3.0679047609036396</v>
      </c>
      <c r="AA283" s="66">
        <f t="shared" si="224"/>
        <v>3.034314564262659</v>
      </c>
      <c r="AB283" s="66">
        <f t="shared" si="224"/>
        <v>3.0007243676216788</v>
      </c>
      <c r="AC283" s="66">
        <f t="shared" si="224"/>
        <v>2.9671341709807</v>
      </c>
    </row>
    <row r="284" spans="1:29" ht="15.75" thickBot="1" x14ac:dyDescent="0.3">
      <c r="A284" s="59" t="str">
        <f t="shared" ref="A284" si="225">A272</f>
        <v>Emission Cost</v>
      </c>
      <c r="B284" s="66">
        <f>B255</f>
        <v>0</v>
      </c>
      <c r="C284" s="66">
        <f t="shared" ref="C284:AC284" si="226">C255</f>
        <v>0</v>
      </c>
      <c r="D284" s="66">
        <f t="shared" si="226"/>
        <v>0</v>
      </c>
      <c r="E284" s="66">
        <f t="shared" si="226"/>
        <v>0</v>
      </c>
      <c r="F284" s="66">
        <f t="shared" si="226"/>
        <v>0</v>
      </c>
      <c r="G284" s="66">
        <f t="shared" si="226"/>
        <v>0</v>
      </c>
      <c r="H284" s="66">
        <f t="shared" si="226"/>
        <v>0</v>
      </c>
      <c r="I284" s="66">
        <f t="shared" si="226"/>
        <v>0</v>
      </c>
      <c r="J284" s="66">
        <f t="shared" si="226"/>
        <v>0</v>
      </c>
      <c r="K284" s="66">
        <f t="shared" si="226"/>
        <v>0</v>
      </c>
      <c r="L284" s="66">
        <f t="shared" si="226"/>
        <v>0</v>
      </c>
      <c r="M284" s="66">
        <f t="shared" si="226"/>
        <v>0</v>
      </c>
      <c r="N284" s="66">
        <f t="shared" si="226"/>
        <v>0</v>
      </c>
      <c r="O284" s="66">
        <f t="shared" si="226"/>
        <v>0</v>
      </c>
      <c r="P284" s="66">
        <f t="shared" si="226"/>
        <v>0</v>
      </c>
      <c r="Q284" s="66">
        <f t="shared" si="226"/>
        <v>0</v>
      </c>
      <c r="R284" s="66">
        <f t="shared" si="226"/>
        <v>0</v>
      </c>
      <c r="S284" s="66">
        <f t="shared" si="226"/>
        <v>0</v>
      </c>
      <c r="T284" s="66">
        <f t="shared" si="226"/>
        <v>0</v>
      </c>
      <c r="U284" s="66">
        <f t="shared" si="226"/>
        <v>0</v>
      </c>
      <c r="V284" s="66">
        <f t="shared" si="226"/>
        <v>0</v>
      </c>
      <c r="W284" s="66">
        <f t="shared" si="226"/>
        <v>0</v>
      </c>
      <c r="X284" s="66">
        <f t="shared" si="226"/>
        <v>0</v>
      </c>
      <c r="Y284" s="66">
        <f t="shared" si="226"/>
        <v>0</v>
      </c>
      <c r="Z284" s="66">
        <f t="shared" si="226"/>
        <v>0</v>
      </c>
      <c r="AA284" s="66">
        <f t="shared" si="226"/>
        <v>0</v>
      </c>
      <c r="AB284" s="66">
        <f t="shared" si="226"/>
        <v>0</v>
      </c>
      <c r="AC284" s="66">
        <f t="shared" si="226"/>
        <v>0</v>
      </c>
    </row>
    <row r="285" spans="1:29" ht="15.75" thickBot="1" x14ac:dyDescent="0.3">
      <c r="A285" s="31" t="s">
        <v>63</v>
      </c>
      <c r="B285" s="76">
        <f>B276+B277+B278-B279+B280+B281+B282+B283+B284</f>
        <v>23.278399906198764</v>
      </c>
      <c r="C285" s="76">
        <f t="shared" ref="C285:AC285" si="227">C276+C277+C278-C279+C280+C281+C282+C283+C284</f>
        <v>23.251400109964813</v>
      </c>
      <c r="D285" s="76">
        <f t="shared" si="227"/>
        <v>23.213064269781668</v>
      </c>
      <c r="E285" s="76">
        <f t="shared" si="227"/>
        <v>23.158880243521835</v>
      </c>
      <c r="F285" s="76">
        <f t="shared" si="227"/>
        <v>23.082806848213842</v>
      </c>
      <c r="G285" s="76">
        <f t="shared" si="227"/>
        <v>22.977037213238084</v>
      </c>
      <c r="H285" s="76">
        <f t="shared" si="227"/>
        <v>22.83203100053624</v>
      </c>
      <c r="I285" s="76">
        <f t="shared" si="227"/>
        <v>22.637158188902525</v>
      </c>
      <c r="J285" s="76">
        <f t="shared" si="227"/>
        <v>22.444003804613857</v>
      </c>
      <c r="K285" s="76">
        <f t="shared" si="227"/>
        <v>22.184788377592248</v>
      </c>
      <c r="L285" s="76">
        <f t="shared" si="227"/>
        <v>21.861422668223657</v>
      </c>
      <c r="M285" s="76">
        <f t="shared" si="227"/>
        <v>21.487715936742916</v>
      </c>
      <c r="N285" s="76">
        <f t="shared" si="227"/>
        <v>21.089765407349883</v>
      </c>
      <c r="O285" s="76">
        <f t="shared" si="227"/>
        <v>20.605685395322464</v>
      </c>
      <c r="P285" s="76">
        <f t="shared" si="227"/>
        <v>20.162005047053547</v>
      </c>
      <c r="Q285" s="76">
        <f t="shared" si="227"/>
        <v>19.779896619489421</v>
      </c>
      <c r="R285" s="76">
        <f t="shared" si="227"/>
        <v>19.46720573595783</v>
      </c>
      <c r="S285" s="76">
        <f t="shared" si="227"/>
        <v>19.220649327846843</v>
      </c>
      <c r="T285" s="76">
        <f t="shared" si="227"/>
        <v>19.030511885860562</v>
      </c>
      <c r="U285" s="76">
        <f t="shared" si="227"/>
        <v>18.884992673514148</v>
      </c>
      <c r="V285" s="76">
        <f t="shared" si="227"/>
        <v>18.772956766501576</v>
      </c>
      <c r="W285" s="76">
        <f t="shared" si="227"/>
        <v>18.685155762343651</v>
      </c>
      <c r="X285" s="76">
        <f t="shared" si="227"/>
        <v>18.614466408690667</v>
      </c>
      <c r="Y285" s="76">
        <f t="shared" si="227"/>
        <v>18.555656866908851</v>
      </c>
      <c r="Z285" s="76">
        <f t="shared" si="227"/>
        <v>18.505001020036936</v>
      </c>
      <c r="AA285" s="76">
        <f t="shared" si="227"/>
        <v>18.459898317933277</v>
      </c>
      <c r="AB285" s="76">
        <f t="shared" si="227"/>
        <v>18.418557959804097</v>
      </c>
      <c r="AC285" s="76">
        <f t="shared" si="227"/>
        <v>18.379757720067609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8">A264</f>
        <v>Capex vehicle</v>
      </c>
      <c r="B288" s="65">
        <f>((1+B249)^B256)*B249/(((1+B249)^B256)-1)*(B245)/B261/(B258)</f>
        <v>2.1696909640280381E-3</v>
      </c>
      <c r="C288" s="65">
        <f t="shared" ref="C288:AC288" si="229">((1+C249)^C256)*C249/(((1+C249)^C256)-1)*(C245)/C261/(C258)</f>
        <v>2.1650687990337689E-3</v>
      </c>
      <c r="D288" s="65">
        <f t="shared" si="229"/>
        <v>2.1585059873375245E-3</v>
      </c>
      <c r="E288" s="65">
        <f t="shared" si="229"/>
        <v>2.1492300836508209E-3</v>
      </c>
      <c r="F288" s="65">
        <f t="shared" si="229"/>
        <v>2.1362068822258539E-3</v>
      </c>
      <c r="G288" s="65">
        <f t="shared" si="229"/>
        <v>2.1180999046766392E-3</v>
      </c>
      <c r="H288" s="65">
        <f t="shared" si="229"/>
        <v>2.093275915840043E-3</v>
      </c>
      <c r="I288" s="65">
        <f t="shared" si="229"/>
        <v>2.0599151348747601E-3</v>
      </c>
      <c r="J288" s="65">
        <f t="shared" si="229"/>
        <v>2.0163061493242286E-3</v>
      </c>
      <c r="K288" s="65">
        <f t="shared" si="229"/>
        <v>1.9613880028985821E-3</v>
      </c>
      <c r="L288" s="65">
        <f t="shared" si="229"/>
        <v>1.8954878036134461E-3</v>
      </c>
      <c r="M288" s="65">
        <f t="shared" si="229"/>
        <v>1.8209695944675583E-3</v>
      </c>
      <c r="N288" s="65">
        <f t="shared" si="229"/>
        <v>1.7423010268127629E-3</v>
      </c>
      <c r="O288" s="65">
        <f t="shared" si="229"/>
        <v>1.6651805094239855E-3</v>
      </c>
      <c r="P288" s="65">
        <f t="shared" si="229"/>
        <v>1.5949761150306102E-3</v>
      </c>
      <c r="Q288" s="65">
        <f t="shared" si="229"/>
        <v>1.5353123770942534E-3</v>
      </c>
      <c r="R288" s="65">
        <f t="shared" si="229"/>
        <v>1.4875324081773025E-3</v>
      </c>
      <c r="S288" s="65">
        <f t="shared" si="229"/>
        <v>1.4510741712673173E-3</v>
      </c>
      <c r="T288" s="65">
        <f t="shared" si="229"/>
        <v>1.4242744431836509E-3</v>
      </c>
      <c r="U288" s="65">
        <f t="shared" si="229"/>
        <v>1.4051130253065005E-3</v>
      </c>
      <c r="V288" s="65">
        <f t="shared" si="229"/>
        <v>1.3916837011261137E-3</v>
      </c>
      <c r="W288" s="65">
        <f t="shared" si="229"/>
        <v>1.3824032126866935E-3</v>
      </c>
      <c r="X288" s="65">
        <f t="shared" si="229"/>
        <v>1.3760521119831207E-3</v>
      </c>
      <c r="Y288" s="65">
        <f t="shared" si="229"/>
        <v>1.3717347470193894E-3</v>
      </c>
      <c r="Z288" s="65">
        <f t="shared" si="229"/>
        <v>1.3688132341895007E-3</v>
      </c>
      <c r="AA288" s="65">
        <f t="shared" si="229"/>
        <v>1.3668423785843384E-3</v>
      </c>
      <c r="AB288" s="65">
        <f t="shared" si="229"/>
        <v>1.3655156083813228E-3</v>
      </c>
      <c r="AC288" s="65">
        <f t="shared" si="229"/>
        <v>1.364623687619921E-3</v>
      </c>
    </row>
    <row r="289" spans="1:29" x14ac:dyDescent="0.25">
      <c r="A289" s="30" t="str">
        <f t="shared" si="228"/>
        <v>Residual value (vehicle)</v>
      </c>
      <c r="B289" s="68">
        <f>((1+B249)^B256)*B249/(((1+B249)^B256)-1)*(B246)/B261/(B258)</f>
        <v>-1.1028374067486764E-4</v>
      </c>
      <c r="C289" s="68">
        <f t="shared" ref="C289:AC289" si="230">((1+C249)^C256)*C249/(((1+C249)^C256)-1)*(C246)/C261/(C258)</f>
        <v>-1.1082299325753238E-4</v>
      </c>
      <c r="D289" s="68">
        <f t="shared" si="230"/>
        <v>-1.115886546220943E-4</v>
      </c>
      <c r="E289" s="68">
        <f t="shared" si="230"/>
        <v>-1.1267084338554303E-4</v>
      </c>
      <c r="F289" s="68">
        <f t="shared" si="230"/>
        <v>-1.1419021688512248E-4</v>
      </c>
      <c r="G289" s="68">
        <f t="shared" si="230"/>
        <v>-1.1630269759919755E-4</v>
      </c>
      <c r="H289" s="68">
        <f t="shared" si="230"/>
        <v>-1.1919882963013374E-4</v>
      </c>
      <c r="I289" s="68">
        <f t="shared" si="230"/>
        <v>-1.230909207427501E-4</v>
      </c>
      <c r="J289" s="68">
        <f t="shared" si="230"/>
        <v>-1.2817863572364536E-4</v>
      </c>
      <c r="K289" s="68">
        <f t="shared" si="230"/>
        <v>-1.345857528066375E-4</v>
      </c>
      <c r="L289" s="68">
        <f t="shared" si="230"/>
        <v>-1.4227410938990337E-4</v>
      </c>
      <c r="M289" s="68">
        <f t="shared" si="230"/>
        <v>-1.5096790045692366E-4</v>
      </c>
      <c r="N289" s="68">
        <f t="shared" si="230"/>
        <v>-1.6014590001664974E-4</v>
      </c>
      <c r="O289" s="68">
        <f t="shared" si="230"/>
        <v>-1.6914329371200715E-4</v>
      </c>
      <c r="P289" s="68">
        <f t="shared" si="230"/>
        <v>-1.7733380639123428E-4</v>
      </c>
      <c r="Q289" s="68">
        <f t="shared" si="230"/>
        <v>-1.842945758171425E-4</v>
      </c>
      <c r="R289" s="68">
        <f t="shared" si="230"/>
        <v>-1.8986890552412014E-4</v>
      </c>
      <c r="S289" s="68">
        <f t="shared" si="230"/>
        <v>-1.9412236649695181E-4</v>
      </c>
      <c r="T289" s="68">
        <f t="shared" si="230"/>
        <v>-1.9724900144004614E-4</v>
      </c>
      <c r="U289" s="68">
        <f t="shared" si="230"/>
        <v>-1.9948450019238032E-4</v>
      </c>
      <c r="V289" s="68">
        <f t="shared" si="230"/>
        <v>-2.0105125468009212E-4</v>
      </c>
      <c r="W289" s="68">
        <f t="shared" si="230"/>
        <v>-2.0213397833135783E-4</v>
      </c>
      <c r="X289" s="68">
        <f t="shared" si="230"/>
        <v>-2.0287494008010802E-4</v>
      </c>
      <c r="Y289" s="68">
        <f t="shared" si="230"/>
        <v>-2.0337863265920998E-4</v>
      </c>
      <c r="Z289" s="68">
        <f t="shared" si="230"/>
        <v>-2.0371947582269707E-4</v>
      </c>
      <c r="AA289" s="68">
        <f t="shared" si="230"/>
        <v>-2.0394940897663265E-4</v>
      </c>
      <c r="AB289" s="68">
        <f t="shared" si="230"/>
        <v>-2.0410419883365111E-4</v>
      </c>
      <c r="AC289" s="68">
        <f t="shared" si="230"/>
        <v>-2.0420825625581466E-4</v>
      </c>
    </row>
    <row r="290" spans="1:29" x14ac:dyDescent="0.25">
      <c r="A290" s="30" t="str">
        <f t="shared" si="228"/>
        <v>Capex costumization</v>
      </c>
      <c r="B290" s="66">
        <f>((1+B249)^B257)*B249/(((1+B249)^B257)-1)*(B247)/B261/(B258)</f>
        <v>5.087458787818432E-4</v>
      </c>
      <c r="C290" s="66">
        <f t="shared" ref="C290:AC290" si="231">((1+C249)^C257)*C249/(((1+C249)^C257)-1)*(C247)/C261/(C258)</f>
        <v>5.087458787818432E-4</v>
      </c>
      <c r="D290" s="66">
        <f t="shared" si="231"/>
        <v>5.087458787818432E-4</v>
      </c>
      <c r="E290" s="66">
        <f t="shared" si="231"/>
        <v>5.087458787818432E-4</v>
      </c>
      <c r="F290" s="66">
        <f t="shared" si="231"/>
        <v>5.087458787818432E-4</v>
      </c>
      <c r="G290" s="66">
        <f t="shared" si="231"/>
        <v>5.087458787818432E-4</v>
      </c>
      <c r="H290" s="66">
        <f t="shared" si="231"/>
        <v>5.087458787818432E-4</v>
      </c>
      <c r="I290" s="66">
        <f t="shared" si="231"/>
        <v>5.087458787818432E-4</v>
      </c>
      <c r="J290" s="66">
        <f t="shared" si="231"/>
        <v>5.087458787818432E-4</v>
      </c>
      <c r="K290" s="66">
        <f t="shared" si="231"/>
        <v>5.087458787818432E-4</v>
      </c>
      <c r="L290" s="66">
        <f t="shared" si="231"/>
        <v>5.087458787818432E-4</v>
      </c>
      <c r="M290" s="66">
        <f t="shared" si="231"/>
        <v>5.087458787818432E-4</v>
      </c>
      <c r="N290" s="66">
        <f t="shared" si="231"/>
        <v>5.087458787818432E-4</v>
      </c>
      <c r="O290" s="66">
        <f t="shared" si="231"/>
        <v>5.087458787818432E-4</v>
      </c>
      <c r="P290" s="66">
        <f t="shared" si="231"/>
        <v>5.087458787818432E-4</v>
      </c>
      <c r="Q290" s="66">
        <f t="shared" si="231"/>
        <v>5.087458787818432E-4</v>
      </c>
      <c r="R290" s="66">
        <f t="shared" si="231"/>
        <v>5.087458787818432E-4</v>
      </c>
      <c r="S290" s="66">
        <f t="shared" si="231"/>
        <v>5.087458787818432E-4</v>
      </c>
      <c r="T290" s="66">
        <f t="shared" si="231"/>
        <v>5.087458787818432E-4</v>
      </c>
      <c r="U290" s="66">
        <f t="shared" si="231"/>
        <v>5.087458787818432E-4</v>
      </c>
      <c r="V290" s="66">
        <f t="shared" si="231"/>
        <v>5.087458787818432E-4</v>
      </c>
      <c r="W290" s="66">
        <f t="shared" si="231"/>
        <v>5.087458787818432E-4</v>
      </c>
      <c r="X290" s="66">
        <f t="shared" si="231"/>
        <v>5.087458787818432E-4</v>
      </c>
      <c r="Y290" s="66">
        <f t="shared" si="231"/>
        <v>5.087458787818432E-4</v>
      </c>
      <c r="Z290" s="66">
        <f t="shared" si="231"/>
        <v>5.087458787818432E-4</v>
      </c>
      <c r="AA290" s="66">
        <f t="shared" si="231"/>
        <v>5.087458787818432E-4</v>
      </c>
      <c r="AB290" s="66">
        <f t="shared" si="231"/>
        <v>5.087458787818432E-4</v>
      </c>
      <c r="AC290" s="66">
        <f t="shared" si="231"/>
        <v>5.087458787818432E-4</v>
      </c>
    </row>
    <row r="291" spans="1:29" x14ac:dyDescent="0.25">
      <c r="A291" s="30" t="str">
        <f t="shared" si="228"/>
        <v>Residual value (costumization)</v>
      </c>
      <c r="B291" s="69">
        <f>((1+B249)^B257)*B249/(((1+B249)^B257)-1)*(B248)/B261/(B258)</f>
        <v>-2.5437293939092156E-5</v>
      </c>
      <c r="C291" s="69">
        <f t="shared" ref="C291:AC291" si="232">((1+C249)^C257)*C249/(((1+C249)^C257)-1)*(C248)/C261/(C258)</f>
        <v>-2.5437293939092156E-5</v>
      </c>
      <c r="D291" s="69">
        <f t="shared" si="232"/>
        <v>-2.5437293939092156E-5</v>
      </c>
      <c r="E291" s="69">
        <f t="shared" si="232"/>
        <v>-2.5437293939092156E-5</v>
      </c>
      <c r="F291" s="69">
        <f t="shared" si="232"/>
        <v>-2.5437293939092156E-5</v>
      </c>
      <c r="G291" s="69">
        <f t="shared" si="232"/>
        <v>-2.5437293939092156E-5</v>
      </c>
      <c r="H291" s="69">
        <f t="shared" si="232"/>
        <v>-2.5437293939092156E-5</v>
      </c>
      <c r="I291" s="69">
        <f t="shared" si="232"/>
        <v>-2.5437293939092156E-5</v>
      </c>
      <c r="J291" s="69">
        <f t="shared" si="232"/>
        <v>-2.5437293939092156E-5</v>
      </c>
      <c r="K291" s="69">
        <f t="shared" si="232"/>
        <v>-2.5437293939092156E-5</v>
      </c>
      <c r="L291" s="69">
        <f t="shared" si="232"/>
        <v>-2.5437293939092156E-5</v>
      </c>
      <c r="M291" s="69">
        <f t="shared" si="232"/>
        <v>-2.5437293939092156E-5</v>
      </c>
      <c r="N291" s="69">
        <f t="shared" si="232"/>
        <v>-2.5437293939092156E-5</v>
      </c>
      <c r="O291" s="69">
        <f t="shared" si="232"/>
        <v>-2.5437293939092156E-5</v>
      </c>
      <c r="P291" s="69">
        <f t="shared" si="232"/>
        <v>-2.5437293939092156E-5</v>
      </c>
      <c r="Q291" s="69">
        <f t="shared" si="232"/>
        <v>-2.5437293939092156E-5</v>
      </c>
      <c r="R291" s="69">
        <f t="shared" si="232"/>
        <v>-2.5437293939092156E-5</v>
      </c>
      <c r="S291" s="69">
        <f t="shared" si="232"/>
        <v>-2.5437293939092156E-5</v>
      </c>
      <c r="T291" s="69">
        <f t="shared" si="232"/>
        <v>-2.5437293939092156E-5</v>
      </c>
      <c r="U291" s="69">
        <f t="shared" si="232"/>
        <v>-2.5437293939092156E-5</v>
      </c>
      <c r="V291" s="69">
        <f t="shared" si="232"/>
        <v>-2.5437293939092156E-5</v>
      </c>
      <c r="W291" s="69">
        <f t="shared" si="232"/>
        <v>-2.5437293939092156E-5</v>
      </c>
      <c r="X291" s="69">
        <f t="shared" si="232"/>
        <v>-2.5437293939092156E-5</v>
      </c>
      <c r="Y291" s="69">
        <f t="shared" si="232"/>
        <v>-2.5437293939092156E-5</v>
      </c>
      <c r="Z291" s="69">
        <f t="shared" si="232"/>
        <v>-2.5437293939092156E-5</v>
      </c>
      <c r="AA291" s="69">
        <f t="shared" si="232"/>
        <v>-2.5437293939092156E-5</v>
      </c>
      <c r="AB291" s="69">
        <f t="shared" si="232"/>
        <v>-2.5437293939092156E-5</v>
      </c>
      <c r="AC291" s="69">
        <f t="shared" si="232"/>
        <v>-2.5437293939092156E-5</v>
      </c>
    </row>
    <row r="292" spans="1:29" x14ac:dyDescent="0.25">
      <c r="A292" s="30" t="str">
        <f t="shared" si="228"/>
        <v>Opex fix (admin, crew, insurance)</v>
      </c>
      <c r="B292" s="66">
        <f>B250/B261/(B258)</f>
        <v>1.525610244097639E-3</v>
      </c>
      <c r="C292" s="66">
        <f t="shared" ref="C292:AC292" si="233">C250/C261/(C258)</f>
        <v>1.525610244097639E-3</v>
      </c>
      <c r="D292" s="66">
        <f t="shared" si="233"/>
        <v>1.525610244097639E-3</v>
      </c>
      <c r="E292" s="66">
        <f t="shared" si="233"/>
        <v>1.525610244097639E-3</v>
      </c>
      <c r="F292" s="66">
        <f t="shared" si="233"/>
        <v>1.525610244097639E-3</v>
      </c>
      <c r="G292" s="66">
        <f t="shared" si="233"/>
        <v>1.525610244097639E-3</v>
      </c>
      <c r="H292" s="66">
        <f t="shared" si="233"/>
        <v>1.525610244097639E-3</v>
      </c>
      <c r="I292" s="66">
        <f t="shared" si="233"/>
        <v>1.525610244097639E-3</v>
      </c>
      <c r="J292" s="66">
        <f t="shared" si="233"/>
        <v>1.525610244097639E-3</v>
      </c>
      <c r="K292" s="66">
        <f t="shared" si="233"/>
        <v>1.525610244097639E-3</v>
      </c>
      <c r="L292" s="66">
        <f t="shared" si="233"/>
        <v>1.525610244097639E-3</v>
      </c>
      <c r="M292" s="66">
        <f t="shared" si="233"/>
        <v>1.525610244097639E-3</v>
      </c>
      <c r="N292" s="66">
        <f t="shared" si="233"/>
        <v>1.525610244097639E-3</v>
      </c>
      <c r="O292" s="66">
        <f t="shared" si="233"/>
        <v>1.525610244097639E-3</v>
      </c>
      <c r="P292" s="66">
        <f t="shared" si="233"/>
        <v>1.525610244097639E-3</v>
      </c>
      <c r="Q292" s="66">
        <f t="shared" si="233"/>
        <v>1.525610244097639E-3</v>
      </c>
      <c r="R292" s="66">
        <f t="shared" si="233"/>
        <v>1.525610244097639E-3</v>
      </c>
      <c r="S292" s="66">
        <f t="shared" si="233"/>
        <v>1.525610244097639E-3</v>
      </c>
      <c r="T292" s="66">
        <f t="shared" si="233"/>
        <v>1.525610244097639E-3</v>
      </c>
      <c r="U292" s="66">
        <f t="shared" si="233"/>
        <v>1.525610244097639E-3</v>
      </c>
      <c r="V292" s="66">
        <f t="shared" si="233"/>
        <v>1.525610244097639E-3</v>
      </c>
      <c r="W292" s="66">
        <f t="shared" si="233"/>
        <v>1.525610244097639E-3</v>
      </c>
      <c r="X292" s="66">
        <f t="shared" si="233"/>
        <v>1.525610244097639E-3</v>
      </c>
      <c r="Y292" s="66">
        <f t="shared" si="233"/>
        <v>1.525610244097639E-3</v>
      </c>
      <c r="Z292" s="66">
        <f t="shared" si="233"/>
        <v>1.525610244097639E-3</v>
      </c>
      <c r="AA292" s="66">
        <f t="shared" si="233"/>
        <v>1.525610244097639E-3</v>
      </c>
      <c r="AB292" s="66">
        <f t="shared" si="233"/>
        <v>1.525610244097639E-3</v>
      </c>
      <c r="AC292" s="66">
        <f t="shared" si="233"/>
        <v>1.525610244097639E-3</v>
      </c>
    </row>
    <row r="293" spans="1:29" x14ac:dyDescent="0.25">
      <c r="A293" s="30" t="str">
        <f t="shared" si="228"/>
        <v>Opex maintenance &amp; repair</v>
      </c>
      <c r="B293" s="66">
        <f>B251/B261/(B258)</f>
        <v>3.235203975384487E-3</v>
      </c>
      <c r="C293" s="66">
        <f t="shared" ref="C293:AC293" si="234">C251/C261/(C258)</f>
        <v>3.228311912499835E-3</v>
      </c>
      <c r="D293" s="66">
        <f t="shared" si="234"/>
        <v>3.2185261711931679E-3</v>
      </c>
      <c r="E293" s="66">
        <f t="shared" si="234"/>
        <v>3.2046949662058941E-3</v>
      </c>
      <c r="F293" s="66">
        <f t="shared" si="234"/>
        <v>3.1852762039393709E-3</v>
      </c>
      <c r="G293" s="66">
        <f t="shared" si="234"/>
        <v>3.1582770751599136E-3</v>
      </c>
      <c r="H293" s="66">
        <f t="shared" si="234"/>
        <v>3.1212622796426945E-3</v>
      </c>
      <c r="I293" s="66">
        <f t="shared" si="234"/>
        <v>3.0715183608126854E-3</v>
      </c>
      <c r="J293" s="66">
        <f t="shared" si="234"/>
        <v>3.0064934490834873E-3</v>
      </c>
      <c r="K293" s="66">
        <f t="shared" si="234"/>
        <v>2.9246055633971525E-3</v>
      </c>
      <c r="L293" s="66">
        <f t="shared" si="234"/>
        <v>2.826342451165679E-3</v>
      </c>
      <c r="M293" s="66">
        <f t="shared" si="234"/>
        <v>2.7152291126929309E-3</v>
      </c>
      <c r="N293" s="66">
        <f t="shared" si="234"/>
        <v>2.5979272171538078E-3</v>
      </c>
      <c r="O293" s="66">
        <f t="shared" si="234"/>
        <v>2.4829336035118526E-3</v>
      </c>
      <c r="P293" s="66">
        <f t="shared" si="234"/>
        <v>2.37825255003627E-3</v>
      </c>
      <c r="Q293" s="66">
        <f t="shared" si="234"/>
        <v>2.2892885614507032E-3</v>
      </c>
      <c r="R293" s="66">
        <f t="shared" si="234"/>
        <v>2.218044339141322E-3</v>
      </c>
      <c r="S293" s="66">
        <f t="shared" si="234"/>
        <v>2.1636818354750301E-3</v>
      </c>
      <c r="T293" s="66">
        <f t="shared" si="234"/>
        <v>2.12372103540121E-3</v>
      </c>
      <c r="U293" s="66">
        <f t="shared" si="234"/>
        <v>2.0951496414479101E-3</v>
      </c>
      <c r="V293" s="66">
        <f t="shared" si="234"/>
        <v>2.0751253137001203E-3</v>
      </c>
      <c r="W293" s="66">
        <f t="shared" si="234"/>
        <v>2.0612872724350261E-3</v>
      </c>
      <c r="X293" s="66">
        <f t="shared" si="234"/>
        <v>2.0518172112212762E-3</v>
      </c>
      <c r="Y293" s="66">
        <f t="shared" si="234"/>
        <v>2.0453796325405234E-3</v>
      </c>
      <c r="Z293" s="66">
        <f t="shared" si="234"/>
        <v>2.0410233946808022E-3</v>
      </c>
      <c r="AA293" s="66">
        <f t="shared" si="234"/>
        <v>2.0380846720726327E-3</v>
      </c>
      <c r="AB293" s="66">
        <f t="shared" si="234"/>
        <v>2.0361063386111484E-3</v>
      </c>
      <c r="AC293" s="66">
        <f t="shared" si="234"/>
        <v>2.0347764046985059E-3</v>
      </c>
    </row>
    <row r="294" spans="1:29" x14ac:dyDescent="0.25">
      <c r="A294" s="30" t="str">
        <f t="shared" si="228"/>
        <v>Opex var (mode-fees, shunting)</v>
      </c>
      <c r="B294" s="66">
        <f>B252*B261/B261/(B258)</f>
        <v>1.6256502601040416E-3</v>
      </c>
      <c r="C294" s="66">
        <f t="shared" ref="C294:AC294" si="235">C252*C261/C261/(C258)</f>
        <v>1.6256502601040416E-3</v>
      </c>
      <c r="D294" s="66">
        <f t="shared" si="235"/>
        <v>1.6256502601040416E-3</v>
      </c>
      <c r="E294" s="66">
        <f t="shared" si="235"/>
        <v>1.6256502601040416E-3</v>
      </c>
      <c r="F294" s="66">
        <f t="shared" si="235"/>
        <v>1.6256502601040416E-3</v>
      </c>
      <c r="G294" s="66">
        <f t="shared" si="235"/>
        <v>1.6256502601040416E-3</v>
      </c>
      <c r="H294" s="66">
        <f t="shared" si="235"/>
        <v>1.6256502601040416E-3</v>
      </c>
      <c r="I294" s="66">
        <f t="shared" si="235"/>
        <v>1.6256502601040416E-3</v>
      </c>
      <c r="J294" s="66">
        <f t="shared" si="235"/>
        <v>1.6256502601040416E-3</v>
      </c>
      <c r="K294" s="66">
        <f t="shared" si="235"/>
        <v>1.6256502601040416E-3</v>
      </c>
      <c r="L294" s="66">
        <f t="shared" si="235"/>
        <v>1.6256502601040416E-3</v>
      </c>
      <c r="M294" s="66">
        <f t="shared" si="235"/>
        <v>1.6256502601040416E-3</v>
      </c>
      <c r="N294" s="66">
        <f t="shared" si="235"/>
        <v>1.6256502601040416E-3</v>
      </c>
      <c r="O294" s="66">
        <f t="shared" si="235"/>
        <v>1.6256502601040416E-3</v>
      </c>
      <c r="P294" s="66">
        <f t="shared" si="235"/>
        <v>1.6256502601040416E-3</v>
      </c>
      <c r="Q294" s="66">
        <f t="shared" si="235"/>
        <v>1.6256502601040416E-3</v>
      </c>
      <c r="R294" s="66">
        <f t="shared" si="235"/>
        <v>1.6256502601040416E-3</v>
      </c>
      <c r="S294" s="66">
        <f t="shared" si="235"/>
        <v>1.6256502601040416E-3</v>
      </c>
      <c r="T294" s="66">
        <f t="shared" si="235"/>
        <v>1.6256502601040416E-3</v>
      </c>
      <c r="U294" s="66">
        <f t="shared" si="235"/>
        <v>1.6256502601040416E-3</v>
      </c>
      <c r="V294" s="66">
        <f t="shared" si="235"/>
        <v>1.6256502601040416E-3</v>
      </c>
      <c r="W294" s="66">
        <f t="shared" si="235"/>
        <v>1.6256502601040416E-3</v>
      </c>
      <c r="X294" s="66">
        <f t="shared" si="235"/>
        <v>1.6256502601040416E-3</v>
      </c>
      <c r="Y294" s="66">
        <f t="shared" si="235"/>
        <v>1.6256502601040416E-3</v>
      </c>
      <c r="Z294" s="66">
        <f t="shared" si="235"/>
        <v>1.6256502601040416E-3</v>
      </c>
      <c r="AA294" s="66">
        <f t="shared" si="235"/>
        <v>1.6256502601040416E-3</v>
      </c>
      <c r="AB294" s="66">
        <f t="shared" si="235"/>
        <v>1.6256502601040416E-3</v>
      </c>
      <c r="AC294" s="66">
        <f t="shared" si="235"/>
        <v>1.6256502601040416E-3</v>
      </c>
    </row>
    <row r="295" spans="1:29" x14ac:dyDescent="0.25">
      <c r="A295" s="30" t="str">
        <f t="shared" si="228"/>
        <v>Fuel Cost</v>
      </c>
      <c r="B295" s="66">
        <f>B253*B254*B261/B261/(B258)</f>
        <v>1.4120879396070311E-3</v>
      </c>
      <c r="C295" s="66">
        <f t="shared" ref="C295:AC295" si="236">C253*C254*C261/C261/(C258)</f>
        <v>1.4120879396070311E-3</v>
      </c>
      <c r="D295" s="66">
        <f t="shared" si="236"/>
        <v>1.4120879396070311E-3</v>
      </c>
      <c r="E295" s="66">
        <f t="shared" si="236"/>
        <v>1.4120879396070311E-3</v>
      </c>
      <c r="F295" s="66">
        <f t="shared" si="236"/>
        <v>1.4120879396070311E-3</v>
      </c>
      <c r="G295" s="66">
        <f t="shared" si="236"/>
        <v>1.4120879396070311E-3</v>
      </c>
      <c r="H295" s="66">
        <f t="shared" si="236"/>
        <v>1.4120879396070311E-3</v>
      </c>
      <c r="I295" s="66">
        <f t="shared" si="236"/>
        <v>1.4120879396070311E-3</v>
      </c>
      <c r="J295" s="66">
        <f t="shared" si="236"/>
        <v>1.4395799160244996E-3</v>
      </c>
      <c r="K295" s="66">
        <f t="shared" si="236"/>
        <v>1.4670718924419688E-3</v>
      </c>
      <c r="L295" s="66">
        <f t="shared" si="236"/>
        <v>1.4945638688594373E-3</v>
      </c>
      <c r="M295" s="66">
        <f t="shared" si="236"/>
        <v>1.522055845276906E-3</v>
      </c>
      <c r="N295" s="66">
        <f t="shared" si="236"/>
        <v>1.5495478216943747E-3</v>
      </c>
      <c r="O295" s="66">
        <f t="shared" si="236"/>
        <v>1.5345521981939372E-3</v>
      </c>
      <c r="P295" s="66">
        <f t="shared" si="236"/>
        <v>1.5195565746934996E-3</v>
      </c>
      <c r="Q295" s="66">
        <f t="shared" si="236"/>
        <v>1.5045609511930621E-3</v>
      </c>
      <c r="R295" s="66">
        <f t="shared" si="236"/>
        <v>1.4895653276926248E-3</v>
      </c>
      <c r="S295" s="66">
        <f t="shared" si="236"/>
        <v>1.4745697041921872E-3</v>
      </c>
      <c r="T295" s="66">
        <f t="shared" si="236"/>
        <v>1.4595740806917497E-3</v>
      </c>
      <c r="U295" s="66">
        <f t="shared" si="236"/>
        <v>1.4445784571913123E-3</v>
      </c>
      <c r="V295" s="66">
        <f t="shared" si="236"/>
        <v>1.4295828336908744E-3</v>
      </c>
      <c r="W295" s="66">
        <f t="shared" si="236"/>
        <v>1.4145872101904372E-3</v>
      </c>
      <c r="X295" s="66">
        <f t="shared" si="236"/>
        <v>1.3995915866899999E-3</v>
      </c>
      <c r="Y295" s="66">
        <f t="shared" si="236"/>
        <v>1.3845959631895624E-3</v>
      </c>
      <c r="Z295" s="66">
        <f t="shared" si="236"/>
        <v>1.3696003396891248E-3</v>
      </c>
      <c r="AA295" s="66">
        <f t="shared" si="236"/>
        <v>1.3546047161886871E-3</v>
      </c>
      <c r="AB295" s="66">
        <f t="shared" si="236"/>
        <v>1.3396090926882495E-3</v>
      </c>
      <c r="AC295" s="66">
        <f t="shared" si="236"/>
        <v>1.3246134691878124E-3</v>
      </c>
    </row>
    <row r="296" spans="1:29" x14ac:dyDescent="0.25">
      <c r="A296" s="59" t="str">
        <f>A259</f>
        <v>Market failure (av. utilization)</v>
      </c>
      <c r="B296" s="66">
        <f t="shared" ref="B296:AC296" si="237">B285/B259-B285/B258</f>
        <v>1.3964441908015442E-2</v>
      </c>
      <c r="C296" s="66">
        <f t="shared" si="237"/>
        <v>1.3948245043645186E-2</v>
      </c>
      <c r="D296" s="66">
        <f t="shared" si="237"/>
        <v>1.3925247818088892E-2</v>
      </c>
      <c r="E296" s="66">
        <f t="shared" si="237"/>
        <v>1.3892743449657349E-2</v>
      </c>
      <c r="F296" s="66">
        <f t="shared" si="237"/>
        <v>1.3847107902806851E-2</v>
      </c>
      <c r="G296" s="66">
        <f t="shared" si="237"/>
        <v>1.378365792646816E-2</v>
      </c>
      <c r="H296" s="66">
        <f t="shared" si="237"/>
        <v>1.3696670382576147E-2</v>
      </c>
      <c r="I296" s="66">
        <f t="shared" si="237"/>
        <v>1.3579768444793644E-2</v>
      </c>
      <c r="J296" s="66">
        <f t="shared" si="237"/>
        <v>1.3463897371629405E-2</v>
      </c>
      <c r="K296" s="66">
        <f t="shared" si="237"/>
        <v>1.3308397045709635E-2</v>
      </c>
      <c r="L296" s="66">
        <f t="shared" si="237"/>
        <v>1.3114413710011402E-2</v>
      </c>
      <c r="M296" s="66">
        <f t="shared" si="237"/>
        <v>1.2890231379463523E-2</v>
      </c>
      <c r="N296" s="66">
        <f t="shared" si="237"/>
        <v>1.2651505475949287E-2</v>
      </c>
      <c r="O296" s="66">
        <f t="shared" si="237"/>
        <v>1.2361111495519895E-2</v>
      </c>
      <c r="P296" s="66">
        <f t="shared" si="237"/>
        <v>1.2094952804454556E-2</v>
      </c>
      <c r="Q296" s="66">
        <f t="shared" si="237"/>
        <v>1.186573039394594E-2</v>
      </c>
      <c r="R296" s="66">
        <f t="shared" si="237"/>
        <v>1.1678150762363095E-2</v>
      </c>
      <c r="S296" s="66">
        <f t="shared" si="237"/>
        <v>1.1530244434952765E-2</v>
      </c>
      <c r="T296" s="66">
        <f t="shared" si="237"/>
        <v>1.1416183190457646E-2</v>
      </c>
      <c r="U296" s="66">
        <f t="shared" si="237"/>
        <v>1.132888790403332E-2</v>
      </c>
      <c r="V296" s="66">
        <f t="shared" si="237"/>
        <v>1.1261678863833256E-2</v>
      </c>
      <c r="W296" s="66">
        <f t="shared" si="237"/>
        <v>1.1209008060557713E-2</v>
      </c>
      <c r="X296" s="66">
        <f t="shared" si="237"/>
        <v>1.1166602337802716E-2</v>
      </c>
      <c r="Y296" s="66">
        <f t="shared" si="237"/>
        <v>1.1131323176298558E-2</v>
      </c>
      <c r="Z296" s="66">
        <f t="shared" si="237"/>
        <v>1.1100935321729745E-2</v>
      </c>
      <c r="AA296" s="66">
        <f t="shared" si="237"/>
        <v>1.1073878734251268E-2</v>
      </c>
      <c r="AB296" s="66">
        <f t="shared" si="237"/>
        <v>1.1049079133253016E-2</v>
      </c>
      <c r="AC296" s="66">
        <f t="shared" si="237"/>
        <v>1.1025803319795021E-2</v>
      </c>
    </row>
    <row r="297" spans="1:29" x14ac:dyDescent="0.25">
      <c r="A297" s="59" t="str">
        <f>A260</f>
        <v>Payload loss (fuel)</v>
      </c>
      <c r="B297" s="66">
        <f>B285/(B258-B260)-B285/B258</f>
        <v>3.8226000875932198E-4</v>
      </c>
      <c r="C297" s="66">
        <f t="shared" ref="C297:AC297" si="238">C285/(C258-C260)-C285/C258</f>
        <v>3.8069046698163862E-4</v>
      </c>
      <c r="D297" s="66">
        <f t="shared" si="238"/>
        <v>3.7846683997479723E-4</v>
      </c>
      <c r="E297" s="66">
        <f t="shared" si="238"/>
        <v>3.7533375422622688E-4</v>
      </c>
      <c r="F297" s="66">
        <f t="shared" si="238"/>
        <v>3.7095431160985917E-4</v>
      </c>
      <c r="G297" s="66">
        <f t="shared" si="238"/>
        <v>3.6490282664380404E-4</v>
      </c>
      <c r="H297" s="66">
        <f t="shared" si="238"/>
        <v>3.566773341780443E-4</v>
      </c>
      <c r="I297" s="66">
        <f t="shared" si="238"/>
        <v>3.4575200791293718E-4</v>
      </c>
      <c r="J297" s="66">
        <f t="shared" si="238"/>
        <v>3.326054067707921E-4</v>
      </c>
      <c r="K297" s="66">
        <f t="shared" si="238"/>
        <v>3.1609980994706625E-4</v>
      </c>
      <c r="L297" s="66">
        <f t="shared" si="238"/>
        <v>2.9655788583948101E-4</v>
      </c>
      <c r="M297" s="66">
        <f t="shared" si="238"/>
        <v>2.7494198068144481E-4</v>
      </c>
      <c r="N297" s="66">
        <f t="shared" si="238"/>
        <v>2.5276447061213687E-4</v>
      </c>
      <c r="O297" s="66">
        <f t="shared" si="238"/>
        <v>2.3065481896819735E-4</v>
      </c>
      <c r="P297" s="66">
        <f t="shared" si="238"/>
        <v>2.1121046611023361E-4</v>
      </c>
      <c r="Q297" s="66">
        <f t="shared" si="238"/>
        <v>1.9517164459972002E-4</v>
      </c>
      <c r="R297" s="66">
        <f t="shared" si="238"/>
        <v>1.8262270463031451E-4</v>
      </c>
      <c r="S297" s="66">
        <f t="shared" si="238"/>
        <v>1.7319346588648421E-4</v>
      </c>
      <c r="T297" s="66">
        <f t="shared" si="238"/>
        <v>1.6630817918197698E-4</v>
      </c>
      <c r="U297" s="66">
        <f t="shared" si="238"/>
        <v>1.6137061077375024E-4</v>
      </c>
      <c r="V297" s="66">
        <f t="shared" si="238"/>
        <v>1.5786113300831836E-4</v>
      </c>
      <c r="W297" s="66">
        <f t="shared" si="238"/>
        <v>1.5536826691653349E-4</v>
      </c>
      <c r="X297" s="66">
        <f t="shared" si="238"/>
        <v>1.5358471250854003E-4</v>
      </c>
      <c r="Y297" s="66">
        <f t="shared" si="238"/>
        <v>1.5228938392464371E-4</v>
      </c>
      <c r="Z297" s="66">
        <f t="shared" si="238"/>
        <v>1.5132704087949221E-4</v>
      </c>
      <c r="AA297" s="66">
        <f t="shared" si="238"/>
        <v>1.5059040815307116E-4</v>
      </c>
      <c r="AB297" s="66">
        <f t="shared" si="238"/>
        <v>1.5000613748450409E-4</v>
      </c>
      <c r="AC297" s="66">
        <f t="shared" si="238"/>
        <v>1.4952443033536787E-4</v>
      </c>
    </row>
    <row r="298" spans="1:29" ht="15.75" thickBot="1" x14ac:dyDescent="0.3">
      <c r="A298" s="59" t="str">
        <f>A235</f>
        <v>Emission Cost</v>
      </c>
      <c r="B298" s="68">
        <f>B255*B261/B261/(B258)</f>
        <v>0</v>
      </c>
      <c r="C298" s="68">
        <f t="shared" ref="C298:AC298" si="239">C255*C261/C261/(C258)</f>
        <v>0</v>
      </c>
      <c r="D298" s="68">
        <f t="shared" si="239"/>
        <v>0</v>
      </c>
      <c r="E298" s="68">
        <f t="shared" si="239"/>
        <v>0</v>
      </c>
      <c r="F298" s="68">
        <f t="shared" si="239"/>
        <v>0</v>
      </c>
      <c r="G298" s="68">
        <f t="shared" si="239"/>
        <v>0</v>
      </c>
      <c r="H298" s="68">
        <f t="shared" si="239"/>
        <v>0</v>
      </c>
      <c r="I298" s="68">
        <f t="shared" si="239"/>
        <v>0</v>
      </c>
      <c r="J298" s="68">
        <f t="shared" si="239"/>
        <v>0</v>
      </c>
      <c r="K298" s="68">
        <f t="shared" si="239"/>
        <v>0</v>
      </c>
      <c r="L298" s="68">
        <f t="shared" si="239"/>
        <v>0</v>
      </c>
      <c r="M298" s="68">
        <f t="shared" si="239"/>
        <v>0</v>
      </c>
      <c r="N298" s="68">
        <f t="shared" si="239"/>
        <v>0</v>
      </c>
      <c r="O298" s="68">
        <f t="shared" si="239"/>
        <v>0</v>
      </c>
      <c r="P298" s="68">
        <f t="shared" si="239"/>
        <v>0</v>
      </c>
      <c r="Q298" s="68">
        <f t="shared" si="239"/>
        <v>0</v>
      </c>
      <c r="R298" s="68">
        <f t="shared" si="239"/>
        <v>0</v>
      </c>
      <c r="S298" s="68">
        <f t="shared" si="239"/>
        <v>0</v>
      </c>
      <c r="T298" s="68">
        <f t="shared" si="239"/>
        <v>0</v>
      </c>
      <c r="U298" s="68">
        <f t="shared" si="239"/>
        <v>0</v>
      </c>
      <c r="V298" s="68">
        <f t="shared" si="239"/>
        <v>0</v>
      </c>
      <c r="W298" s="68">
        <f t="shared" si="239"/>
        <v>0</v>
      </c>
      <c r="X298" s="68">
        <f t="shared" si="239"/>
        <v>0</v>
      </c>
      <c r="Y298" s="68">
        <f t="shared" si="239"/>
        <v>0</v>
      </c>
      <c r="Z298" s="68">
        <f t="shared" si="239"/>
        <v>0</v>
      </c>
      <c r="AA298" s="68">
        <f t="shared" si="239"/>
        <v>0</v>
      </c>
      <c r="AB298" s="68">
        <f t="shared" si="239"/>
        <v>0</v>
      </c>
      <c r="AC298" s="68">
        <f t="shared" si="239"/>
        <v>0</v>
      </c>
    </row>
    <row r="299" spans="1:29" ht="15.75" thickBot="1" x14ac:dyDescent="0.3">
      <c r="A299" s="31" t="s">
        <v>210</v>
      </c>
      <c r="B299" s="67">
        <f>B288+B289+B290+B291+B292+B293+B294+B295+B296+B297+B298</f>
        <v>2.4687970144163886E-2</v>
      </c>
      <c r="C299" s="67">
        <f t="shared" ref="C299:AC299" si="240">C288+C289+C290+C291+C292+C293+C294+C295+C296+C297+C298</f>
        <v>2.4658150257554357E-2</v>
      </c>
      <c r="D299" s="67">
        <f t="shared" si="240"/>
        <v>2.4615815190623752E-2</v>
      </c>
      <c r="E299" s="67">
        <f t="shared" si="240"/>
        <v>2.4555988439006207E-2</v>
      </c>
      <c r="F299" s="67">
        <f t="shared" si="240"/>
        <v>2.4472012112348274E-2</v>
      </c>
      <c r="G299" s="67">
        <f t="shared" si="240"/>
        <v>2.4355292064000778E-2</v>
      </c>
      <c r="H299" s="67">
        <f t="shared" si="240"/>
        <v>2.419534411125826E-2</v>
      </c>
      <c r="I299" s="67">
        <f t="shared" si="240"/>
        <v>2.3980520056302738E-2</v>
      </c>
      <c r="J299" s="67">
        <f t="shared" si="240"/>
        <v>2.3765272746153199E-2</v>
      </c>
      <c r="K299" s="67">
        <f t="shared" si="240"/>
        <v>2.3477545650632203E-2</v>
      </c>
      <c r="L299" s="67">
        <f t="shared" si="240"/>
        <v>2.3119660699143972E-2</v>
      </c>
      <c r="M299" s="67">
        <f t="shared" si="240"/>
        <v>2.2707029101169868E-2</v>
      </c>
      <c r="N299" s="67">
        <f t="shared" si="240"/>
        <v>2.2268469201250148E-2</v>
      </c>
      <c r="O299" s="67">
        <f t="shared" si="240"/>
        <v>2.1739858420950289E-2</v>
      </c>
      <c r="P299" s="67">
        <f t="shared" si="240"/>
        <v>2.1256183792978365E-2</v>
      </c>
      <c r="Q299" s="67">
        <f t="shared" si="240"/>
        <v>2.0840338441510967E-2</v>
      </c>
      <c r="R299" s="67">
        <f t="shared" si="240"/>
        <v>2.0500615725524966E-2</v>
      </c>
      <c r="S299" s="67">
        <f t="shared" si="240"/>
        <v>2.0233210334321263E-2</v>
      </c>
      <c r="T299" s="67">
        <f t="shared" si="240"/>
        <v>2.0027381016520622E-2</v>
      </c>
      <c r="U299" s="67">
        <f t="shared" si="240"/>
        <v>1.9870184227604844E-2</v>
      </c>
      <c r="V299" s="67">
        <f t="shared" si="240"/>
        <v>1.974944967972302E-2</v>
      </c>
      <c r="W299" s="67">
        <f t="shared" si="240"/>
        <v>1.9655089133499476E-2</v>
      </c>
      <c r="X299" s="67">
        <f t="shared" si="240"/>
        <v>1.9579342109169975E-2</v>
      </c>
      <c r="Y299" s="67">
        <f t="shared" si="240"/>
        <v>1.9516513359357897E-2</v>
      </c>
      <c r="Z299" s="67">
        <f t="shared" si="240"/>
        <v>1.9462548944390402E-2</v>
      </c>
      <c r="AA299" s="67">
        <f t="shared" si="240"/>
        <v>1.9414620589317796E-2</v>
      </c>
      <c r="AB299" s="67">
        <f t="shared" si="240"/>
        <v>1.9370781200629024E-2</v>
      </c>
      <c r="AC299" s="67">
        <f t="shared" si="240"/>
        <v>1.9329702144425247E-2</v>
      </c>
    </row>
    <row r="301" spans="1:29" x14ac:dyDescent="0.25">
      <c r="B301" s="40"/>
    </row>
    <row r="324" spans="1:44" s="3" customFormat="1" ht="21" x14ac:dyDescent="0.35">
      <c r="A324" s="2" t="str">
        <f>'Parameter Input'!A182</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Input'!$L$171</f>
        <v>10000000</v>
      </c>
      <c r="C334" s="42">
        <f>'Parameter Input'!$M$171</f>
        <v>6250000</v>
      </c>
      <c r="D334" s="1" t="s">
        <v>15</v>
      </c>
      <c r="L334" s="51">
        <f>'Parameter Input'!$O$171</f>
        <v>12</v>
      </c>
      <c r="M334" s="52">
        <v>0</v>
      </c>
      <c r="N334" s="52">
        <v>1</v>
      </c>
      <c r="O334" s="52">
        <f>'Parameter Input'!$P$171</f>
        <v>0.9</v>
      </c>
      <c r="P334" s="53">
        <f>'Parameter Input'!$Q$171</f>
        <v>0.4</v>
      </c>
      <c r="Q334" s="4">
        <f t="shared" ref="Q334:AR343" si="241">$N334+($M334-$N334)*((1/(1+EXP(-$P334*(Q$9-$L334)))^$O334))</f>
        <v>0.9867978615748374</v>
      </c>
      <c r="R334" s="4">
        <f t="shared" si="241"/>
        <v>0.98114509762858249</v>
      </c>
      <c r="S334" s="4">
        <f t="shared" si="241"/>
        <v>0.97311898315872036</v>
      </c>
      <c r="T334" s="4">
        <f t="shared" si="241"/>
        <v>0.96177484161592774</v>
      </c>
      <c r="U334" s="4">
        <f t="shared" si="241"/>
        <v>0.94584787155511363</v>
      </c>
      <c r="V334" s="4">
        <f t="shared" si="241"/>
        <v>0.92370360150141495</v>
      </c>
      <c r="W334" s="4">
        <f t="shared" si="241"/>
        <v>0.89334463567658451</v>
      </c>
      <c r="X334" s="4">
        <f t="shared" si="241"/>
        <v>0.85254543874327005</v>
      </c>
      <c r="Y334" s="4">
        <f t="shared" si="241"/>
        <v>0.79921300652623883</v>
      </c>
      <c r="Z334" s="4">
        <f t="shared" si="241"/>
        <v>0.73204982249993378</v>
      </c>
      <c r="AA334" s="4">
        <f t="shared" si="241"/>
        <v>0.65145592958786691</v>
      </c>
      <c r="AB334" s="4">
        <f t="shared" si="241"/>
        <v>0.56032247880849573</v>
      </c>
      <c r="AC334" s="4">
        <f t="shared" si="241"/>
        <v>0.46411326873185343</v>
      </c>
      <c r="AD334" s="4">
        <f t="shared" si="241"/>
        <v>0.36979727595523937</v>
      </c>
      <c r="AE334" s="4">
        <f t="shared" si="241"/>
        <v>0.28393948637231203</v>
      </c>
      <c r="AF334" s="4">
        <f t="shared" si="241"/>
        <v>0.21097259161117732</v>
      </c>
      <c r="AG334" s="4">
        <f t="shared" si="241"/>
        <v>0.15253917653798199</v>
      </c>
      <c r="AH334" s="4">
        <f t="shared" si="241"/>
        <v>0.10795188737709993</v>
      </c>
      <c r="AI334" s="4">
        <f t="shared" si="241"/>
        <v>7.5176653938091809E-2</v>
      </c>
      <c r="AJ334" s="4">
        <f t="shared" si="241"/>
        <v>5.1742836177502194E-2</v>
      </c>
      <c r="AK334" s="4">
        <f t="shared" si="241"/>
        <v>3.5319190625345942E-2</v>
      </c>
      <c r="AL334" s="4">
        <f t="shared" si="241"/>
        <v>2.3969442072658165E-2</v>
      </c>
      <c r="AM334" s="4">
        <f t="shared" si="241"/>
        <v>1.6202243558389728E-2</v>
      </c>
      <c r="AN334" s="4">
        <f t="shared" si="241"/>
        <v>1.0922240564108399E-2</v>
      </c>
      <c r="AO334" s="4">
        <f t="shared" si="241"/>
        <v>7.3493212906090566E-3</v>
      </c>
      <c r="AP334" s="4">
        <f t="shared" si="241"/>
        <v>4.9390262185057265E-3</v>
      </c>
      <c r="AQ334" s="4">
        <f t="shared" si="241"/>
        <v>3.3164275492956197E-3</v>
      </c>
      <c r="AR334" s="4">
        <f t="shared" si="241"/>
        <v>2.2256362146679809E-3</v>
      </c>
    </row>
    <row r="335" spans="1:44" x14ac:dyDescent="0.25">
      <c r="A335" s="24" t="s">
        <v>28</v>
      </c>
      <c r="B335" s="60">
        <f>'Parameter Input'!$L$172</f>
        <v>-500000</v>
      </c>
      <c r="C335" s="61">
        <f>'Parameter Input'!$M$172</f>
        <v>-937500</v>
      </c>
      <c r="D335" s="1" t="s">
        <v>15</v>
      </c>
      <c r="L335" s="54">
        <f>'Parameter Input'!$O$172</f>
        <v>12</v>
      </c>
      <c r="M335" s="37">
        <v>0</v>
      </c>
      <c r="N335" s="37">
        <v>1</v>
      </c>
      <c r="O335" s="37">
        <f>'Parameter Input'!$P$172</f>
        <v>0.9</v>
      </c>
      <c r="P335" s="55">
        <f>'Parameter Input'!$Q$172</f>
        <v>0.4</v>
      </c>
      <c r="Q335" s="4">
        <f t="shared" si="241"/>
        <v>0.9867978615748374</v>
      </c>
      <c r="R335" s="4">
        <f t="shared" si="241"/>
        <v>0.98114509762858249</v>
      </c>
      <c r="S335" s="4">
        <f t="shared" si="241"/>
        <v>0.97311898315872036</v>
      </c>
      <c r="T335" s="4">
        <f t="shared" si="241"/>
        <v>0.96177484161592774</v>
      </c>
      <c r="U335" s="4">
        <f t="shared" si="241"/>
        <v>0.94584787155511363</v>
      </c>
      <c r="V335" s="4">
        <f t="shared" si="241"/>
        <v>0.92370360150141495</v>
      </c>
      <c r="W335" s="4">
        <f t="shared" si="241"/>
        <v>0.89334463567658451</v>
      </c>
      <c r="X335" s="4">
        <f t="shared" si="241"/>
        <v>0.85254543874327005</v>
      </c>
      <c r="Y335" s="4">
        <f t="shared" si="241"/>
        <v>0.79921300652623883</v>
      </c>
      <c r="Z335" s="4">
        <f t="shared" si="241"/>
        <v>0.73204982249993378</v>
      </c>
      <c r="AA335" s="4">
        <f t="shared" si="241"/>
        <v>0.65145592958786691</v>
      </c>
      <c r="AB335" s="4">
        <f t="shared" si="241"/>
        <v>0.56032247880849573</v>
      </c>
      <c r="AC335" s="4">
        <f t="shared" si="241"/>
        <v>0.46411326873185343</v>
      </c>
      <c r="AD335" s="4">
        <f t="shared" si="241"/>
        <v>0.36979727595523937</v>
      </c>
      <c r="AE335" s="4">
        <f t="shared" si="241"/>
        <v>0.28393948637231203</v>
      </c>
      <c r="AF335" s="4">
        <f t="shared" si="241"/>
        <v>0.21097259161117732</v>
      </c>
      <c r="AG335" s="4">
        <f t="shared" si="241"/>
        <v>0.15253917653798199</v>
      </c>
      <c r="AH335" s="4">
        <f t="shared" si="241"/>
        <v>0.10795188737709993</v>
      </c>
      <c r="AI335" s="4">
        <f t="shared" si="241"/>
        <v>7.5176653938091809E-2</v>
      </c>
      <c r="AJ335" s="4">
        <f t="shared" si="241"/>
        <v>5.1742836177502194E-2</v>
      </c>
      <c r="AK335" s="4">
        <f t="shared" si="241"/>
        <v>3.5319190625345942E-2</v>
      </c>
      <c r="AL335" s="4">
        <f t="shared" si="241"/>
        <v>2.3969442072658165E-2</v>
      </c>
      <c r="AM335" s="4">
        <f t="shared" si="241"/>
        <v>1.6202243558389728E-2</v>
      </c>
      <c r="AN335" s="4">
        <f t="shared" si="241"/>
        <v>1.0922240564108399E-2</v>
      </c>
      <c r="AO335" s="4">
        <f t="shared" si="241"/>
        <v>7.3493212906090566E-3</v>
      </c>
      <c r="AP335" s="4">
        <f t="shared" si="241"/>
        <v>4.9390262185057265E-3</v>
      </c>
      <c r="AQ335" s="4">
        <f t="shared" si="241"/>
        <v>3.3164275492956197E-3</v>
      </c>
      <c r="AR335" s="4">
        <f t="shared" si="241"/>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41"/>
        <v>0.9867978615748374</v>
      </c>
      <c r="R336" s="4">
        <f t="shared" si="241"/>
        <v>0.98114509762858249</v>
      </c>
      <c r="S336" s="4">
        <f t="shared" si="241"/>
        <v>0.97311898315872036</v>
      </c>
      <c r="T336" s="4">
        <f t="shared" si="241"/>
        <v>0.96177484161592774</v>
      </c>
      <c r="U336" s="4">
        <f t="shared" si="241"/>
        <v>0.94584787155511363</v>
      </c>
      <c r="V336" s="4">
        <f t="shared" si="241"/>
        <v>0.92370360150141495</v>
      </c>
      <c r="W336" s="4">
        <f t="shared" si="241"/>
        <v>0.89334463567658451</v>
      </c>
      <c r="X336" s="4">
        <f t="shared" si="241"/>
        <v>0.85254543874327005</v>
      </c>
      <c r="Y336" s="4">
        <f t="shared" si="241"/>
        <v>0.79921300652623883</v>
      </c>
      <c r="Z336" s="4">
        <f t="shared" si="241"/>
        <v>0.73204982249993378</v>
      </c>
      <c r="AA336" s="4">
        <f t="shared" si="241"/>
        <v>0.65145592958786691</v>
      </c>
      <c r="AB336" s="4">
        <f t="shared" si="241"/>
        <v>0.56032247880849573</v>
      </c>
      <c r="AC336" s="4">
        <f t="shared" si="241"/>
        <v>0.46411326873185343</v>
      </c>
      <c r="AD336" s="4">
        <f t="shared" si="241"/>
        <v>0.36979727595523937</v>
      </c>
      <c r="AE336" s="4">
        <f t="shared" si="241"/>
        <v>0.28393948637231203</v>
      </c>
      <c r="AF336" s="4">
        <f t="shared" si="241"/>
        <v>0.21097259161117732</v>
      </c>
      <c r="AG336" s="4">
        <f t="shared" si="241"/>
        <v>0.15253917653798199</v>
      </c>
      <c r="AH336" s="4">
        <f t="shared" si="241"/>
        <v>0.10795188737709993</v>
      </c>
      <c r="AI336" s="4">
        <f t="shared" si="241"/>
        <v>7.5176653938091809E-2</v>
      </c>
      <c r="AJ336" s="4">
        <f t="shared" si="241"/>
        <v>5.1742836177502194E-2</v>
      </c>
      <c r="AK336" s="4">
        <f t="shared" si="241"/>
        <v>3.5319190625345942E-2</v>
      </c>
      <c r="AL336" s="4">
        <f t="shared" si="241"/>
        <v>2.3969442072658165E-2</v>
      </c>
      <c r="AM336" s="4">
        <f t="shared" si="241"/>
        <v>1.6202243558389728E-2</v>
      </c>
      <c r="AN336" s="4">
        <f t="shared" si="241"/>
        <v>1.0922240564108399E-2</v>
      </c>
      <c r="AO336" s="4">
        <f t="shared" si="241"/>
        <v>7.3493212906090566E-3</v>
      </c>
      <c r="AP336" s="4">
        <f t="shared" si="241"/>
        <v>4.9390262185057265E-3</v>
      </c>
      <c r="AQ336" s="4">
        <f t="shared" si="241"/>
        <v>3.3164275492956197E-3</v>
      </c>
      <c r="AR336" s="4">
        <f t="shared" si="241"/>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41"/>
        <v>0.9867978615748374</v>
      </c>
      <c r="R337" s="4">
        <f t="shared" si="241"/>
        <v>0.98114509762858249</v>
      </c>
      <c r="S337" s="4">
        <f t="shared" si="241"/>
        <v>0.97311898315872036</v>
      </c>
      <c r="T337" s="4">
        <f t="shared" si="241"/>
        <v>0.96177484161592774</v>
      </c>
      <c r="U337" s="4">
        <f t="shared" si="241"/>
        <v>0.94584787155511363</v>
      </c>
      <c r="V337" s="4">
        <f t="shared" si="241"/>
        <v>0.92370360150141495</v>
      </c>
      <c r="W337" s="4">
        <f t="shared" si="241"/>
        <v>0.89334463567658451</v>
      </c>
      <c r="X337" s="4">
        <f t="shared" si="241"/>
        <v>0.85254543874327005</v>
      </c>
      <c r="Y337" s="4">
        <f t="shared" si="241"/>
        <v>0.79921300652623883</v>
      </c>
      <c r="Z337" s="4">
        <f t="shared" si="241"/>
        <v>0.73204982249993378</v>
      </c>
      <c r="AA337" s="4">
        <f t="shared" si="241"/>
        <v>0.65145592958786691</v>
      </c>
      <c r="AB337" s="4">
        <f t="shared" si="241"/>
        <v>0.56032247880849573</v>
      </c>
      <c r="AC337" s="4">
        <f t="shared" si="241"/>
        <v>0.46411326873185343</v>
      </c>
      <c r="AD337" s="4">
        <f t="shared" si="241"/>
        <v>0.36979727595523937</v>
      </c>
      <c r="AE337" s="4">
        <f t="shared" si="241"/>
        <v>0.28393948637231203</v>
      </c>
      <c r="AF337" s="4">
        <f t="shared" si="241"/>
        <v>0.21097259161117732</v>
      </c>
      <c r="AG337" s="4">
        <f t="shared" si="241"/>
        <v>0.15253917653798199</v>
      </c>
      <c r="AH337" s="4">
        <f t="shared" si="241"/>
        <v>0.10795188737709993</v>
      </c>
      <c r="AI337" s="4">
        <f t="shared" si="241"/>
        <v>7.5176653938091809E-2</v>
      </c>
      <c r="AJ337" s="4">
        <f t="shared" si="241"/>
        <v>5.1742836177502194E-2</v>
      </c>
      <c r="AK337" s="4">
        <f t="shared" si="241"/>
        <v>3.5319190625345942E-2</v>
      </c>
      <c r="AL337" s="4">
        <f t="shared" si="241"/>
        <v>2.3969442072658165E-2</v>
      </c>
      <c r="AM337" s="4">
        <f t="shared" si="241"/>
        <v>1.6202243558389728E-2</v>
      </c>
      <c r="AN337" s="4">
        <f t="shared" si="241"/>
        <v>1.0922240564108399E-2</v>
      </c>
      <c r="AO337" s="4">
        <f t="shared" si="241"/>
        <v>7.3493212906090566E-3</v>
      </c>
      <c r="AP337" s="4">
        <f t="shared" si="241"/>
        <v>4.9390262185057265E-3</v>
      </c>
      <c r="AQ337" s="4">
        <f t="shared" si="241"/>
        <v>3.3164275492956197E-3</v>
      </c>
      <c r="AR337" s="4">
        <f t="shared" si="241"/>
        <v>2.2256362146679809E-3</v>
      </c>
    </row>
    <row r="338" spans="1:44" x14ac:dyDescent="0.25">
      <c r="A338" s="24" t="s">
        <v>79</v>
      </c>
      <c r="B338" s="45">
        <f>'Parameter Input'!$L$178</f>
        <v>0.06</v>
      </c>
      <c r="C338" s="46">
        <f>'Parameter Input'!$M$178</f>
        <v>0.06</v>
      </c>
      <c r="D338" s="1" t="s">
        <v>57</v>
      </c>
      <c r="L338" s="54">
        <f>'Parameter Input'!$O$178</f>
        <v>12</v>
      </c>
      <c r="M338" s="37">
        <v>0</v>
      </c>
      <c r="N338" s="37">
        <v>1</v>
      </c>
      <c r="O338" s="37">
        <f>'Parameter Input'!$P$178</f>
        <v>0.9</v>
      </c>
      <c r="P338" s="55">
        <f>'Parameter Input'!$Q$178</f>
        <v>0.4</v>
      </c>
      <c r="Q338" s="4">
        <f t="shared" si="241"/>
        <v>0.9867978615748374</v>
      </c>
      <c r="R338" s="4">
        <f t="shared" si="241"/>
        <v>0.98114509762858249</v>
      </c>
      <c r="S338" s="4">
        <f t="shared" si="241"/>
        <v>0.97311898315872036</v>
      </c>
      <c r="T338" s="4">
        <f t="shared" si="241"/>
        <v>0.96177484161592774</v>
      </c>
      <c r="U338" s="4">
        <f t="shared" si="241"/>
        <v>0.94584787155511363</v>
      </c>
      <c r="V338" s="4">
        <f t="shared" si="241"/>
        <v>0.92370360150141495</v>
      </c>
      <c r="W338" s="4">
        <f t="shared" si="241"/>
        <v>0.89334463567658451</v>
      </c>
      <c r="X338" s="4">
        <f t="shared" si="241"/>
        <v>0.85254543874327005</v>
      </c>
      <c r="Y338" s="4">
        <f t="shared" si="241"/>
        <v>0.79921300652623883</v>
      </c>
      <c r="Z338" s="4">
        <f t="shared" si="241"/>
        <v>0.73204982249993378</v>
      </c>
      <c r="AA338" s="4">
        <f t="shared" si="241"/>
        <v>0.65145592958786691</v>
      </c>
      <c r="AB338" s="4">
        <f t="shared" si="241"/>
        <v>0.56032247880849573</v>
      </c>
      <c r="AC338" s="4">
        <f t="shared" si="241"/>
        <v>0.46411326873185343</v>
      </c>
      <c r="AD338" s="4">
        <f t="shared" si="241"/>
        <v>0.36979727595523937</v>
      </c>
      <c r="AE338" s="4">
        <f t="shared" si="241"/>
        <v>0.28393948637231203</v>
      </c>
      <c r="AF338" s="4">
        <f t="shared" si="241"/>
        <v>0.21097259161117732</v>
      </c>
      <c r="AG338" s="4">
        <f t="shared" si="241"/>
        <v>0.15253917653798199</v>
      </c>
      <c r="AH338" s="4">
        <f t="shared" si="241"/>
        <v>0.10795188737709993</v>
      </c>
      <c r="AI338" s="4">
        <f t="shared" si="241"/>
        <v>7.5176653938091809E-2</v>
      </c>
      <c r="AJ338" s="4">
        <f t="shared" si="241"/>
        <v>5.1742836177502194E-2</v>
      </c>
      <c r="AK338" s="4">
        <f t="shared" si="241"/>
        <v>3.5319190625345942E-2</v>
      </c>
      <c r="AL338" s="4">
        <f t="shared" si="241"/>
        <v>2.3969442072658165E-2</v>
      </c>
      <c r="AM338" s="4">
        <f t="shared" si="241"/>
        <v>1.6202243558389728E-2</v>
      </c>
      <c r="AN338" s="4">
        <f t="shared" si="241"/>
        <v>1.0922240564108399E-2</v>
      </c>
      <c r="AO338" s="4">
        <f t="shared" si="241"/>
        <v>7.3493212906090566E-3</v>
      </c>
      <c r="AP338" s="4">
        <f t="shared" si="241"/>
        <v>4.9390262185057265E-3</v>
      </c>
      <c r="AQ338" s="4">
        <f t="shared" si="241"/>
        <v>3.3164275492956197E-3</v>
      </c>
      <c r="AR338" s="4">
        <f t="shared" si="241"/>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41"/>
        <v>0.9867978615748374</v>
      </c>
      <c r="R339" s="4">
        <f t="shared" si="241"/>
        <v>0.98114509762858249</v>
      </c>
      <c r="S339" s="4">
        <f t="shared" si="241"/>
        <v>0.97311898315872036</v>
      </c>
      <c r="T339" s="4">
        <f t="shared" si="241"/>
        <v>0.96177484161592774</v>
      </c>
      <c r="U339" s="4">
        <f t="shared" si="241"/>
        <v>0.94584787155511363</v>
      </c>
      <c r="V339" s="4">
        <f t="shared" si="241"/>
        <v>0.92370360150141495</v>
      </c>
      <c r="W339" s="4">
        <f t="shared" si="241"/>
        <v>0.89334463567658451</v>
      </c>
      <c r="X339" s="4">
        <f t="shared" si="241"/>
        <v>0.85254543874327005</v>
      </c>
      <c r="Y339" s="4">
        <f t="shared" si="241"/>
        <v>0.79921300652623883</v>
      </c>
      <c r="Z339" s="4">
        <f t="shared" si="241"/>
        <v>0.73204982249993378</v>
      </c>
      <c r="AA339" s="4">
        <f t="shared" si="241"/>
        <v>0.65145592958786691</v>
      </c>
      <c r="AB339" s="4">
        <f t="shared" si="241"/>
        <v>0.56032247880849573</v>
      </c>
      <c r="AC339" s="4">
        <f t="shared" si="241"/>
        <v>0.46411326873185343</v>
      </c>
      <c r="AD339" s="4">
        <f t="shared" si="241"/>
        <v>0.36979727595523937</v>
      </c>
      <c r="AE339" s="4">
        <f t="shared" si="241"/>
        <v>0.28393948637231203</v>
      </c>
      <c r="AF339" s="4">
        <f t="shared" si="241"/>
        <v>0.21097259161117732</v>
      </c>
      <c r="AG339" s="4">
        <f t="shared" si="241"/>
        <v>0.15253917653798199</v>
      </c>
      <c r="AH339" s="4">
        <f t="shared" si="241"/>
        <v>0.10795188737709993</v>
      </c>
      <c r="AI339" s="4">
        <f t="shared" si="241"/>
        <v>7.5176653938091809E-2</v>
      </c>
      <c r="AJ339" s="4">
        <f t="shared" si="241"/>
        <v>5.1742836177502194E-2</v>
      </c>
      <c r="AK339" s="4">
        <f t="shared" si="241"/>
        <v>3.5319190625345942E-2</v>
      </c>
      <c r="AL339" s="4">
        <f t="shared" si="241"/>
        <v>2.3969442072658165E-2</v>
      </c>
      <c r="AM339" s="4">
        <f t="shared" si="241"/>
        <v>1.6202243558389728E-2</v>
      </c>
      <c r="AN339" s="4">
        <f t="shared" si="241"/>
        <v>1.0922240564108399E-2</v>
      </c>
      <c r="AO339" s="4">
        <f t="shared" si="241"/>
        <v>7.3493212906090566E-3</v>
      </c>
      <c r="AP339" s="4">
        <f t="shared" si="241"/>
        <v>4.9390262185057265E-3</v>
      </c>
      <c r="AQ339" s="4">
        <f t="shared" si="241"/>
        <v>3.3164275492956197E-3</v>
      </c>
      <c r="AR339" s="4">
        <f t="shared" si="241"/>
        <v>2.2256362146679809E-3</v>
      </c>
    </row>
    <row r="340" spans="1:44" x14ac:dyDescent="0.25">
      <c r="A340" s="24" t="s">
        <v>52</v>
      </c>
      <c r="B340" s="43">
        <f>'Parameter Input'!$L$174</f>
        <v>1300000</v>
      </c>
      <c r="C340" s="44">
        <f>'Parameter Input'!$M$174</f>
        <v>812500</v>
      </c>
      <c r="D340" s="1" t="s">
        <v>38</v>
      </c>
      <c r="L340" s="54">
        <f>'Parameter Input'!$O$174</f>
        <v>12</v>
      </c>
      <c r="M340" s="37">
        <v>0</v>
      </c>
      <c r="N340" s="37">
        <v>1</v>
      </c>
      <c r="O340" s="37">
        <f>'Parameter Input'!$P$174</f>
        <v>0.9</v>
      </c>
      <c r="P340" s="55">
        <f>'Parameter Input'!$Q$174</f>
        <v>0.4</v>
      </c>
      <c r="Q340" s="4">
        <f t="shared" si="241"/>
        <v>0.9867978615748374</v>
      </c>
      <c r="R340" s="4">
        <f t="shared" si="241"/>
        <v>0.98114509762858249</v>
      </c>
      <c r="S340" s="4">
        <f t="shared" si="241"/>
        <v>0.97311898315872036</v>
      </c>
      <c r="T340" s="4">
        <f t="shared" si="241"/>
        <v>0.96177484161592774</v>
      </c>
      <c r="U340" s="4">
        <f t="shared" si="241"/>
        <v>0.94584787155511363</v>
      </c>
      <c r="V340" s="4">
        <f t="shared" si="241"/>
        <v>0.92370360150141495</v>
      </c>
      <c r="W340" s="4">
        <f t="shared" si="241"/>
        <v>0.89334463567658451</v>
      </c>
      <c r="X340" s="4">
        <f t="shared" si="241"/>
        <v>0.85254543874327005</v>
      </c>
      <c r="Y340" s="4">
        <f t="shared" si="241"/>
        <v>0.79921300652623883</v>
      </c>
      <c r="Z340" s="4">
        <f t="shared" si="241"/>
        <v>0.73204982249993378</v>
      </c>
      <c r="AA340" s="4">
        <f t="shared" si="241"/>
        <v>0.65145592958786691</v>
      </c>
      <c r="AB340" s="4">
        <f t="shared" si="241"/>
        <v>0.56032247880849573</v>
      </c>
      <c r="AC340" s="4">
        <f t="shared" si="241"/>
        <v>0.46411326873185343</v>
      </c>
      <c r="AD340" s="4">
        <f t="shared" si="241"/>
        <v>0.36979727595523937</v>
      </c>
      <c r="AE340" s="4">
        <f t="shared" si="241"/>
        <v>0.28393948637231203</v>
      </c>
      <c r="AF340" s="4">
        <f t="shared" si="241"/>
        <v>0.21097259161117732</v>
      </c>
      <c r="AG340" s="4">
        <f t="shared" si="241"/>
        <v>0.15253917653798199</v>
      </c>
      <c r="AH340" s="4">
        <f t="shared" si="241"/>
        <v>0.10795188737709993</v>
      </c>
      <c r="AI340" s="4">
        <f t="shared" si="241"/>
        <v>7.5176653938091809E-2</v>
      </c>
      <c r="AJ340" s="4">
        <f t="shared" si="241"/>
        <v>5.1742836177502194E-2</v>
      </c>
      <c r="AK340" s="4">
        <f t="shared" si="241"/>
        <v>3.5319190625345942E-2</v>
      </c>
      <c r="AL340" s="4">
        <f t="shared" si="241"/>
        <v>2.3969442072658165E-2</v>
      </c>
      <c r="AM340" s="4">
        <f t="shared" si="241"/>
        <v>1.6202243558389728E-2</v>
      </c>
      <c r="AN340" s="4">
        <f t="shared" si="241"/>
        <v>1.0922240564108399E-2</v>
      </c>
      <c r="AO340" s="4">
        <f t="shared" si="241"/>
        <v>7.3493212906090566E-3</v>
      </c>
      <c r="AP340" s="4">
        <f t="shared" si="241"/>
        <v>4.9390262185057265E-3</v>
      </c>
      <c r="AQ340" s="4">
        <f t="shared" si="241"/>
        <v>3.3164275492956197E-3</v>
      </c>
      <c r="AR340" s="4">
        <f t="shared" si="241"/>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41"/>
        <v>0.9867978615748374</v>
      </c>
      <c r="R341" s="4">
        <f t="shared" si="241"/>
        <v>0.98114509762858249</v>
      </c>
      <c r="S341" s="4">
        <f t="shared" si="241"/>
        <v>0.97311898315872036</v>
      </c>
      <c r="T341" s="4">
        <f t="shared" si="241"/>
        <v>0.96177484161592774</v>
      </c>
      <c r="U341" s="4">
        <f t="shared" si="241"/>
        <v>0.94584787155511363</v>
      </c>
      <c r="V341" s="4">
        <f t="shared" si="241"/>
        <v>0.92370360150141495</v>
      </c>
      <c r="W341" s="4">
        <f t="shared" si="241"/>
        <v>0.89334463567658451</v>
      </c>
      <c r="X341" s="4">
        <f t="shared" si="241"/>
        <v>0.85254543874327005</v>
      </c>
      <c r="Y341" s="4">
        <f t="shared" si="241"/>
        <v>0.79921300652623883</v>
      </c>
      <c r="Z341" s="4">
        <f t="shared" si="241"/>
        <v>0.73204982249993378</v>
      </c>
      <c r="AA341" s="4">
        <f t="shared" si="241"/>
        <v>0.65145592958786691</v>
      </c>
      <c r="AB341" s="4">
        <f t="shared" si="241"/>
        <v>0.56032247880849573</v>
      </c>
      <c r="AC341" s="4">
        <f t="shared" si="241"/>
        <v>0.46411326873185343</v>
      </c>
      <c r="AD341" s="4">
        <f t="shared" si="241"/>
        <v>0.36979727595523937</v>
      </c>
      <c r="AE341" s="4">
        <f t="shared" si="241"/>
        <v>0.28393948637231203</v>
      </c>
      <c r="AF341" s="4">
        <f t="shared" si="241"/>
        <v>0.21097259161117732</v>
      </c>
      <c r="AG341" s="4">
        <f t="shared" si="241"/>
        <v>0.15253917653798199</v>
      </c>
      <c r="AH341" s="4">
        <f t="shared" si="241"/>
        <v>0.10795188737709993</v>
      </c>
      <c r="AI341" s="4">
        <f t="shared" si="241"/>
        <v>7.5176653938091809E-2</v>
      </c>
      <c r="AJ341" s="4">
        <f t="shared" si="241"/>
        <v>5.1742836177502194E-2</v>
      </c>
      <c r="AK341" s="4">
        <f t="shared" si="241"/>
        <v>3.5319190625345942E-2</v>
      </c>
      <c r="AL341" s="4">
        <f t="shared" si="241"/>
        <v>2.3969442072658165E-2</v>
      </c>
      <c r="AM341" s="4">
        <f t="shared" si="241"/>
        <v>1.6202243558389728E-2</v>
      </c>
      <c r="AN341" s="4">
        <f t="shared" si="241"/>
        <v>1.0922240564108399E-2</v>
      </c>
      <c r="AO341" s="4">
        <f t="shared" si="241"/>
        <v>7.3493212906090566E-3</v>
      </c>
      <c r="AP341" s="4">
        <f t="shared" si="241"/>
        <v>4.9390262185057265E-3</v>
      </c>
      <c r="AQ341" s="4">
        <f t="shared" si="241"/>
        <v>3.3164275492956197E-3</v>
      </c>
      <c r="AR341" s="4">
        <f t="shared" si="241"/>
        <v>2.2256362146679809E-3</v>
      </c>
    </row>
    <row r="342" spans="1:44" x14ac:dyDescent="0.25">
      <c r="A342" s="24" t="s">
        <v>59</v>
      </c>
      <c r="B342" s="47">
        <f>'Parameter Input'!$L$175</f>
        <v>33.590199999999996</v>
      </c>
      <c r="C342" s="48">
        <f>'Parameter Input'!$M$175</f>
        <v>33.590199999999996</v>
      </c>
      <c r="D342" s="1" t="s">
        <v>60</v>
      </c>
      <c r="L342" s="54">
        <f>'Parameter Input'!$O$175</f>
        <v>12</v>
      </c>
      <c r="M342" s="37">
        <v>0</v>
      </c>
      <c r="N342" s="37">
        <v>1</v>
      </c>
      <c r="O342" s="37">
        <f>'Parameter Input'!$P$175</f>
        <v>0.9</v>
      </c>
      <c r="P342" s="55">
        <f>'Parameter Input'!$Q$175</f>
        <v>0.4</v>
      </c>
      <c r="Q342" s="4">
        <f t="shared" si="241"/>
        <v>0.9867978615748374</v>
      </c>
      <c r="R342" s="4">
        <f t="shared" si="241"/>
        <v>0.98114509762858249</v>
      </c>
      <c r="S342" s="4">
        <f t="shared" si="241"/>
        <v>0.97311898315872036</v>
      </c>
      <c r="T342" s="4">
        <f t="shared" si="241"/>
        <v>0.96177484161592774</v>
      </c>
      <c r="U342" s="4">
        <f t="shared" si="241"/>
        <v>0.94584787155511363</v>
      </c>
      <c r="V342" s="4">
        <f t="shared" si="241"/>
        <v>0.92370360150141495</v>
      </c>
      <c r="W342" s="4">
        <f t="shared" si="241"/>
        <v>0.89334463567658451</v>
      </c>
      <c r="X342" s="4">
        <f t="shared" si="241"/>
        <v>0.85254543874327005</v>
      </c>
      <c r="Y342" s="4">
        <f t="shared" si="241"/>
        <v>0.79921300652623883</v>
      </c>
      <c r="Z342" s="4">
        <f t="shared" si="241"/>
        <v>0.73204982249993378</v>
      </c>
      <c r="AA342" s="4">
        <f t="shared" si="241"/>
        <v>0.65145592958786691</v>
      </c>
      <c r="AB342" s="4">
        <f t="shared" si="241"/>
        <v>0.56032247880849573</v>
      </c>
      <c r="AC342" s="4">
        <f t="shared" si="241"/>
        <v>0.46411326873185343</v>
      </c>
      <c r="AD342" s="4">
        <f t="shared" si="241"/>
        <v>0.36979727595523937</v>
      </c>
      <c r="AE342" s="4">
        <f t="shared" si="241"/>
        <v>0.28393948637231203</v>
      </c>
      <c r="AF342" s="4">
        <f t="shared" si="241"/>
        <v>0.21097259161117732</v>
      </c>
      <c r="AG342" s="4">
        <f t="shared" si="241"/>
        <v>0.15253917653798199</v>
      </c>
      <c r="AH342" s="4">
        <f t="shared" si="241"/>
        <v>0.10795188737709993</v>
      </c>
      <c r="AI342" s="4">
        <f t="shared" si="241"/>
        <v>7.5176653938091809E-2</v>
      </c>
      <c r="AJ342" s="4">
        <f t="shared" si="241"/>
        <v>5.1742836177502194E-2</v>
      </c>
      <c r="AK342" s="4">
        <f t="shared" si="241"/>
        <v>3.5319190625345942E-2</v>
      </c>
      <c r="AL342" s="4">
        <f t="shared" si="241"/>
        <v>2.3969442072658165E-2</v>
      </c>
      <c r="AM342" s="4">
        <f t="shared" si="241"/>
        <v>1.6202243558389728E-2</v>
      </c>
      <c r="AN342" s="4">
        <f t="shared" si="241"/>
        <v>1.0922240564108399E-2</v>
      </c>
      <c r="AO342" s="4">
        <f t="shared" si="241"/>
        <v>7.3493212906090566E-3</v>
      </c>
      <c r="AP342" s="4">
        <f t="shared" si="241"/>
        <v>4.9390262185057265E-3</v>
      </c>
      <c r="AQ342" s="4">
        <f t="shared" si="241"/>
        <v>3.3164275492956197E-3</v>
      </c>
      <c r="AR342" s="4">
        <f t="shared" si="241"/>
        <v>2.2256362146679809E-3</v>
      </c>
    </row>
    <row r="343" spans="1:44" x14ac:dyDescent="0.25">
      <c r="A343" s="24" t="s">
        <v>67</v>
      </c>
      <c r="B343" s="45">
        <f>'Parameter Input'!$L$176</f>
        <v>0.13371034051801745</v>
      </c>
      <c r="C343" s="46">
        <f>'Parameter Input'!$M$176</f>
        <v>8.7585019329602734E-2</v>
      </c>
      <c r="D343" s="1" t="s">
        <v>68</v>
      </c>
      <c r="L343" s="54">
        <f>'Parameter Input'!$O$176</f>
        <v>12</v>
      </c>
      <c r="M343" s="37">
        <v>0</v>
      </c>
      <c r="N343" s="37">
        <v>1</v>
      </c>
      <c r="O343" s="37">
        <f>'Parameter Input'!$P$176</f>
        <v>0.9</v>
      </c>
      <c r="P343" s="55">
        <f>'Parameter Input'!$Q$176</f>
        <v>0.4</v>
      </c>
      <c r="Q343" s="4">
        <f t="shared" si="241"/>
        <v>0.9867978615748374</v>
      </c>
      <c r="R343" s="4">
        <f t="shared" si="241"/>
        <v>0.98114509762858249</v>
      </c>
      <c r="S343" s="4">
        <f t="shared" si="241"/>
        <v>0.97311898315872036</v>
      </c>
      <c r="T343" s="4">
        <f t="shared" ref="T343:AI350" si="242">$N343+($M343-$N343)*((1/(1+EXP(-$P343*(T$9-$L343)))^$O343))</f>
        <v>0.96177484161592774</v>
      </c>
      <c r="U343" s="4">
        <f t="shared" si="242"/>
        <v>0.94584787155511363</v>
      </c>
      <c r="V343" s="4">
        <f t="shared" si="242"/>
        <v>0.92370360150141495</v>
      </c>
      <c r="W343" s="4">
        <f t="shared" si="242"/>
        <v>0.89334463567658451</v>
      </c>
      <c r="X343" s="4">
        <f t="shared" si="242"/>
        <v>0.85254543874327005</v>
      </c>
      <c r="Y343" s="4">
        <f t="shared" si="242"/>
        <v>0.79921300652623883</v>
      </c>
      <c r="Z343" s="4">
        <f t="shared" si="242"/>
        <v>0.73204982249993378</v>
      </c>
      <c r="AA343" s="4">
        <f t="shared" si="242"/>
        <v>0.65145592958786691</v>
      </c>
      <c r="AB343" s="4">
        <f t="shared" si="242"/>
        <v>0.56032247880849573</v>
      </c>
      <c r="AC343" s="4">
        <f t="shared" si="242"/>
        <v>0.46411326873185343</v>
      </c>
      <c r="AD343" s="4">
        <f t="shared" si="242"/>
        <v>0.36979727595523937</v>
      </c>
      <c r="AE343" s="4">
        <f t="shared" si="242"/>
        <v>0.28393948637231203</v>
      </c>
      <c r="AF343" s="4">
        <f t="shared" si="242"/>
        <v>0.21097259161117732</v>
      </c>
      <c r="AG343" s="4">
        <f t="shared" si="242"/>
        <v>0.15253917653798199</v>
      </c>
      <c r="AH343" s="4">
        <f t="shared" si="242"/>
        <v>0.10795188737709993</v>
      </c>
      <c r="AI343" s="4">
        <f t="shared" si="242"/>
        <v>7.5176653938091809E-2</v>
      </c>
      <c r="AJ343" s="4">
        <f t="shared" ref="AJ343:AR350" si="243">$N343+($M343-$N343)*((1/(1+EXP(-$P343*(AJ$9-$L343)))^$O343))</f>
        <v>5.1742836177502194E-2</v>
      </c>
      <c r="AK343" s="4">
        <f t="shared" si="243"/>
        <v>3.5319190625345942E-2</v>
      </c>
      <c r="AL343" s="4">
        <f t="shared" si="243"/>
        <v>2.3969442072658165E-2</v>
      </c>
      <c r="AM343" s="4">
        <f t="shared" si="243"/>
        <v>1.6202243558389728E-2</v>
      </c>
      <c r="AN343" s="4">
        <f t="shared" si="243"/>
        <v>1.0922240564108399E-2</v>
      </c>
      <c r="AO343" s="4">
        <f t="shared" si="243"/>
        <v>7.3493212906090566E-3</v>
      </c>
      <c r="AP343" s="4">
        <f t="shared" si="243"/>
        <v>4.9390262185057265E-3</v>
      </c>
      <c r="AQ343" s="4">
        <f t="shared" si="243"/>
        <v>3.3164275492956197E-3</v>
      </c>
      <c r="AR343" s="4">
        <f t="shared" si="243"/>
        <v>2.2256362146679809E-3</v>
      </c>
    </row>
    <row r="344" spans="1:44" x14ac:dyDescent="0.25">
      <c r="A344" s="24" t="s">
        <v>206</v>
      </c>
      <c r="B344" s="115">
        <f>'Parameter Input'!$L$179</f>
        <v>0</v>
      </c>
      <c r="C344" s="116">
        <f>'Parameter Input'!$M$179</f>
        <v>0</v>
      </c>
      <c r="D344" s="1" t="s">
        <v>76</v>
      </c>
      <c r="L344" s="54">
        <f>'Parameter Input'!$O$179</f>
        <v>17</v>
      </c>
      <c r="M344" s="37">
        <v>0</v>
      </c>
      <c r="N344" s="37">
        <v>1</v>
      </c>
      <c r="O344" s="37">
        <f>'Parameter Input'!$P$179</f>
        <v>0.9</v>
      </c>
      <c r="P344" s="55">
        <f>'Parameter Input'!$Q$179</f>
        <v>0.4</v>
      </c>
      <c r="Q344" s="4">
        <f t="shared" ref="Q344:AR344" si="244">$N344+($M344-$N344)*((1/(1+EXP(-$P344*(Q$9-$L344)))^$O344))</f>
        <v>0.99780374543478534</v>
      </c>
      <c r="R344" s="4">
        <f t="shared" si="244"/>
        <v>0.99685359315256394</v>
      </c>
      <c r="S344" s="4">
        <f t="shared" si="244"/>
        <v>0.99549347132349975</v>
      </c>
      <c r="T344" s="4">
        <f t="shared" si="244"/>
        <v>0.99354772139898062</v>
      </c>
      <c r="U344" s="4">
        <f t="shared" si="244"/>
        <v>0.99076681540580536</v>
      </c>
      <c r="V344" s="4">
        <f t="shared" si="244"/>
        <v>0.9867978615748374</v>
      </c>
      <c r="W344" s="4">
        <f t="shared" si="244"/>
        <v>0.98114509762858249</v>
      </c>
      <c r="X344" s="4">
        <f t="shared" si="244"/>
        <v>0.97311898315872036</v>
      </c>
      <c r="Y344" s="4">
        <f t="shared" si="244"/>
        <v>0.96177484161592774</v>
      </c>
      <c r="Z344" s="4">
        <f t="shared" si="244"/>
        <v>0.94584787155511363</v>
      </c>
      <c r="AA344" s="4">
        <f t="shared" si="244"/>
        <v>0.92370360150141495</v>
      </c>
      <c r="AB344" s="4">
        <f t="shared" si="244"/>
        <v>0.89334463567658451</v>
      </c>
      <c r="AC344" s="4">
        <f t="shared" si="244"/>
        <v>0.85254543874327005</v>
      </c>
      <c r="AD344" s="4">
        <f t="shared" si="244"/>
        <v>0.79921300652623883</v>
      </c>
      <c r="AE344" s="4">
        <f t="shared" si="244"/>
        <v>0.73204982249993378</v>
      </c>
      <c r="AF344" s="4">
        <f t="shared" si="244"/>
        <v>0.65145592958786691</v>
      </c>
      <c r="AG344" s="4">
        <f t="shared" si="244"/>
        <v>0.56032247880849573</v>
      </c>
      <c r="AH344" s="4">
        <f t="shared" si="244"/>
        <v>0.46411326873185343</v>
      </c>
      <c r="AI344" s="4">
        <f t="shared" si="244"/>
        <v>0.36979727595523937</v>
      </c>
      <c r="AJ344" s="4">
        <f t="shared" si="244"/>
        <v>0.28393948637231203</v>
      </c>
      <c r="AK344" s="4">
        <f t="shared" si="244"/>
        <v>0.21097259161117732</v>
      </c>
      <c r="AL344" s="4">
        <f t="shared" si="244"/>
        <v>0.15253917653798199</v>
      </c>
      <c r="AM344" s="4">
        <f t="shared" si="244"/>
        <v>0.10795188737709993</v>
      </c>
      <c r="AN344" s="4">
        <f t="shared" si="244"/>
        <v>7.5176653938091809E-2</v>
      </c>
      <c r="AO344" s="4">
        <f t="shared" si="244"/>
        <v>5.1742836177502194E-2</v>
      </c>
      <c r="AP344" s="4">
        <f t="shared" si="244"/>
        <v>3.5319190625345942E-2</v>
      </c>
      <c r="AQ344" s="4">
        <f t="shared" si="244"/>
        <v>2.3969442072658165E-2</v>
      </c>
      <c r="AR344" s="4">
        <f t="shared" si="244"/>
        <v>1.6202243558389728E-2</v>
      </c>
    </row>
    <row r="345" spans="1:44" x14ac:dyDescent="0.25">
      <c r="A345" s="24" t="s">
        <v>41</v>
      </c>
      <c r="B345" s="43">
        <f>'Parameter Input'!$L$173</f>
        <v>20</v>
      </c>
      <c r="C345" s="44">
        <f>'Parameter Input'!$M$173</f>
        <v>20</v>
      </c>
      <c r="D345" s="1" t="s">
        <v>42</v>
      </c>
      <c r="L345" s="54">
        <f>'Parameter Input'!$O$173</f>
        <v>12</v>
      </c>
      <c r="M345" s="37">
        <v>0</v>
      </c>
      <c r="N345" s="37">
        <v>1</v>
      </c>
      <c r="O345" s="37">
        <f>'Parameter Input'!$P$173</f>
        <v>0.9</v>
      </c>
      <c r="P345" s="55">
        <f>'Parameter Input'!$Q$173</f>
        <v>0.4</v>
      </c>
      <c r="Q345" s="4">
        <f t="shared" ref="Q345:AF350" si="245">$N345+($M345-$N345)*((1/(1+EXP(-$P345*(Q$9-$L345)))^$O345))</f>
        <v>0.9867978615748374</v>
      </c>
      <c r="R345" s="4">
        <f t="shared" si="245"/>
        <v>0.98114509762858249</v>
      </c>
      <c r="S345" s="4">
        <f t="shared" si="245"/>
        <v>0.97311898315872036</v>
      </c>
      <c r="T345" s="4">
        <f t="shared" si="245"/>
        <v>0.96177484161592774</v>
      </c>
      <c r="U345" s="4">
        <f t="shared" si="245"/>
        <v>0.94584787155511363</v>
      </c>
      <c r="V345" s="4">
        <f t="shared" si="245"/>
        <v>0.92370360150141495</v>
      </c>
      <c r="W345" s="4">
        <f t="shared" si="245"/>
        <v>0.89334463567658451</v>
      </c>
      <c r="X345" s="4">
        <f t="shared" si="245"/>
        <v>0.85254543874327005</v>
      </c>
      <c r="Y345" s="4">
        <f t="shared" si="245"/>
        <v>0.79921300652623883</v>
      </c>
      <c r="Z345" s="4">
        <f t="shared" si="245"/>
        <v>0.73204982249993378</v>
      </c>
      <c r="AA345" s="4">
        <f t="shared" si="245"/>
        <v>0.65145592958786691</v>
      </c>
      <c r="AB345" s="4">
        <f t="shared" si="245"/>
        <v>0.56032247880849573</v>
      </c>
      <c r="AC345" s="4">
        <f t="shared" si="245"/>
        <v>0.46411326873185343</v>
      </c>
      <c r="AD345" s="4">
        <f t="shared" si="245"/>
        <v>0.36979727595523937</v>
      </c>
      <c r="AE345" s="4">
        <f t="shared" si="245"/>
        <v>0.28393948637231203</v>
      </c>
      <c r="AF345" s="4">
        <f t="shared" si="245"/>
        <v>0.21097259161117732</v>
      </c>
      <c r="AG345" s="4">
        <f t="shared" si="242"/>
        <v>0.15253917653798199</v>
      </c>
      <c r="AH345" s="4">
        <f t="shared" si="242"/>
        <v>0.10795188737709993</v>
      </c>
      <c r="AI345" s="4">
        <f t="shared" si="242"/>
        <v>7.5176653938091809E-2</v>
      </c>
      <c r="AJ345" s="4">
        <f t="shared" si="243"/>
        <v>5.1742836177502194E-2</v>
      </c>
      <c r="AK345" s="4">
        <f t="shared" si="243"/>
        <v>3.5319190625345942E-2</v>
      </c>
      <c r="AL345" s="4">
        <f t="shared" si="243"/>
        <v>2.3969442072658165E-2</v>
      </c>
      <c r="AM345" s="4">
        <f t="shared" si="243"/>
        <v>1.6202243558389728E-2</v>
      </c>
      <c r="AN345" s="4">
        <f t="shared" si="243"/>
        <v>1.0922240564108399E-2</v>
      </c>
      <c r="AO345" s="4">
        <f t="shared" si="243"/>
        <v>7.3493212906090566E-3</v>
      </c>
      <c r="AP345" s="4">
        <f t="shared" si="243"/>
        <v>4.9390262185057265E-3</v>
      </c>
      <c r="AQ345" s="4">
        <f t="shared" si="243"/>
        <v>3.3164275492956197E-3</v>
      </c>
      <c r="AR345" s="4">
        <f t="shared" si="243"/>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45"/>
        <v>0.9867978615748374</v>
      </c>
      <c r="R346" s="4">
        <f t="shared" si="245"/>
        <v>0.98114509762858249</v>
      </c>
      <c r="S346" s="4">
        <f t="shared" si="245"/>
        <v>0.97311898315872036</v>
      </c>
      <c r="T346" s="4">
        <f t="shared" si="245"/>
        <v>0.96177484161592774</v>
      </c>
      <c r="U346" s="4">
        <f t="shared" si="245"/>
        <v>0.94584787155511363</v>
      </c>
      <c r="V346" s="4">
        <f t="shared" si="245"/>
        <v>0.92370360150141495</v>
      </c>
      <c r="W346" s="4">
        <f t="shared" si="245"/>
        <v>0.89334463567658451</v>
      </c>
      <c r="X346" s="4">
        <f t="shared" si="245"/>
        <v>0.85254543874327005</v>
      </c>
      <c r="Y346" s="4">
        <f t="shared" si="245"/>
        <v>0.79921300652623883</v>
      </c>
      <c r="Z346" s="4">
        <f t="shared" si="245"/>
        <v>0.73204982249993378</v>
      </c>
      <c r="AA346" s="4">
        <f t="shared" si="245"/>
        <v>0.65145592958786691</v>
      </c>
      <c r="AB346" s="4">
        <f t="shared" si="245"/>
        <v>0.56032247880849573</v>
      </c>
      <c r="AC346" s="4">
        <f t="shared" si="245"/>
        <v>0.46411326873185343</v>
      </c>
      <c r="AD346" s="4">
        <f t="shared" si="245"/>
        <v>0.36979727595523937</v>
      </c>
      <c r="AE346" s="4">
        <f t="shared" si="245"/>
        <v>0.28393948637231203</v>
      </c>
      <c r="AF346" s="4">
        <f t="shared" si="245"/>
        <v>0.21097259161117732</v>
      </c>
      <c r="AG346" s="4">
        <f t="shared" si="242"/>
        <v>0.15253917653798199</v>
      </c>
      <c r="AH346" s="4">
        <f t="shared" si="242"/>
        <v>0.10795188737709993</v>
      </c>
      <c r="AI346" s="4">
        <f t="shared" si="242"/>
        <v>7.5176653938091809E-2</v>
      </c>
      <c r="AJ346" s="4">
        <f t="shared" si="243"/>
        <v>5.1742836177502194E-2</v>
      </c>
      <c r="AK346" s="4">
        <f t="shared" si="243"/>
        <v>3.5319190625345942E-2</v>
      </c>
      <c r="AL346" s="4">
        <f t="shared" si="243"/>
        <v>2.3969442072658165E-2</v>
      </c>
      <c r="AM346" s="4">
        <f t="shared" si="243"/>
        <v>1.6202243558389728E-2</v>
      </c>
      <c r="AN346" s="4">
        <f t="shared" si="243"/>
        <v>1.0922240564108399E-2</v>
      </c>
      <c r="AO346" s="4">
        <f t="shared" si="243"/>
        <v>7.3493212906090566E-3</v>
      </c>
      <c r="AP346" s="4">
        <f t="shared" si="243"/>
        <v>4.9390262185057265E-3</v>
      </c>
      <c r="AQ346" s="4">
        <f t="shared" si="243"/>
        <v>3.3164275492956197E-3</v>
      </c>
      <c r="AR346" s="4">
        <f t="shared" si="243"/>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45"/>
        <v>0.9867978615748374</v>
      </c>
      <c r="R347" s="4">
        <f t="shared" si="245"/>
        <v>0.98114509762858249</v>
      </c>
      <c r="S347" s="4">
        <f t="shared" si="245"/>
        <v>0.97311898315872036</v>
      </c>
      <c r="T347" s="4">
        <f t="shared" si="245"/>
        <v>0.96177484161592774</v>
      </c>
      <c r="U347" s="4">
        <f t="shared" si="245"/>
        <v>0.94584787155511363</v>
      </c>
      <c r="V347" s="4">
        <f t="shared" si="245"/>
        <v>0.92370360150141495</v>
      </c>
      <c r="W347" s="4">
        <f t="shared" si="245"/>
        <v>0.89334463567658451</v>
      </c>
      <c r="X347" s="4">
        <f t="shared" si="245"/>
        <v>0.85254543874327005</v>
      </c>
      <c r="Y347" s="4">
        <f t="shared" si="245"/>
        <v>0.79921300652623883</v>
      </c>
      <c r="Z347" s="4">
        <f t="shared" si="245"/>
        <v>0.73204982249993378</v>
      </c>
      <c r="AA347" s="4">
        <f t="shared" si="245"/>
        <v>0.65145592958786691</v>
      </c>
      <c r="AB347" s="4">
        <f t="shared" si="245"/>
        <v>0.56032247880849573</v>
      </c>
      <c r="AC347" s="4">
        <f t="shared" si="245"/>
        <v>0.46411326873185343</v>
      </c>
      <c r="AD347" s="4">
        <f t="shared" si="245"/>
        <v>0.36979727595523937</v>
      </c>
      <c r="AE347" s="4">
        <f t="shared" si="245"/>
        <v>0.28393948637231203</v>
      </c>
      <c r="AF347" s="4">
        <f t="shared" si="245"/>
        <v>0.21097259161117732</v>
      </c>
      <c r="AG347" s="4">
        <f t="shared" si="242"/>
        <v>0.15253917653798199</v>
      </c>
      <c r="AH347" s="4">
        <f t="shared" si="242"/>
        <v>0.10795188737709993</v>
      </c>
      <c r="AI347" s="4">
        <f t="shared" si="242"/>
        <v>7.5176653938091809E-2</v>
      </c>
      <c r="AJ347" s="4">
        <f t="shared" si="243"/>
        <v>5.1742836177502194E-2</v>
      </c>
      <c r="AK347" s="4">
        <f t="shared" si="243"/>
        <v>3.5319190625345942E-2</v>
      </c>
      <c r="AL347" s="4">
        <f t="shared" si="243"/>
        <v>2.3969442072658165E-2</v>
      </c>
      <c r="AM347" s="4">
        <f t="shared" si="243"/>
        <v>1.6202243558389728E-2</v>
      </c>
      <c r="AN347" s="4">
        <f t="shared" si="243"/>
        <v>1.0922240564108399E-2</v>
      </c>
      <c r="AO347" s="4">
        <f t="shared" si="243"/>
        <v>7.3493212906090566E-3</v>
      </c>
      <c r="AP347" s="4">
        <f t="shared" si="243"/>
        <v>4.9390262185057265E-3</v>
      </c>
      <c r="AQ347" s="4">
        <f t="shared" si="243"/>
        <v>3.3164275492956197E-3</v>
      </c>
      <c r="AR347" s="4">
        <f t="shared" si="243"/>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45"/>
        <v>0.9867978615748374</v>
      </c>
      <c r="R348" s="4">
        <f t="shared" si="245"/>
        <v>0.98114509762858249</v>
      </c>
      <c r="S348" s="4">
        <f t="shared" si="245"/>
        <v>0.97311898315872036</v>
      </c>
      <c r="T348" s="4">
        <f t="shared" si="245"/>
        <v>0.96177484161592774</v>
      </c>
      <c r="U348" s="4">
        <f t="shared" si="245"/>
        <v>0.94584787155511363</v>
      </c>
      <c r="V348" s="4">
        <f t="shared" si="245"/>
        <v>0.92370360150141495</v>
      </c>
      <c r="W348" s="4">
        <f t="shared" si="245"/>
        <v>0.89334463567658451</v>
      </c>
      <c r="X348" s="4">
        <f t="shared" si="245"/>
        <v>0.85254543874327005</v>
      </c>
      <c r="Y348" s="4">
        <f t="shared" si="245"/>
        <v>0.79921300652623883</v>
      </c>
      <c r="Z348" s="4">
        <f t="shared" si="245"/>
        <v>0.73204982249993378</v>
      </c>
      <c r="AA348" s="4">
        <f t="shared" si="245"/>
        <v>0.65145592958786691</v>
      </c>
      <c r="AB348" s="4">
        <f t="shared" si="245"/>
        <v>0.56032247880849573</v>
      </c>
      <c r="AC348" s="4">
        <f t="shared" si="245"/>
        <v>0.46411326873185343</v>
      </c>
      <c r="AD348" s="4">
        <f t="shared" si="245"/>
        <v>0.36979727595523937</v>
      </c>
      <c r="AE348" s="4">
        <f t="shared" si="245"/>
        <v>0.28393948637231203</v>
      </c>
      <c r="AF348" s="4">
        <f t="shared" si="245"/>
        <v>0.21097259161117732</v>
      </c>
      <c r="AG348" s="4">
        <f t="shared" si="242"/>
        <v>0.15253917653798199</v>
      </c>
      <c r="AH348" s="4">
        <f t="shared" si="242"/>
        <v>0.10795188737709993</v>
      </c>
      <c r="AI348" s="4">
        <f t="shared" si="242"/>
        <v>7.5176653938091809E-2</v>
      </c>
      <c r="AJ348" s="4">
        <f t="shared" si="243"/>
        <v>5.1742836177502194E-2</v>
      </c>
      <c r="AK348" s="4">
        <f t="shared" si="243"/>
        <v>3.5319190625345942E-2</v>
      </c>
      <c r="AL348" s="4">
        <f t="shared" si="243"/>
        <v>2.3969442072658165E-2</v>
      </c>
      <c r="AM348" s="4">
        <f t="shared" si="243"/>
        <v>1.6202243558389728E-2</v>
      </c>
      <c r="AN348" s="4">
        <f t="shared" si="243"/>
        <v>1.0922240564108399E-2</v>
      </c>
      <c r="AO348" s="4">
        <f t="shared" si="243"/>
        <v>7.3493212906090566E-3</v>
      </c>
      <c r="AP348" s="4">
        <f t="shared" si="243"/>
        <v>4.9390262185057265E-3</v>
      </c>
      <c r="AQ348" s="4">
        <f t="shared" si="243"/>
        <v>3.3164275492956197E-3</v>
      </c>
      <c r="AR348" s="4">
        <f t="shared" si="243"/>
        <v>2.2256362146679809E-3</v>
      </c>
    </row>
    <row r="349" spans="1:44" x14ac:dyDescent="0.25">
      <c r="A349" s="24" t="s">
        <v>73</v>
      </c>
      <c r="B349" s="72">
        <f>'Parameter Input'!$L$177</f>
        <v>3.5714285714285712E-2</v>
      </c>
      <c r="C349" s="73">
        <f>'Parameter Input'!$M$177</f>
        <v>1.7857142857142856E-2</v>
      </c>
      <c r="D349" s="1" t="s">
        <v>57</v>
      </c>
      <c r="L349" s="54">
        <f>'Parameter Input'!$O$177</f>
        <v>12</v>
      </c>
      <c r="M349" s="37">
        <v>0</v>
      </c>
      <c r="N349" s="37">
        <v>1</v>
      </c>
      <c r="O349" s="37">
        <f>'Parameter Input'!$P$177</f>
        <v>0.9</v>
      </c>
      <c r="P349" s="55">
        <f>'Parameter Input'!$Q$177</f>
        <v>0.4</v>
      </c>
      <c r="Q349" s="4">
        <f t="shared" si="245"/>
        <v>0.9867978615748374</v>
      </c>
      <c r="R349" s="4">
        <f t="shared" si="245"/>
        <v>0.98114509762858249</v>
      </c>
      <c r="S349" s="4">
        <f t="shared" si="245"/>
        <v>0.97311898315872036</v>
      </c>
      <c r="T349" s="4">
        <f t="shared" si="245"/>
        <v>0.96177484161592774</v>
      </c>
      <c r="U349" s="4">
        <f t="shared" si="245"/>
        <v>0.94584787155511363</v>
      </c>
      <c r="V349" s="4">
        <f t="shared" si="245"/>
        <v>0.92370360150141495</v>
      </c>
      <c r="W349" s="4">
        <f t="shared" si="245"/>
        <v>0.89334463567658451</v>
      </c>
      <c r="X349" s="4">
        <f t="shared" si="245"/>
        <v>0.85254543874327005</v>
      </c>
      <c r="Y349" s="4">
        <f t="shared" si="245"/>
        <v>0.79921300652623883</v>
      </c>
      <c r="Z349" s="4">
        <f t="shared" si="245"/>
        <v>0.73204982249993378</v>
      </c>
      <c r="AA349" s="4">
        <f t="shared" si="245"/>
        <v>0.65145592958786691</v>
      </c>
      <c r="AB349" s="4">
        <f t="shared" si="245"/>
        <v>0.56032247880849573</v>
      </c>
      <c r="AC349" s="4">
        <f t="shared" si="245"/>
        <v>0.46411326873185343</v>
      </c>
      <c r="AD349" s="4">
        <f t="shared" si="245"/>
        <v>0.36979727595523937</v>
      </c>
      <c r="AE349" s="4">
        <f t="shared" si="245"/>
        <v>0.28393948637231203</v>
      </c>
      <c r="AF349" s="4">
        <f t="shared" si="245"/>
        <v>0.21097259161117732</v>
      </c>
      <c r="AG349" s="4">
        <f t="shared" si="242"/>
        <v>0.15253917653798199</v>
      </c>
      <c r="AH349" s="4">
        <f t="shared" si="242"/>
        <v>0.10795188737709993</v>
      </c>
      <c r="AI349" s="4">
        <f t="shared" si="242"/>
        <v>7.5176653938091809E-2</v>
      </c>
      <c r="AJ349" s="4">
        <f t="shared" si="243"/>
        <v>5.1742836177502194E-2</v>
      </c>
      <c r="AK349" s="4">
        <f t="shared" si="243"/>
        <v>3.5319190625345942E-2</v>
      </c>
      <c r="AL349" s="4">
        <f t="shared" si="243"/>
        <v>2.3969442072658165E-2</v>
      </c>
      <c r="AM349" s="4">
        <f t="shared" si="243"/>
        <v>1.6202243558389728E-2</v>
      </c>
      <c r="AN349" s="4">
        <f t="shared" si="243"/>
        <v>1.0922240564108399E-2</v>
      </c>
      <c r="AO349" s="4">
        <f t="shared" si="243"/>
        <v>7.3493212906090566E-3</v>
      </c>
      <c r="AP349" s="4">
        <f t="shared" si="243"/>
        <v>4.9390262185057265E-3</v>
      </c>
      <c r="AQ349" s="4">
        <f t="shared" si="243"/>
        <v>3.3164275492956197E-3</v>
      </c>
      <c r="AR349" s="4">
        <f t="shared" si="243"/>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45"/>
        <v>0.9867978615748374</v>
      </c>
      <c r="R350" s="4">
        <f t="shared" si="245"/>
        <v>0.98114509762858249</v>
      </c>
      <c r="S350" s="4">
        <f t="shared" si="245"/>
        <v>0.97311898315872036</v>
      </c>
      <c r="T350" s="4">
        <f t="shared" si="245"/>
        <v>0.96177484161592774</v>
      </c>
      <c r="U350" s="4">
        <f t="shared" si="245"/>
        <v>0.94584787155511363</v>
      </c>
      <c r="V350" s="4">
        <f t="shared" si="245"/>
        <v>0.92370360150141495</v>
      </c>
      <c r="W350" s="4">
        <f t="shared" si="245"/>
        <v>0.89334463567658451</v>
      </c>
      <c r="X350" s="4">
        <f t="shared" si="245"/>
        <v>0.85254543874327005</v>
      </c>
      <c r="Y350" s="4">
        <f t="shared" si="245"/>
        <v>0.79921300652623883</v>
      </c>
      <c r="Z350" s="4">
        <f t="shared" si="245"/>
        <v>0.73204982249993378</v>
      </c>
      <c r="AA350" s="4">
        <f t="shared" si="245"/>
        <v>0.65145592958786691</v>
      </c>
      <c r="AB350" s="4">
        <f t="shared" si="245"/>
        <v>0.56032247880849573</v>
      </c>
      <c r="AC350" s="4">
        <f t="shared" si="245"/>
        <v>0.46411326873185343</v>
      </c>
      <c r="AD350" s="4">
        <f t="shared" si="245"/>
        <v>0.36979727595523937</v>
      </c>
      <c r="AE350" s="4">
        <f t="shared" si="245"/>
        <v>0.28393948637231203</v>
      </c>
      <c r="AF350" s="4">
        <f t="shared" si="245"/>
        <v>0.21097259161117732</v>
      </c>
      <c r="AG350" s="4">
        <f t="shared" si="242"/>
        <v>0.15253917653798199</v>
      </c>
      <c r="AH350" s="4">
        <f t="shared" si="242"/>
        <v>0.10795188737709993</v>
      </c>
      <c r="AI350" s="4">
        <f t="shared" si="242"/>
        <v>7.5176653938091809E-2</v>
      </c>
      <c r="AJ350" s="4">
        <f t="shared" si="243"/>
        <v>5.1742836177502194E-2</v>
      </c>
      <c r="AK350" s="4">
        <f t="shared" si="243"/>
        <v>3.5319190625345942E-2</v>
      </c>
      <c r="AL350" s="4">
        <f t="shared" si="243"/>
        <v>2.3969442072658165E-2</v>
      </c>
      <c r="AM350" s="4">
        <f t="shared" si="243"/>
        <v>1.6202243558389728E-2</v>
      </c>
      <c r="AN350" s="4">
        <f t="shared" si="243"/>
        <v>1.0922240564108399E-2</v>
      </c>
      <c r="AO350" s="4">
        <f t="shared" si="243"/>
        <v>7.3493212906090566E-3</v>
      </c>
      <c r="AP350" s="4">
        <f t="shared" si="243"/>
        <v>4.9390262185057265E-3</v>
      </c>
      <c r="AQ350" s="4">
        <f t="shared" si="243"/>
        <v>3.3164275492956197E-3</v>
      </c>
      <c r="AR350" s="4">
        <f t="shared" si="243"/>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6">A334</f>
        <v>Capex vehicle</v>
      </c>
      <c r="B354" s="62">
        <f t="shared" ref="B354:B362" si="247">$B334+($C334-$B334)*(1-Q334)</f>
        <v>9950491.9809056409</v>
      </c>
      <c r="C354" s="62">
        <f t="shared" ref="C354:C362" si="248">$B334+($C334-$B334)*(1-R334)</f>
        <v>9929294.1161071844</v>
      </c>
      <c r="D354" s="62">
        <f t="shared" ref="D354:D362" si="249">$B334+($C334-$B334)*(1-S334)</f>
        <v>9899196.186845202</v>
      </c>
      <c r="E354" s="62">
        <f t="shared" ref="E354:E362" si="250">$B334+($C334-$B334)*(1-T334)</f>
        <v>9856655.6560597289</v>
      </c>
      <c r="F354" s="62">
        <f t="shared" ref="F354:F362" si="251">$B334+($C334-$B334)*(1-U334)</f>
        <v>9796929.5183316767</v>
      </c>
      <c r="G354" s="62">
        <f t="shared" ref="G354:G362" si="252">$B334+($C334-$B334)*(1-V334)</f>
        <v>9713888.5056303069</v>
      </c>
      <c r="H354" s="62">
        <f t="shared" ref="H354:H362" si="253">$B334+($C334-$B334)*(1-W334)</f>
        <v>9600042.3837871924</v>
      </c>
      <c r="I354" s="62">
        <f t="shared" ref="I354:I362" si="254">$B334+($C334-$B334)*(1-X334)</f>
        <v>9447045.3952872623</v>
      </c>
      <c r="J354" s="62">
        <f t="shared" ref="J354:J362" si="255">$B334+($C334-$B334)*(1-Y334)</f>
        <v>9247048.7744733952</v>
      </c>
      <c r="K354" s="62">
        <f t="shared" ref="K354:K362" si="256">$B334+($C334-$B334)*(1-Z334)</f>
        <v>8995186.8343747519</v>
      </c>
      <c r="L354" s="62">
        <f t="shared" ref="L354:L362" si="257">$B334+($C334-$B334)*(1-AA334)</f>
        <v>8692959.7359545007</v>
      </c>
      <c r="M354" s="62">
        <f t="shared" ref="M354:M362" si="258">$B334+($C334-$B334)*(1-AB334)</f>
        <v>8351209.2955318587</v>
      </c>
      <c r="N354" s="62">
        <f t="shared" ref="N354:N362" si="259">$B334+($C334-$B334)*(1-AC334)</f>
        <v>7990424.7577444501</v>
      </c>
      <c r="O354" s="62">
        <f t="shared" ref="O354:O362" si="260">$B334+($C334-$B334)*(1-AD334)</f>
        <v>7636739.7848321479</v>
      </c>
      <c r="P354" s="62">
        <f t="shared" ref="P354:P362" si="261">$B334+($C334-$B334)*(1-AE334)</f>
        <v>7314773.0738961697</v>
      </c>
      <c r="Q354" s="62">
        <f t="shared" ref="Q354:Q362" si="262">$B334+($C334-$B334)*(1-AF334)</f>
        <v>7041147.2185419146</v>
      </c>
      <c r="R354" s="62">
        <f t="shared" ref="R354:R362" si="263">$B334+($C334-$B334)*(1-AG334)</f>
        <v>6822021.912017433</v>
      </c>
      <c r="S354" s="62">
        <f t="shared" ref="S354:S362" si="264">$B334+($C334-$B334)*(1-AH334)</f>
        <v>6654819.5776641248</v>
      </c>
      <c r="T354" s="62">
        <f t="shared" ref="T354:T362" si="265">$B334+($C334-$B334)*(1-AI334)</f>
        <v>6531912.4522678442</v>
      </c>
      <c r="U354" s="62">
        <f t="shared" ref="U354:U362" si="266">$B334+($C334-$B334)*(1-AJ334)</f>
        <v>6444035.6356656328</v>
      </c>
      <c r="V354" s="62">
        <f t="shared" ref="V354:V362" si="267">$B334+($C334-$B334)*(1-AK334)</f>
        <v>6382446.9648450473</v>
      </c>
      <c r="W354" s="62">
        <f t="shared" ref="W354:W362" si="268">$B334+($C334-$B334)*(1-AL334)</f>
        <v>6339885.4077724684</v>
      </c>
      <c r="X354" s="62">
        <f t="shared" ref="X354:X362" si="269">$B334+($C334-$B334)*(1-AM334)</f>
        <v>6310758.4133439614</v>
      </c>
      <c r="Y354" s="62">
        <f t="shared" ref="Y354:Y362" si="270">$B334+($C334-$B334)*(1-AN334)</f>
        <v>6290958.4021154065</v>
      </c>
      <c r="Z354" s="62">
        <f t="shared" ref="Z354:Z362" si="271">$B334+($C334-$B334)*(1-AO334)</f>
        <v>6277559.9548397847</v>
      </c>
      <c r="AA354" s="62">
        <f t="shared" ref="AA354:AA362" si="272">$B334+($C334-$B334)*(1-AP334)</f>
        <v>6268521.3483193964</v>
      </c>
      <c r="AB354" s="62">
        <f t="shared" ref="AB354:AB362" si="273">$B334+($C334-$B334)*(1-AQ334)</f>
        <v>6262436.6033098586</v>
      </c>
      <c r="AC354" s="62">
        <f t="shared" ref="AC354:AC362" si="274">$B334+($C334-$B334)*(1-AR334)</f>
        <v>6258346.1358050052</v>
      </c>
    </row>
    <row r="355" spans="1:29" x14ac:dyDescent="0.25">
      <c r="A355" s="30" t="str">
        <f t="shared" si="246"/>
        <v>Residual value (vehicle)</v>
      </c>
      <c r="B355" s="62">
        <f t="shared" si="247"/>
        <v>-505775.93556100863</v>
      </c>
      <c r="C355" s="62">
        <f t="shared" si="248"/>
        <v>-508249.01978749514</v>
      </c>
      <c r="D355" s="62">
        <f t="shared" si="249"/>
        <v>-511760.44486805983</v>
      </c>
      <c r="E355" s="62">
        <f t="shared" si="250"/>
        <v>-516723.50679303159</v>
      </c>
      <c r="F355" s="62">
        <f t="shared" si="251"/>
        <v>-523691.55619463779</v>
      </c>
      <c r="G355" s="62">
        <f t="shared" si="252"/>
        <v>-533379.67434313102</v>
      </c>
      <c r="H355" s="62">
        <f t="shared" si="253"/>
        <v>-546661.72189149424</v>
      </c>
      <c r="I355" s="62">
        <f t="shared" si="254"/>
        <v>-564511.37054981932</v>
      </c>
      <c r="J355" s="62">
        <f t="shared" si="255"/>
        <v>-587844.30964477046</v>
      </c>
      <c r="K355" s="62">
        <f t="shared" si="256"/>
        <v>-617228.20265627897</v>
      </c>
      <c r="L355" s="62">
        <f t="shared" si="257"/>
        <v>-652488.03080530826</v>
      </c>
      <c r="M355" s="62">
        <f t="shared" si="258"/>
        <v>-692358.91552128317</v>
      </c>
      <c r="N355" s="62">
        <f t="shared" si="259"/>
        <v>-734450.44492981408</v>
      </c>
      <c r="O355" s="62">
        <f t="shared" si="260"/>
        <v>-775713.6917695828</v>
      </c>
      <c r="P355" s="62">
        <f t="shared" si="261"/>
        <v>-813276.4747121135</v>
      </c>
      <c r="Q355" s="62">
        <f t="shared" si="262"/>
        <v>-845199.49117010995</v>
      </c>
      <c r="R355" s="62">
        <f t="shared" si="263"/>
        <v>-870764.11026463285</v>
      </c>
      <c r="S355" s="62">
        <f t="shared" si="264"/>
        <v>-890271.04927251884</v>
      </c>
      <c r="T355" s="62">
        <f t="shared" si="265"/>
        <v>-904610.21390208486</v>
      </c>
      <c r="U355" s="62">
        <f t="shared" si="266"/>
        <v>-914862.50917234272</v>
      </c>
      <c r="V355" s="62">
        <f t="shared" si="267"/>
        <v>-922047.85410141107</v>
      </c>
      <c r="W355" s="62">
        <f t="shared" si="268"/>
        <v>-927013.36909321207</v>
      </c>
      <c r="X355" s="62">
        <f t="shared" si="269"/>
        <v>-930411.51844320446</v>
      </c>
      <c r="Y355" s="62">
        <f t="shared" si="270"/>
        <v>-932721.51975320256</v>
      </c>
      <c r="Z355" s="62">
        <f t="shared" si="271"/>
        <v>-934284.67193535855</v>
      </c>
      <c r="AA355" s="62">
        <f t="shared" si="272"/>
        <v>-935339.17602940369</v>
      </c>
      <c r="AB355" s="62">
        <f t="shared" si="273"/>
        <v>-936049.06294718315</v>
      </c>
      <c r="AC355" s="62">
        <f t="shared" si="274"/>
        <v>-936526.28415608278</v>
      </c>
    </row>
    <row r="356" spans="1:29" x14ac:dyDescent="0.25">
      <c r="A356" s="30" t="str">
        <f t="shared" si="246"/>
        <v>Capex costumization</v>
      </c>
      <c r="B356" s="62">
        <f t="shared" si="247"/>
        <v>4200000</v>
      </c>
      <c r="C356" s="62">
        <f t="shared" si="248"/>
        <v>4200000</v>
      </c>
      <c r="D356" s="62">
        <f t="shared" si="249"/>
        <v>4200000</v>
      </c>
      <c r="E356" s="62">
        <f t="shared" si="250"/>
        <v>4200000</v>
      </c>
      <c r="F356" s="62">
        <f t="shared" si="251"/>
        <v>4200000</v>
      </c>
      <c r="G356" s="62">
        <f t="shared" si="252"/>
        <v>4200000</v>
      </c>
      <c r="H356" s="62">
        <f t="shared" si="253"/>
        <v>4200000</v>
      </c>
      <c r="I356" s="62">
        <f t="shared" si="254"/>
        <v>4200000</v>
      </c>
      <c r="J356" s="62">
        <f t="shared" si="255"/>
        <v>4200000</v>
      </c>
      <c r="K356" s="62">
        <f t="shared" si="256"/>
        <v>4200000</v>
      </c>
      <c r="L356" s="62">
        <f t="shared" si="257"/>
        <v>4200000</v>
      </c>
      <c r="M356" s="62">
        <f t="shared" si="258"/>
        <v>4200000</v>
      </c>
      <c r="N356" s="62">
        <f t="shared" si="259"/>
        <v>4200000</v>
      </c>
      <c r="O356" s="62">
        <f t="shared" si="260"/>
        <v>4200000</v>
      </c>
      <c r="P356" s="62">
        <f t="shared" si="261"/>
        <v>4200000</v>
      </c>
      <c r="Q356" s="62">
        <f t="shared" si="262"/>
        <v>4200000</v>
      </c>
      <c r="R356" s="62">
        <f t="shared" si="263"/>
        <v>4200000</v>
      </c>
      <c r="S356" s="62">
        <f t="shared" si="264"/>
        <v>4200000</v>
      </c>
      <c r="T356" s="62">
        <f t="shared" si="265"/>
        <v>4200000</v>
      </c>
      <c r="U356" s="62">
        <f t="shared" si="266"/>
        <v>4200000</v>
      </c>
      <c r="V356" s="62">
        <f t="shared" si="267"/>
        <v>4200000</v>
      </c>
      <c r="W356" s="62">
        <f t="shared" si="268"/>
        <v>4200000</v>
      </c>
      <c r="X356" s="62">
        <f t="shared" si="269"/>
        <v>4200000</v>
      </c>
      <c r="Y356" s="62">
        <f t="shared" si="270"/>
        <v>4200000</v>
      </c>
      <c r="Z356" s="62">
        <f t="shared" si="271"/>
        <v>4200000</v>
      </c>
      <c r="AA356" s="62">
        <f t="shared" si="272"/>
        <v>4200000</v>
      </c>
      <c r="AB356" s="62">
        <f t="shared" si="273"/>
        <v>4200000</v>
      </c>
      <c r="AC356" s="62">
        <f t="shared" si="274"/>
        <v>4200000</v>
      </c>
    </row>
    <row r="357" spans="1:29" x14ac:dyDescent="0.25">
      <c r="A357" s="30" t="str">
        <f t="shared" si="246"/>
        <v>Residual value (costumization)</v>
      </c>
      <c r="B357" s="62">
        <f t="shared" si="247"/>
        <v>-210000</v>
      </c>
      <c r="C357" s="62">
        <f t="shared" si="248"/>
        <v>-210000</v>
      </c>
      <c r="D357" s="62">
        <f t="shared" si="249"/>
        <v>-210000</v>
      </c>
      <c r="E357" s="62">
        <f t="shared" si="250"/>
        <v>-210000</v>
      </c>
      <c r="F357" s="62">
        <f t="shared" si="251"/>
        <v>-210000</v>
      </c>
      <c r="G357" s="62">
        <f t="shared" si="252"/>
        <v>-210000</v>
      </c>
      <c r="H357" s="62">
        <f t="shared" si="253"/>
        <v>-210000</v>
      </c>
      <c r="I357" s="62">
        <f t="shared" si="254"/>
        <v>-210000</v>
      </c>
      <c r="J357" s="62">
        <f t="shared" si="255"/>
        <v>-210000</v>
      </c>
      <c r="K357" s="62">
        <f t="shared" si="256"/>
        <v>-210000</v>
      </c>
      <c r="L357" s="62">
        <f t="shared" si="257"/>
        <v>-210000</v>
      </c>
      <c r="M357" s="62">
        <f t="shared" si="258"/>
        <v>-210000</v>
      </c>
      <c r="N357" s="62">
        <f t="shared" si="259"/>
        <v>-210000</v>
      </c>
      <c r="O357" s="62">
        <f t="shared" si="260"/>
        <v>-210000</v>
      </c>
      <c r="P357" s="62">
        <f t="shared" si="261"/>
        <v>-210000</v>
      </c>
      <c r="Q357" s="62">
        <f t="shared" si="262"/>
        <v>-210000</v>
      </c>
      <c r="R357" s="62">
        <f t="shared" si="263"/>
        <v>-210000</v>
      </c>
      <c r="S357" s="62">
        <f t="shared" si="264"/>
        <v>-210000</v>
      </c>
      <c r="T357" s="62">
        <f t="shared" si="265"/>
        <v>-210000</v>
      </c>
      <c r="U357" s="62">
        <f t="shared" si="266"/>
        <v>-210000</v>
      </c>
      <c r="V357" s="62">
        <f t="shared" si="267"/>
        <v>-210000</v>
      </c>
      <c r="W357" s="62">
        <f t="shared" si="268"/>
        <v>-210000</v>
      </c>
      <c r="X357" s="62">
        <f t="shared" si="269"/>
        <v>-210000</v>
      </c>
      <c r="Y357" s="62">
        <f t="shared" si="270"/>
        <v>-210000</v>
      </c>
      <c r="Z357" s="62">
        <f t="shared" si="271"/>
        <v>-210000</v>
      </c>
      <c r="AA357" s="62">
        <f t="shared" si="272"/>
        <v>-210000</v>
      </c>
      <c r="AB357" s="62">
        <f t="shared" si="273"/>
        <v>-210000</v>
      </c>
      <c r="AC357" s="62">
        <f t="shared" si="274"/>
        <v>-210000</v>
      </c>
    </row>
    <row r="358" spans="1:29" x14ac:dyDescent="0.25">
      <c r="A358" s="30" t="str">
        <f t="shared" si="246"/>
        <v>WACC</v>
      </c>
      <c r="B358" s="62">
        <f t="shared" si="247"/>
        <v>0.06</v>
      </c>
      <c r="C358" s="62">
        <f t="shared" si="248"/>
        <v>0.06</v>
      </c>
      <c r="D358" s="62">
        <f t="shared" si="249"/>
        <v>0.06</v>
      </c>
      <c r="E358" s="62">
        <f t="shared" si="250"/>
        <v>0.06</v>
      </c>
      <c r="F358" s="62">
        <f t="shared" si="251"/>
        <v>0.06</v>
      </c>
      <c r="G358" s="62">
        <f t="shared" si="252"/>
        <v>0.06</v>
      </c>
      <c r="H358" s="62">
        <f t="shared" si="253"/>
        <v>0.06</v>
      </c>
      <c r="I358" s="62">
        <f t="shared" si="254"/>
        <v>0.06</v>
      </c>
      <c r="J358" s="62">
        <f t="shared" si="255"/>
        <v>0.06</v>
      </c>
      <c r="K358" s="62">
        <f t="shared" si="256"/>
        <v>0.06</v>
      </c>
      <c r="L358" s="62">
        <f t="shared" si="257"/>
        <v>0.06</v>
      </c>
      <c r="M358" s="62">
        <f t="shared" si="258"/>
        <v>0.06</v>
      </c>
      <c r="N358" s="62">
        <f t="shared" si="259"/>
        <v>0.06</v>
      </c>
      <c r="O358" s="62">
        <f t="shared" si="260"/>
        <v>0.06</v>
      </c>
      <c r="P358" s="62">
        <f t="shared" si="261"/>
        <v>0.06</v>
      </c>
      <c r="Q358" s="62">
        <f t="shared" si="262"/>
        <v>0.06</v>
      </c>
      <c r="R358" s="62">
        <f t="shared" si="263"/>
        <v>0.06</v>
      </c>
      <c r="S358" s="62">
        <f t="shared" si="264"/>
        <v>0.06</v>
      </c>
      <c r="T358" s="62">
        <f t="shared" si="265"/>
        <v>0.06</v>
      </c>
      <c r="U358" s="62">
        <f t="shared" si="266"/>
        <v>0.06</v>
      </c>
      <c r="V358" s="62">
        <f t="shared" si="267"/>
        <v>0.06</v>
      </c>
      <c r="W358" s="62">
        <f t="shared" si="268"/>
        <v>0.06</v>
      </c>
      <c r="X358" s="62">
        <f t="shared" si="269"/>
        <v>0.06</v>
      </c>
      <c r="Y358" s="62">
        <f t="shared" si="270"/>
        <v>0.06</v>
      </c>
      <c r="Z358" s="62">
        <f t="shared" si="271"/>
        <v>0.06</v>
      </c>
      <c r="AA358" s="62">
        <f t="shared" si="272"/>
        <v>0.06</v>
      </c>
      <c r="AB358" s="62">
        <f t="shared" si="273"/>
        <v>0.06</v>
      </c>
      <c r="AC358" s="62">
        <f t="shared" si="274"/>
        <v>0.06</v>
      </c>
    </row>
    <row r="359" spans="1:29" x14ac:dyDescent="0.25">
      <c r="A359" s="30" t="str">
        <f t="shared" si="246"/>
        <v>Opex fix (admin, crew, insurance)</v>
      </c>
      <c r="B359" s="62">
        <f t="shared" si="247"/>
        <v>1450000</v>
      </c>
      <c r="C359" s="62">
        <f t="shared" si="248"/>
        <v>1450000</v>
      </c>
      <c r="D359" s="62">
        <f t="shared" si="249"/>
        <v>1450000</v>
      </c>
      <c r="E359" s="62">
        <f t="shared" si="250"/>
        <v>1450000</v>
      </c>
      <c r="F359" s="62">
        <f t="shared" si="251"/>
        <v>1450000</v>
      </c>
      <c r="G359" s="62">
        <f t="shared" si="252"/>
        <v>1450000</v>
      </c>
      <c r="H359" s="62">
        <f t="shared" si="253"/>
        <v>1450000</v>
      </c>
      <c r="I359" s="62">
        <f t="shared" si="254"/>
        <v>1450000</v>
      </c>
      <c r="J359" s="62">
        <f t="shared" si="255"/>
        <v>1450000</v>
      </c>
      <c r="K359" s="62">
        <f t="shared" si="256"/>
        <v>1450000</v>
      </c>
      <c r="L359" s="62">
        <f t="shared" si="257"/>
        <v>1450000</v>
      </c>
      <c r="M359" s="62">
        <f t="shared" si="258"/>
        <v>1450000</v>
      </c>
      <c r="N359" s="62">
        <f t="shared" si="259"/>
        <v>1450000</v>
      </c>
      <c r="O359" s="62">
        <f t="shared" si="260"/>
        <v>1450000</v>
      </c>
      <c r="P359" s="62">
        <f t="shared" si="261"/>
        <v>1450000</v>
      </c>
      <c r="Q359" s="62">
        <f t="shared" si="262"/>
        <v>1450000</v>
      </c>
      <c r="R359" s="62">
        <f t="shared" si="263"/>
        <v>1450000</v>
      </c>
      <c r="S359" s="62">
        <f t="shared" si="264"/>
        <v>1450000</v>
      </c>
      <c r="T359" s="62">
        <f t="shared" si="265"/>
        <v>1450000</v>
      </c>
      <c r="U359" s="62">
        <f t="shared" si="266"/>
        <v>1450000</v>
      </c>
      <c r="V359" s="62">
        <f t="shared" si="267"/>
        <v>1450000</v>
      </c>
      <c r="W359" s="62">
        <f t="shared" si="268"/>
        <v>1450000</v>
      </c>
      <c r="X359" s="62">
        <f t="shared" si="269"/>
        <v>1450000</v>
      </c>
      <c r="Y359" s="62">
        <f t="shared" si="270"/>
        <v>1450000</v>
      </c>
      <c r="Z359" s="62">
        <f t="shared" si="271"/>
        <v>1450000</v>
      </c>
      <c r="AA359" s="62">
        <f t="shared" si="272"/>
        <v>1450000</v>
      </c>
      <c r="AB359" s="62">
        <f t="shared" si="273"/>
        <v>1450000</v>
      </c>
      <c r="AC359" s="62">
        <f t="shared" si="274"/>
        <v>1450000</v>
      </c>
    </row>
    <row r="360" spans="1:29" x14ac:dyDescent="0.25">
      <c r="A360" s="30" t="str">
        <f t="shared" si="246"/>
        <v>Opex maintenance &amp; repair</v>
      </c>
      <c r="B360" s="62">
        <f t="shared" si="247"/>
        <v>1293563.9575177333</v>
      </c>
      <c r="C360" s="62">
        <f t="shared" si="248"/>
        <v>1290808.235093934</v>
      </c>
      <c r="D360" s="62">
        <f t="shared" si="249"/>
        <v>1286895.5042898762</v>
      </c>
      <c r="E360" s="62">
        <f t="shared" si="250"/>
        <v>1281365.2352877648</v>
      </c>
      <c r="F360" s="62">
        <f t="shared" si="251"/>
        <v>1273600.837383118</v>
      </c>
      <c r="G360" s="62">
        <f t="shared" si="252"/>
        <v>1262805.5057319398</v>
      </c>
      <c r="H360" s="62">
        <f t="shared" si="253"/>
        <v>1248005.5098923349</v>
      </c>
      <c r="I360" s="62">
        <f t="shared" si="254"/>
        <v>1228115.9013873441</v>
      </c>
      <c r="J360" s="62">
        <f t="shared" si="255"/>
        <v>1202116.3406815415</v>
      </c>
      <c r="K360" s="62">
        <f t="shared" si="256"/>
        <v>1169374.2884687176</v>
      </c>
      <c r="L360" s="62">
        <f t="shared" si="257"/>
        <v>1130084.7656740851</v>
      </c>
      <c r="M360" s="62">
        <f t="shared" si="258"/>
        <v>1085657.2084191416</v>
      </c>
      <c r="N360" s="62">
        <f t="shared" si="259"/>
        <v>1038755.2185067786</v>
      </c>
      <c r="O360" s="62">
        <f t="shared" si="260"/>
        <v>992776.17202817916</v>
      </c>
      <c r="P360" s="62">
        <f t="shared" si="261"/>
        <v>950920.49960650213</v>
      </c>
      <c r="Q360" s="62">
        <f t="shared" si="262"/>
        <v>915349.13841044903</v>
      </c>
      <c r="R360" s="62">
        <f t="shared" si="263"/>
        <v>886862.84856226621</v>
      </c>
      <c r="S360" s="62">
        <f t="shared" si="264"/>
        <v>865126.54509633617</v>
      </c>
      <c r="T360" s="62">
        <f t="shared" si="265"/>
        <v>849148.61879481981</v>
      </c>
      <c r="U360" s="62">
        <f t="shared" si="266"/>
        <v>837724.6326365323</v>
      </c>
      <c r="V360" s="62">
        <f t="shared" si="267"/>
        <v>829718.10542985611</v>
      </c>
      <c r="W360" s="62">
        <f t="shared" si="268"/>
        <v>824185.10301042092</v>
      </c>
      <c r="X360" s="62">
        <f t="shared" si="269"/>
        <v>820398.59373471502</v>
      </c>
      <c r="Y360" s="62">
        <f t="shared" si="270"/>
        <v>817824.59227500285</v>
      </c>
      <c r="Z360" s="62">
        <f t="shared" si="271"/>
        <v>816082.79412917187</v>
      </c>
      <c r="AA360" s="62">
        <f t="shared" si="272"/>
        <v>814907.77528152149</v>
      </c>
      <c r="AB360" s="62">
        <f t="shared" si="273"/>
        <v>814116.75843028165</v>
      </c>
      <c r="AC360" s="62">
        <f t="shared" si="274"/>
        <v>813584.99765465059</v>
      </c>
    </row>
    <row r="361" spans="1:29" x14ac:dyDescent="0.25">
      <c r="A361" s="30" t="str">
        <f t="shared" si="246"/>
        <v>Opex var (mode-fees, shunting)</v>
      </c>
      <c r="B361" s="62">
        <f t="shared" si="247"/>
        <v>8.9635854341736696</v>
      </c>
      <c r="C361" s="62">
        <f t="shared" si="248"/>
        <v>8.9635854341736696</v>
      </c>
      <c r="D361" s="62">
        <f t="shared" si="249"/>
        <v>8.9635854341736696</v>
      </c>
      <c r="E361" s="62">
        <f t="shared" si="250"/>
        <v>8.9635854341736696</v>
      </c>
      <c r="F361" s="62">
        <f t="shared" si="251"/>
        <v>8.9635854341736696</v>
      </c>
      <c r="G361" s="62">
        <f t="shared" si="252"/>
        <v>8.9635854341736696</v>
      </c>
      <c r="H361" s="62">
        <f t="shared" si="253"/>
        <v>8.9635854341736696</v>
      </c>
      <c r="I361" s="62">
        <f t="shared" si="254"/>
        <v>8.9635854341736696</v>
      </c>
      <c r="J361" s="62">
        <f t="shared" si="255"/>
        <v>8.9635854341736696</v>
      </c>
      <c r="K361" s="62">
        <f t="shared" si="256"/>
        <v>8.9635854341736696</v>
      </c>
      <c r="L361" s="62">
        <f t="shared" si="257"/>
        <v>8.9635854341736696</v>
      </c>
      <c r="M361" s="62">
        <f t="shared" si="258"/>
        <v>8.9635854341736696</v>
      </c>
      <c r="N361" s="62">
        <f t="shared" si="259"/>
        <v>8.9635854341736696</v>
      </c>
      <c r="O361" s="62">
        <f t="shared" si="260"/>
        <v>8.9635854341736696</v>
      </c>
      <c r="P361" s="62">
        <f t="shared" si="261"/>
        <v>8.9635854341736696</v>
      </c>
      <c r="Q361" s="62">
        <f t="shared" si="262"/>
        <v>8.9635854341736696</v>
      </c>
      <c r="R361" s="62">
        <f t="shared" si="263"/>
        <v>8.9635854341736696</v>
      </c>
      <c r="S361" s="62">
        <f t="shared" si="264"/>
        <v>8.9635854341736696</v>
      </c>
      <c r="T361" s="62">
        <f t="shared" si="265"/>
        <v>8.9635854341736696</v>
      </c>
      <c r="U361" s="62">
        <f t="shared" si="266"/>
        <v>8.9635854341736696</v>
      </c>
      <c r="V361" s="62">
        <f t="shared" si="267"/>
        <v>8.9635854341736696</v>
      </c>
      <c r="W361" s="62">
        <f t="shared" si="268"/>
        <v>8.9635854341736696</v>
      </c>
      <c r="X361" s="62">
        <f t="shared" si="269"/>
        <v>8.9635854341736696</v>
      </c>
      <c r="Y361" s="62">
        <f t="shared" si="270"/>
        <v>8.9635854341736696</v>
      </c>
      <c r="Z361" s="62">
        <f t="shared" si="271"/>
        <v>8.9635854341736696</v>
      </c>
      <c r="AA361" s="62">
        <f t="shared" si="272"/>
        <v>8.9635854341736696</v>
      </c>
      <c r="AB361" s="62">
        <f t="shared" si="273"/>
        <v>8.9635854341736696</v>
      </c>
      <c r="AC361" s="62">
        <f t="shared" si="274"/>
        <v>8.9635854341736696</v>
      </c>
    </row>
    <row r="362" spans="1:29" x14ac:dyDescent="0.25">
      <c r="A362" s="30" t="str">
        <f t="shared" si="246"/>
        <v>Fuel Economy</v>
      </c>
      <c r="B362" s="62">
        <f t="shared" si="247"/>
        <v>33.590199999999996</v>
      </c>
      <c r="C362" s="62">
        <f t="shared" si="248"/>
        <v>33.590199999999996</v>
      </c>
      <c r="D362" s="62">
        <f t="shared" si="249"/>
        <v>33.590199999999996</v>
      </c>
      <c r="E362" s="62">
        <f t="shared" si="250"/>
        <v>33.590199999999996</v>
      </c>
      <c r="F362" s="62">
        <f t="shared" si="251"/>
        <v>33.590199999999996</v>
      </c>
      <c r="G362" s="62">
        <f t="shared" si="252"/>
        <v>33.590199999999996</v>
      </c>
      <c r="H362" s="62">
        <f t="shared" si="253"/>
        <v>33.590199999999996</v>
      </c>
      <c r="I362" s="62">
        <f t="shared" si="254"/>
        <v>33.590199999999996</v>
      </c>
      <c r="J362" s="62">
        <f t="shared" si="255"/>
        <v>33.590199999999996</v>
      </c>
      <c r="K362" s="62">
        <f t="shared" si="256"/>
        <v>33.590199999999996</v>
      </c>
      <c r="L362" s="62">
        <f t="shared" si="257"/>
        <v>33.590199999999996</v>
      </c>
      <c r="M362" s="62">
        <f t="shared" si="258"/>
        <v>33.590199999999996</v>
      </c>
      <c r="N362" s="62">
        <f t="shared" si="259"/>
        <v>33.590199999999996</v>
      </c>
      <c r="O362" s="62">
        <f t="shared" si="260"/>
        <v>33.590199999999996</v>
      </c>
      <c r="P362" s="62">
        <f t="shared" si="261"/>
        <v>33.590199999999996</v>
      </c>
      <c r="Q362" s="62">
        <f t="shared" si="262"/>
        <v>33.590199999999996</v>
      </c>
      <c r="R362" s="62">
        <f t="shared" si="263"/>
        <v>33.590199999999996</v>
      </c>
      <c r="S362" s="62">
        <f t="shared" si="264"/>
        <v>33.590199999999996</v>
      </c>
      <c r="T362" s="62">
        <f t="shared" si="265"/>
        <v>33.590199999999996</v>
      </c>
      <c r="U362" s="62">
        <f t="shared" si="266"/>
        <v>33.590199999999996</v>
      </c>
      <c r="V362" s="62">
        <f t="shared" si="267"/>
        <v>33.590199999999996</v>
      </c>
      <c r="W362" s="62">
        <f t="shared" si="268"/>
        <v>33.590199999999996</v>
      </c>
      <c r="X362" s="62">
        <f t="shared" si="269"/>
        <v>33.590199999999996</v>
      </c>
      <c r="Y362" s="62">
        <f t="shared" si="270"/>
        <v>33.590199999999996</v>
      </c>
      <c r="Z362" s="62">
        <f t="shared" si="271"/>
        <v>33.590199999999996</v>
      </c>
      <c r="AA362" s="62">
        <f t="shared" si="272"/>
        <v>33.590199999999996</v>
      </c>
      <c r="AB362" s="62">
        <f t="shared" si="273"/>
        <v>33.590199999999996</v>
      </c>
      <c r="AC362" s="62">
        <f t="shared" si="274"/>
        <v>33.590199999999996</v>
      </c>
    </row>
    <row r="363" spans="1:29" x14ac:dyDescent="0.25">
      <c r="A363" s="30" t="str">
        <f t="shared" si="246"/>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275">A344</f>
        <v>Emission Cost</v>
      </c>
      <c r="B364" s="66">
        <f>$B344+($C344-$B344)*(1-Q344)</f>
        <v>0</v>
      </c>
      <c r="C364" s="66">
        <f t="shared" ref="C364:AC364" si="276">$B344+($C344-$B344)*(1-R344)</f>
        <v>0</v>
      </c>
      <c r="D364" s="66">
        <f t="shared" si="276"/>
        <v>0</v>
      </c>
      <c r="E364" s="66">
        <f t="shared" si="276"/>
        <v>0</v>
      </c>
      <c r="F364" s="66">
        <f t="shared" si="276"/>
        <v>0</v>
      </c>
      <c r="G364" s="66">
        <f t="shared" si="276"/>
        <v>0</v>
      </c>
      <c r="H364" s="66">
        <f t="shared" si="276"/>
        <v>0</v>
      </c>
      <c r="I364" s="66">
        <f t="shared" si="276"/>
        <v>0</v>
      </c>
      <c r="J364" s="66">
        <f t="shared" si="276"/>
        <v>0</v>
      </c>
      <c r="K364" s="66">
        <f t="shared" si="276"/>
        <v>0</v>
      </c>
      <c r="L364" s="66">
        <f t="shared" si="276"/>
        <v>0</v>
      </c>
      <c r="M364" s="66">
        <f t="shared" si="276"/>
        <v>0</v>
      </c>
      <c r="N364" s="66">
        <f t="shared" si="276"/>
        <v>0</v>
      </c>
      <c r="O364" s="66">
        <f t="shared" si="276"/>
        <v>0</v>
      </c>
      <c r="P364" s="66">
        <f t="shared" si="276"/>
        <v>0</v>
      </c>
      <c r="Q364" s="66">
        <f t="shared" si="276"/>
        <v>0</v>
      </c>
      <c r="R364" s="66">
        <f t="shared" si="276"/>
        <v>0</v>
      </c>
      <c r="S364" s="66">
        <f t="shared" si="276"/>
        <v>0</v>
      </c>
      <c r="T364" s="66">
        <f t="shared" si="276"/>
        <v>0</v>
      </c>
      <c r="U364" s="66">
        <f t="shared" si="276"/>
        <v>0</v>
      </c>
      <c r="V364" s="66">
        <f t="shared" si="276"/>
        <v>0</v>
      </c>
      <c r="W364" s="66">
        <f t="shared" si="276"/>
        <v>0</v>
      </c>
      <c r="X364" s="66">
        <f t="shared" si="276"/>
        <v>0</v>
      </c>
      <c r="Y364" s="66">
        <f t="shared" si="276"/>
        <v>0</v>
      </c>
      <c r="Z364" s="66">
        <f t="shared" si="276"/>
        <v>0</v>
      </c>
      <c r="AA364" s="66">
        <f t="shared" si="276"/>
        <v>0</v>
      </c>
      <c r="AB364" s="66">
        <f t="shared" si="276"/>
        <v>0</v>
      </c>
      <c r="AC364" s="66">
        <f t="shared" si="276"/>
        <v>0</v>
      </c>
    </row>
    <row r="365" spans="1:29" x14ac:dyDescent="0.25">
      <c r="A365" s="30" t="str">
        <f>A345</f>
        <v>Lifetime vehicle</v>
      </c>
      <c r="B365" s="62">
        <f>$B345+($C345-$B345)*(1-Q345)</f>
        <v>20</v>
      </c>
      <c r="C365" s="62">
        <f t="shared" ref="C365:L367" si="277">$B345+($C345-$B345)*(1-R345)</f>
        <v>20</v>
      </c>
      <c r="D365" s="62">
        <f t="shared" si="277"/>
        <v>20</v>
      </c>
      <c r="E365" s="62">
        <f t="shared" si="277"/>
        <v>20</v>
      </c>
      <c r="F365" s="62">
        <f t="shared" si="277"/>
        <v>20</v>
      </c>
      <c r="G365" s="62">
        <f t="shared" si="277"/>
        <v>20</v>
      </c>
      <c r="H365" s="62">
        <f t="shared" si="277"/>
        <v>20</v>
      </c>
      <c r="I365" s="62">
        <f t="shared" si="277"/>
        <v>20</v>
      </c>
      <c r="J365" s="62">
        <f t="shared" si="277"/>
        <v>20</v>
      </c>
      <c r="K365" s="62">
        <f t="shared" si="277"/>
        <v>20</v>
      </c>
      <c r="L365" s="62">
        <f t="shared" si="277"/>
        <v>20</v>
      </c>
      <c r="M365" s="62">
        <f t="shared" ref="M365:V367" si="278">$B345+($C345-$B345)*(1-AB345)</f>
        <v>20</v>
      </c>
      <c r="N365" s="62">
        <f t="shared" si="278"/>
        <v>20</v>
      </c>
      <c r="O365" s="62">
        <f t="shared" si="278"/>
        <v>20</v>
      </c>
      <c r="P365" s="62">
        <f t="shared" si="278"/>
        <v>20</v>
      </c>
      <c r="Q365" s="62">
        <f t="shared" si="278"/>
        <v>20</v>
      </c>
      <c r="R365" s="62">
        <f t="shared" si="278"/>
        <v>20</v>
      </c>
      <c r="S365" s="62">
        <f t="shared" si="278"/>
        <v>20</v>
      </c>
      <c r="T365" s="62">
        <f t="shared" si="278"/>
        <v>20</v>
      </c>
      <c r="U365" s="62">
        <f t="shared" si="278"/>
        <v>20</v>
      </c>
      <c r="V365" s="62">
        <f t="shared" si="278"/>
        <v>20</v>
      </c>
      <c r="W365" s="62">
        <f t="shared" ref="W365:AC367" si="279">$B345+($C345-$B345)*(1-AL345)</f>
        <v>20</v>
      </c>
      <c r="X365" s="62">
        <f t="shared" si="279"/>
        <v>20</v>
      </c>
      <c r="Y365" s="62">
        <f t="shared" si="279"/>
        <v>20</v>
      </c>
      <c r="Z365" s="62">
        <f t="shared" si="279"/>
        <v>20</v>
      </c>
      <c r="AA365" s="62">
        <f t="shared" si="279"/>
        <v>20</v>
      </c>
      <c r="AB365" s="62">
        <f t="shared" si="279"/>
        <v>20</v>
      </c>
      <c r="AC365" s="62">
        <f t="shared" si="279"/>
        <v>20</v>
      </c>
    </row>
    <row r="366" spans="1:29" x14ac:dyDescent="0.25">
      <c r="A366" s="30" t="str">
        <f>A346</f>
        <v>Lifetime costumization</v>
      </c>
      <c r="B366" s="62">
        <f>$B346+($C346-$B346)*(1-Q346)</f>
        <v>30</v>
      </c>
      <c r="C366" s="62">
        <f t="shared" si="277"/>
        <v>30</v>
      </c>
      <c r="D366" s="62">
        <f t="shared" si="277"/>
        <v>30</v>
      </c>
      <c r="E366" s="62">
        <f t="shared" si="277"/>
        <v>30</v>
      </c>
      <c r="F366" s="62">
        <f t="shared" si="277"/>
        <v>30</v>
      </c>
      <c r="G366" s="62">
        <f t="shared" si="277"/>
        <v>30</v>
      </c>
      <c r="H366" s="62">
        <f t="shared" si="277"/>
        <v>30</v>
      </c>
      <c r="I366" s="62">
        <f t="shared" si="277"/>
        <v>30</v>
      </c>
      <c r="J366" s="62">
        <f t="shared" si="277"/>
        <v>30</v>
      </c>
      <c r="K366" s="62">
        <f t="shared" si="277"/>
        <v>30</v>
      </c>
      <c r="L366" s="62">
        <f t="shared" si="277"/>
        <v>30</v>
      </c>
      <c r="M366" s="62">
        <f t="shared" si="278"/>
        <v>30</v>
      </c>
      <c r="N366" s="62">
        <f t="shared" si="278"/>
        <v>30</v>
      </c>
      <c r="O366" s="62">
        <f t="shared" si="278"/>
        <v>30</v>
      </c>
      <c r="P366" s="62">
        <f t="shared" si="278"/>
        <v>30</v>
      </c>
      <c r="Q366" s="62">
        <f t="shared" si="278"/>
        <v>30</v>
      </c>
      <c r="R366" s="62">
        <f t="shared" si="278"/>
        <v>30</v>
      </c>
      <c r="S366" s="62">
        <f t="shared" si="278"/>
        <v>30</v>
      </c>
      <c r="T366" s="62">
        <f t="shared" si="278"/>
        <v>30</v>
      </c>
      <c r="U366" s="62">
        <f t="shared" si="278"/>
        <v>30</v>
      </c>
      <c r="V366" s="62">
        <f t="shared" si="278"/>
        <v>30</v>
      </c>
      <c r="W366" s="62">
        <f t="shared" si="279"/>
        <v>30</v>
      </c>
      <c r="X366" s="62">
        <f t="shared" si="279"/>
        <v>30</v>
      </c>
      <c r="Y366" s="62">
        <f t="shared" si="279"/>
        <v>30</v>
      </c>
      <c r="Z366" s="62">
        <f t="shared" si="279"/>
        <v>30</v>
      </c>
      <c r="AA366" s="62">
        <f t="shared" si="279"/>
        <v>30</v>
      </c>
      <c r="AB366" s="62">
        <f t="shared" si="279"/>
        <v>30</v>
      </c>
      <c r="AC366" s="62">
        <f t="shared" si="279"/>
        <v>30</v>
      </c>
    </row>
    <row r="367" spans="1:29" x14ac:dyDescent="0.25">
      <c r="A367" s="30" t="str">
        <f>A347</f>
        <v>Tonnage .</v>
      </c>
      <c r="B367" s="62">
        <f>$B347+($C347-$B347)*(1-Q347)</f>
        <v>2240</v>
      </c>
      <c r="C367" s="62">
        <f t="shared" si="277"/>
        <v>2240</v>
      </c>
      <c r="D367" s="62">
        <f t="shared" si="277"/>
        <v>2240</v>
      </c>
      <c r="E367" s="62">
        <f t="shared" si="277"/>
        <v>2240</v>
      </c>
      <c r="F367" s="62">
        <f t="shared" si="277"/>
        <v>2240</v>
      </c>
      <c r="G367" s="62">
        <f t="shared" si="277"/>
        <v>2240</v>
      </c>
      <c r="H367" s="62">
        <f t="shared" si="277"/>
        <v>2240</v>
      </c>
      <c r="I367" s="62">
        <f t="shared" si="277"/>
        <v>2240</v>
      </c>
      <c r="J367" s="62">
        <f t="shared" si="277"/>
        <v>2240</v>
      </c>
      <c r="K367" s="62">
        <f t="shared" si="277"/>
        <v>2240</v>
      </c>
      <c r="L367" s="62">
        <f t="shared" si="277"/>
        <v>2240</v>
      </c>
      <c r="M367" s="62">
        <f t="shared" si="278"/>
        <v>2240</v>
      </c>
      <c r="N367" s="62">
        <f t="shared" si="278"/>
        <v>2240</v>
      </c>
      <c r="O367" s="62">
        <f t="shared" si="278"/>
        <v>2240</v>
      </c>
      <c r="P367" s="62">
        <f t="shared" si="278"/>
        <v>2240</v>
      </c>
      <c r="Q367" s="62">
        <f t="shared" si="278"/>
        <v>2240</v>
      </c>
      <c r="R367" s="62">
        <f t="shared" si="278"/>
        <v>2240</v>
      </c>
      <c r="S367" s="62">
        <f t="shared" si="278"/>
        <v>2240</v>
      </c>
      <c r="T367" s="62">
        <f t="shared" si="278"/>
        <v>2240</v>
      </c>
      <c r="U367" s="62">
        <f t="shared" si="278"/>
        <v>2240</v>
      </c>
      <c r="V367" s="62">
        <f t="shared" si="278"/>
        <v>2240</v>
      </c>
      <c r="W367" s="62">
        <f t="shared" si="279"/>
        <v>2240</v>
      </c>
      <c r="X367" s="62">
        <f t="shared" si="279"/>
        <v>2240</v>
      </c>
      <c r="Y367" s="62">
        <f t="shared" si="279"/>
        <v>2240</v>
      </c>
      <c r="Z367" s="62">
        <f t="shared" si="279"/>
        <v>2240</v>
      </c>
      <c r="AA367" s="62">
        <f t="shared" si="279"/>
        <v>2240</v>
      </c>
      <c r="AB367" s="62">
        <f t="shared" si="279"/>
        <v>2240</v>
      </c>
      <c r="AC367" s="62">
        <f t="shared" si="279"/>
        <v>2240</v>
      </c>
    </row>
    <row r="368" spans="1:29" x14ac:dyDescent="0.25">
      <c r="A368" s="30" t="str">
        <f>A348</f>
        <v>Market failure (av. utilization)</v>
      </c>
      <c r="B368" s="62">
        <f t="shared" ref="B368:K369" si="280">($B348+($C348-$B348)*(1-Q348))*B$44</f>
        <v>1612.8000000000002</v>
      </c>
      <c r="C368" s="62">
        <f t="shared" si="280"/>
        <v>1612.8000000000002</v>
      </c>
      <c r="D368" s="62">
        <f t="shared" si="280"/>
        <v>1612.8000000000002</v>
      </c>
      <c r="E368" s="62">
        <f t="shared" si="280"/>
        <v>1612.8000000000002</v>
      </c>
      <c r="F368" s="62">
        <f t="shared" si="280"/>
        <v>1612.8000000000002</v>
      </c>
      <c r="G368" s="62">
        <f t="shared" si="280"/>
        <v>1612.8000000000002</v>
      </c>
      <c r="H368" s="62">
        <f t="shared" si="280"/>
        <v>1612.8000000000002</v>
      </c>
      <c r="I368" s="62">
        <f t="shared" si="280"/>
        <v>1612.8000000000002</v>
      </c>
      <c r="J368" s="62">
        <f t="shared" si="280"/>
        <v>1612.8000000000002</v>
      </c>
      <c r="K368" s="62">
        <f t="shared" si="280"/>
        <v>1612.8000000000002</v>
      </c>
      <c r="L368" s="62">
        <f t="shared" ref="L368:U369" si="281">($B348+($C348-$B348)*(1-AA348))*L$44</f>
        <v>1612.8000000000002</v>
      </c>
      <c r="M368" s="62">
        <f t="shared" si="281"/>
        <v>1612.8000000000002</v>
      </c>
      <c r="N368" s="62">
        <f t="shared" si="281"/>
        <v>1612.8000000000002</v>
      </c>
      <c r="O368" s="62">
        <f t="shared" si="281"/>
        <v>1612.8000000000002</v>
      </c>
      <c r="P368" s="62">
        <f t="shared" si="281"/>
        <v>1612.8000000000002</v>
      </c>
      <c r="Q368" s="62">
        <f t="shared" si="281"/>
        <v>1612.8000000000002</v>
      </c>
      <c r="R368" s="62">
        <f t="shared" si="281"/>
        <v>1612.8000000000002</v>
      </c>
      <c r="S368" s="62">
        <f t="shared" si="281"/>
        <v>1612.8000000000002</v>
      </c>
      <c r="T368" s="62">
        <f t="shared" si="281"/>
        <v>1612.8000000000002</v>
      </c>
      <c r="U368" s="62">
        <f t="shared" si="281"/>
        <v>1612.8000000000002</v>
      </c>
      <c r="V368" s="62">
        <f t="shared" ref="V368:AC369" si="282">($B348+($C348-$B348)*(1-AK348))*V$44</f>
        <v>1612.8000000000002</v>
      </c>
      <c r="W368" s="62">
        <f t="shared" si="282"/>
        <v>1612.8000000000002</v>
      </c>
      <c r="X368" s="62">
        <f t="shared" si="282"/>
        <v>1612.8000000000002</v>
      </c>
      <c r="Y368" s="62">
        <f t="shared" si="282"/>
        <v>1612.8000000000002</v>
      </c>
      <c r="Z368" s="62">
        <f t="shared" si="282"/>
        <v>1612.8000000000002</v>
      </c>
      <c r="AA368" s="62">
        <f t="shared" si="282"/>
        <v>1612.8000000000002</v>
      </c>
      <c r="AB368" s="62">
        <f t="shared" si="282"/>
        <v>1612.8000000000002</v>
      </c>
      <c r="AC368" s="62">
        <f t="shared" si="282"/>
        <v>1612.8000000000002</v>
      </c>
    </row>
    <row r="369" spans="1:29" x14ac:dyDescent="0.25">
      <c r="A369" s="30" t="s">
        <v>73</v>
      </c>
      <c r="B369" s="62">
        <f t="shared" si="280"/>
        <v>79.471914462993496</v>
      </c>
      <c r="C369" s="62">
        <f t="shared" si="280"/>
        <v>79.245803905143291</v>
      </c>
      <c r="D369" s="62">
        <f t="shared" si="280"/>
        <v>78.924759326348806</v>
      </c>
      <c r="E369" s="62">
        <f t="shared" si="280"/>
        <v>78.470993664637106</v>
      </c>
      <c r="F369" s="62">
        <f t="shared" si="280"/>
        <v>77.833914862204551</v>
      </c>
      <c r="G369" s="62">
        <f t="shared" si="280"/>
        <v>76.948144060056592</v>
      </c>
      <c r="H369" s="62">
        <f t="shared" si="280"/>
        <v>75.733785427063381</v>
      </c>
      <c r="I369" s="62">
        <f t="shared" si="280"/>
        <v>74.101817549730796</v>
      </c>
      <c r="J369" s="62">
        <f t="shared" si="280"/>
        <v>71.968520261049548</v>
      </c>
      <c r="K369" s="62">
        <f t="shared" si="280"/>
        <v>69.281992899997348</v>
      </c>
      <c r="L369" s="62">
        <f t="shared" si="281"/>
        <v>66.058237183514677</v>
      </c>
      <c r="M369" s="62">
        <f t="shared" si="281"/>
        <v>62.412899152339826</v>
      </c>
      <c r="N369" s="62">
        <f t="shared" si="281"/>
        <v>58.564530749274141</v>
      </c>
      <c r="O369" s="62">
        <f t="shared" si="281"/>
        <v>54.79189103820957</v>
      </c>
      <c r="P369" s="62">
        <f t="shared" si="281"/>
        <v>51.357579454892473</v>
      </c>
      <c r="Q369" s="62">
        <f t="shared" si="281"/>
        <v>48.438903664447089</v>
      </c>
      <c r="R369" s="62">
        <f t="shared" si="281"/>
        <v>46.101567061519283</v>
      </c>
      <c r="S369" s="62">
        <f t="shared" si="281"/>
        <v>44.318075495083995</v>
      </c>
      <c r="T369" s="62">
        <f t="shared" si="281"/>
        <v>43.007066157523667</v>
      </c>
      <c r="U369" s="62">
        <f t="shared" si="281"/>
        <v>42.069713447100085</v>
      </c>
      <c r="V369" s="62">
        <f t="shared" si="282"/>
        <v>41.412767625013835</v>
      </c>
      <c r="W369" s="62">
        <f t="shared" si="282"/>
        <v>40.958777682906323</v>
      </c>
      <c r="X369" s="62">
        <f t="shared" si="282"/>
        <v>40.648089742335586</v>
      </c>
      <c r="Y369" s="62">
        <f t="shared" si="282"/>
        <v>40.43688962256433</v>
      </c>
      <c r="Z369" s="62">
        <f t="shared" si="282"/>
        <v>40.29397285162436</v>
      </c>
      <c r="AA369" s="62">
        <f t="shared" si="282"/>
        <v>40.197561048740226</v>
      </c>
      <c r="AB369" s="62">
        <f t="shared" si="282"/>
        <v>40.132657101971823</v>
      </c>
      <c r="AC369" s="62">
        <f t="shared" si="282"/>
        <v>40.08902544858671</v>
      </c>
    </row>
    <row r="370" spans="1:29" x14ac:dyDescent="0.25">
      <c r="A370" s="30" t="str">
        <f>A350</f>
        <v>Annual Mileage</v>
      </c>
      <c r="B370" s="62">
        <f t="shared" ref="B370:AC370" si="283">$B350+($C350-$B350)*(1-Q350)</f>
        <v>178500</v>
      </c>
      <c r="C370" s="62">
        <f t="shared" si="283"/>
        <v>178500</v>
      </c>
      <c r="D370" s="62">
        <f t="shared" si="283"/>
        <v>178500</v>
      </c>
      <c r="E370" s="62">
        <f t="shared" si="283"/>
        <v>178500</v>
      </c>
      <c r="F370" s="62">
        <f t="shared" si="283"/>
        <v>178500</v>
      </c>
      <c r="G370" s="62">
        <f t="shared" si="283"/>
        <v>178500</v>
      </c>
      <c r="H370" s="62">
        <f t="shared" si="283"/>
        <v>178500</v>
      </c>
      <c r="I370" s="62">
        <f t="shared" si="283"/>
        <v>178500</v>
      </c>
      <c r="J370" s="62">
        <f t="shared" si="283"/>
        <v>178500</v>
      </c>
      <c r="K370" s="62">
        <f t="shared" si="283"/>
        <v>178500</v>
      </c>
      <c r="L370" s="62">
        <f t="shared" si="283"/>
        <v>178500</v>
      </c>
      <c r="M370" s="62">
        <f t="shared" si="283"/>
        <v>178500</v>
      </c>
      <c r="N370" s="62">
        <f t="shared" si="283"/>
        <v>178500</v>
      </c>
      <c r="O370" s="62">
        <f t="shared" si="283"/>
        <v>178500</v>
      </c>
      <c r="P370" s="62">
        <f t="shared" si="283"/>
        <v>178500</v>
      </c>
      <c r="Q370" s="62">
        <f t="shared" si="283"/>
        <v>178500</v>
      </c>
      <c r="R370" s="62">
        <f t="shared" si="283"/>
        <v>178500</v>
      </c>
      <c r="S370" s="62">
        <f t="shared" si="283"/>
        <v>178500</v>
      </c>
      <c r="T370" s="62">
        <f t="shared" si="283"/>
        <v>178500</v>
      </c>
      <c r="U370" s="62">
        <f t="shared" si="283"/>
        <v>178500</v>
      </c>
      <c r="V370" s="62">
        <f t="shared" si="283"/>
        <v>178500</v>
      </c>
      <c r="W370" s="62">
        <f t="shared" si="283"/>
        <v>178500</v>
      </c>
      <c r="X370" s="62">
        <f t="shared" si="283"/>
        <v>178500</v>
      </c>
      <c r="Y370" s="62">
        <f t="shared" si="283"/>
        <v>178500</v>
      </c>
      <c r="Z370" s="62">
        <f t="shared" si="283"/>
        <v>178500</v>
      </c>
      <c r="AA370" s="62">
        <f t="shared" si="283"/>
        <v>178500</v>
      </c>
      <c r="AB370" s="62">
        <f t="shared" si="283"/>
        <v>178500</v>
      </c>
      <c r="AC370" s="62">
        <f t="shared" si="283"/>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4">((1+C358)^C365)*C358/(((1+C358)^C365)-1)*(C354)</f>
        <v>865681.10860566224</v>
      </c>
      <c r="D373" s="63">
        <f t="shared" si="284"/>
        <v>863057.03397703567</v>
      </c>
      <c r="E373" s="63">
        <f t="shared" si="284"/>
        <v>859348.15664694412</v>
      </c>
      <c r="F373" s="63">
        <f t="shared" si="284"/>
        <v>854140.95978918544</v>
      </c>
      <c r="G373" s="63">
        <f t="shared" si="284"/>
        <v>846901.06588590739</v>
      </c>
      <c r="H373" s="63">
        <f t="shared" si="284"/>
        <v>836975.44218948286</v>
      </c>
      <c r="I373" s="63">
        <f t="shared" si="284"/>
        <v>823636.46752832399</v>
      </c>
      <c r="J373" s="63">
        <f t="shared" si="284"/>
        <v>806199.8507457996</v>
      </c>
      <c r="K373" s="63">
        <f t="shared" si="284"/>
        <v>784241.37907896913</v>
      </c>
      <c r="L373" s="63">
        <f t="shared" si="284"/>
        <v>757891.84339680034</v>
      </c>
      <c r="M373" s="63">
        <f t="shared" si="284"/>
        <v>728096.48265190842</v>
      </c>
      <c r="N373" s="63">
        <f t="shared" si="284"/>
        <v>696641.64256081509</v>
      </c>
      <c r="O373" s="63">
        <f t="shared" si="284"/>
        <v>665805.77488808637</v>
      </c>
      <c r="P373" s="63">
        <f t="shared" si="284"/>
        <v>637735.24983383913</v>
      </c>
      <c r="Q373" s="63">
        <f t="shared" si="284"/>
        <v>613879.3008573663</v>
      </c>
      <c r="R373" s="63">
        <f t="shared" si="284"/>
        <v>594774.95808561263</v>
      </c>
      <c r="S373" s="63">
        <f t="shared" si="284"/>
        <v>580197.49663952412</v>
      </c>
      <c r="T373" s="63">
        <f t="shared" si="284"/>
        <v>569481.893362551</v>
      </c>
      <c r="U373" s="63">
        <f t="shared" si="284"/>
        <v>561820.39203855116</v>
      </c>
      <c r="V373" s="63">
        <f t="shared" si="284"/>
        <v>556450.81105826527</v>
      </c>
      <c r="W373" s="63">
        <f t="shared" si="284"/>
        <v>552740.10056064755</v>
      </c>
      <c r="X373" s="63">
        <f t="shared" si="284"/>
        <v>550200.67645533092</v>
      </c>
      <c r="Y373" s="63">
        <f t="shared" si="284"/>
        <v>548474.42124823271</v>
      </c>
      <c r="Z373" s="63">
        <f t="shared" si="284"/>
        <v>547306.28355832992</v>
      </c>
      <c r="AA373" s="63">
        <f t="shared" si="284"/>
        <v>546518.25665316184</v>
      </c>
      <c r="AB373" s="63">
        <f t="shared" si="284"/>
        <v>545987.76085518813</v>
      </c>
      <c r="AC373" s="63">
        <f t="shared" si="284"/>
        <v>545631.13525794924</v>
      </c>
    </row>
    <row r="374" spans="1:29" x14ac:dyDescent="0.25">
      <c r="A374" s="30" t="str">
        <f>A355</f>
        <v>Residual value (vehicle)</v>
      </c>
      <c r="B374" s="62">
        <f>((1+B358)^B365)*B358/(((1+B358)^B365)-1)*(B355)</f>
        <v>-44095.850871439077</v>
      </c>
      <c r="C374" s="62">
        <f t="shared" ref="C374:AC374" si="285">((1+C358)^C365)*C358/(((1+C358)^C365)-1)*(C355)</f>
        <v>-44311.465624091747</v>
      </c>
      <c r="D374" s="62">
        <f t="shared" si="285"/>
        <v>-44617.607664098185</v>
      </c>
      <c r="E374" s="62">
        <f t="shared" si="285"/>
        <v>-45050.310019275523</v>
      </c>
      <c r="F374" s="62">
        <f t="shared" si="285"/>
        <v>-45657.816319347374</v>
      </c>
      <c r="G374" s="62">
        <f t="shared" si="285"/>
        <v>-46502.470608063151</v>
      </c>
      <c r="H374" s="62">
        <f t="shared" si="285"/>
        <v>-47660.460039312675</v>
      </c>
      <c r="I374" s="62">
        <f t="shared" si="285"/>
        <v>-49216.673749781199</v>
      </c>
      <c r="J374" s="62">
        <f t="shared" si="285"/>
        <v>-51250.945707742365</v>
      </c>
      <c r="K374" s="62">
        <f t="shared" si="285"/>
        <v>-53812.767402205936</v>
      </c>
      <c r="L374" s="62">
        <f t="shared" si="285"/>
        <v>-56886.879898458967</v>
      </c>
      <c r="M374" s="62">
        <f t="shared" si="285"/>
        <v>-60363.005318696356</v>
      </c>
      <c r="N374" s="62">
        <f t="shared" si="285"/>
        <v>-64032.73666265724</v>
      </c>
      <c r="O374" s="62">
        <f t="shared" si="285"/>
        <v>-67630.254557808934</v>
      </c>
      <c r="P374" s="62">
        <f t="shared" si="285"/>
        <v>-70905.149147471107</v>
      </c>
      <c r="Q374" s="62">
        <f t="shared" si="285"/>
        <v>-73688.343194726258</v>
      </c>
      <c r="R374" s="62">
        <f t="shared" si="285"/>
        <v>-75917.183184764202</v>
      </c>
      <c r="S374" s="62">
        <f t="shared" si="285"/>
        <v>-77617.887020141206</v>
      </c>
      <c r="T374" s="62">
        <f t="shared" si="285"/>
        <v>-78868.040735788047</v>
      </c>
      <c r="U374" s="62">
        <f t="shared" si="285"/>
        <v>-79761.882556921351</v>
      </c>
      <c r="V374" s="62">
        <f t="shared" si="285"/>
        <v>-80388.333671288041</v>
      </c>
      <c r="W374" s="62">
        <f t="shared" si="285"/>
        <v>-80821.249896010122</v>
      </c>
      <c r="X374" s="62">
        <f t="shared" si="285"/>
        <v>-81117.516041630384</v>
      </c>
      <c r="Y374" s="62">
        <f t="shared" si="285"/>
        <v>-81318.912482458516</v>
      </c>
      <c r="Z374" s="62">
        <f t="shared" si="285"/>
        <v>-81455.19521294719</v>
      </c>
      <c r="AA374" s="62">
        <f t="shared" si="285"/>
        <v>-81547.131685216795</v>
      </c>
      <c r="AB374" s="62">
        <f t="shared" si="285"/>
        <v>-81609.022861647056</v>
      </c>
      <c r="AC374" s="62">
        <f t="shared" si="285"/>
        <v>-81650.629181324926</v>
      </c>
    </row>
    <row r="375" spans="1:29" x14ac:dyDescent="0.25">
      <c r="A375" s="30" t="str">
        <f>A356</f>
        <v>Capex costumization</v>
      </c>
      <c r="B375" s="62">
        <f>((1+B358)^B366)*B358/(((1+B358)^B366)-1)*(B356)</f>
        <v>305125.4282581982</v>
      </c>
      <c r="C375" s="62">
        <f t="shared" ref="C375:AC375" si="286">((1+C358)^C366)*C358/(((1+C358)^C366)-1)*(C356)</f>
        <v>305125.4282581982</v>
      </c>
      <c r="D375" s="62">
        <f t="shared" si="286"/>
        <v>305125.4282581982</v>
      </c>
      <c r="E375" s="62">
        <f t="shared" si="286"/>
        <v>305125.4282581982</v>
      </c>
      <c r="F375" s="62">
        <f t="shared" si="286"/>
        <v>305125.4282581982</v>
      </c>
      <c r="G375" s="62">
        <f t="shared" si="286"/>
        <v>305125.4282581982</v>
      </c>
      <c r="H375" s="62">
        <f t="shared" si="286"/>
        <v>305125.4282581982</v>
      </c>
      <c r="I375" s="62">
        <f t="shared" si="286"/>
        <v>305125.4282581982</v>
      </c>
      <c r="J375" s="62">
        <f t="shared" si="286"/>
        <v>305125.4282581982</v>
      </c>
      <c r="K375" s="62">
        <f t="shared" si="286"/>
        <v>305125.4282581982</v>
      </c>
      <c r="L375" s="62">
        <f t="shared" si="286"/>
        <v>305125.4282581982</v>
      </c>
      <c r="M375" s="62">
        <f t="shared" si="286"/>
        <v>305125.4282581982</v>
      </c>
      <c r="N375" s="62">
        <f t="shared" si="286"/>
        <v>305125.4282581982</v>
      </c>
      <c r="O375" s="62">
        <f t="shared" si="286"/>
        <v>305125.4282581982</v>
      </c>
      <c r="P375" s="62">
        <f t="shared" si="286"/>
        <v>305125.4282581982</v>
      </c>
      <c r="Q375" s="62">
        <f t="shared" si="286"/>
        <v>305125.4282581982</v>
      </c>
      <c r="R375" s="62">
        <f t="shared" si="286"/>
        <v>305125.4282581982</v>
      </c>
      <c r="S375" s="62">
        <f t="shared" si="286"/>
        <v>305125.4282581982</v>
      </c>
      <c r="T375" s="62">
        <f t="shared" si="286"/>
        <v>305125.4282581982</v>
      </c>
      <c r="U375" s="62">
        <f t="shared" si="286"/>
        <v>305125.4282581982</v>
      </c>
      <c r="V375" s="62">
        <f t="shared" si="286"/>
        <v>305125.4282581982</v>
      </c>
      <c r="W375" s="62">
        <f t="shared" si="286"/>
        <v>305125.4282581982</v>
      </c>
      <c r="X375" s="62">
        <f t="shared" si="286"/>
        <v>305125.4282581982</v>
      </c>
      <c r="Y375" s="62">
        <f t="shared" si="286"/>
        <v>305125.4282581982</v>
      </c>
      <c r="Z375" s="62">
        <f t="shared" si="286"/>
        <v>305125.4282581982</v>
      </c>
      <c r="AA375" s="62">
        <f t="shared" si="286"/>
        <v>305125.4282581982</v>
      </c>
      <c r="AB375" s="62">
        <f t="shared" si="286"/>
        <v>305125.4282581982</v>
      </c>
      <c r="AC375" s="62">
        <f t="shared" si="286"/>
        <v>305125.4282581982</v>
      </c>
    </row>
    <row r="376" spans="1:29" x14ac:dyDescent="0.25">
      <c r="A376" s="30" t="str">
        <f>A357</f>
        <v>Residual value (costumization)</v>
      </c>
      <c r="B376" s="62">
        <f>((1+B358)^B366)*B358/(((1+B358)^B366)-1)*(B357)</f>
        <v>-15256.271412909911</v>
      </c>
      <c r="C376" s="62">
        <f t="shared" ref="C376:AC376" si="287">((1+C358)^C366)*C358/(((1+C358)^C366)-1)*(C357)</f>
        <v>-15256.271412909911</v>
      </c>
      <c r="D376" s="62">
        <f t="shared" si="287"/>
        <v>-15256.271412909911</v>
      </c>
      <c r="E376" s="62">
        <f t="shared" si="287"/>
        <v>-15256.271412909911</v>
      </c>
      <c r="F376" s="62">
        <f t="shared" si="287"/>
        <v>-15256.271412909911</v>
      </c>
      <c r="G376" s="62">
        <f t="shared" si="287"/>
        <v>-15256.271412909911</v>
      </c>
      <c r="H376" s="62">
        <f t="shared" si="287"/>
        <v>-15256.271412909911</v>
      </c>
      <c r="I376" s="62">
        <f t="shared" si="287"/>
        <v>-15256.271412909911</v>
      </c>
      <c r="J376" s="62">
        <f t="shared" si="287"/>
        <v>-15256.271412909911</v>
      </c>
      <c r="K376" s="62">
        <f t="shared" si="287"/>
        <v>-15256.271412909911</v>
      </c>
      <c r="L376" s="62">
        <f t="shared" si="287"/>
        <v>-15256.271412909911</v>
      </c>
      <c r="M376" s="62">
        <f t="shared" si="287"/>
        <v>-15256.271412909911</v>
      </c>
      <c r="N376" s="62">
        <f t="shared" si="287"/>
        <v>-15256.271412909911</v>
      </c>
      <c r="O376" s="62">
        <f t="shared" si="287"/>
        <v>-15256.271412909911</v>
      </c>
      <c r="P376" s="62">
        <f t="shared" si="287"/>
        <v>-15256.271412909911</v>
      </c>
      <c r="Q376" s="62">
        <f t="shared" si="287"/>
        <v>-15256.271412909911</v>
      </c>
      <c r="R376" s="62">
        <f t="shared" si="287"/>
        <v>-15256.271412909911</v>
      </c>
      <c r="S376" s="62">
        <f t="shared" si="287"/>
        <v>-15256.271412909911</v>
      </c>
      <c r="T376" s="62">
        <f t="shared" si="287"/>
        <v>-15256.271412909911</v>
      </c>
      <c r="U376" s="62">
        <f t="shared" si="287"/>
        <v>-15256.271412909911</v>
      </c>
      <c r="V376" s="62">
        <f t="shared" si="287"/>
        <v>-15256.271412909911</v>
      </c>
      <c r="W376" s="62">
        <f t="shared" si="287"/>
        <v>-15256.271412909911</v>
      </c>
      <c r="X376" s="62">
        <f t="shared" si="287"/>
        <v>-15256.271412909911</v>
      </c>
      <c r="Y376" s="62">
        <f t="shared" si="287"/>
        <v>-15256.271412909911</v>
      </c>
      <c r="Z376" s="62">
        <f t="shared" si="287"/>
        <v>-15256.271412909911</v>
      </c>
      <c r="AA376" s="62">
        <f t="shared" si="287"/>
        <v>-15256.271412909911</v>
      </c>
      <c r="AB376" s="62">
        <f t="shared" si="287"/>
        <v>-15256.271412909911</v>
      </c>
      <c r="AC376" s="62">
        <f t="shared" si="287"/>
        <v>-15256.271412909911</v>
      </c>
    </row>
    <row r="377" spans="1:29" x14ac:dyDescent="0.25">
      <c r="A377" s="30" t="str">
        <f t="shared" ref="A377:AC377" si="288">A359</f>
        <v>Opex fix (admin, crew, insurance)</v>
      </c>
      <c r="B377" s="62">
        <f t="shared" si="288"/>
        <v>1450000</v>
      </c>
      <c r="C377" s="62">
        <f t="shared" si="288"/>
        <v>1450000</v>
      </c>
      <c r="D377" s="62">
        <f t="shared" si="288"/>
        <v>1450000</v>
      </c>
      <c r="E377" s="62">
        <f t="shared" si="288"/>
        <v>1450000</v>
      </c>
      <c r="F377" s="62">
        <f t="shared" si="288"/>
        <v>1450000</v>
      </c>
      <c r="G377" s="62">
        <f t="shared" si="288"/>
        <v>1450000</v>
      </c>
      <c r="H377" s="62">
        <f t="shared" si="288"/>
        <v>1450000</v>
      </c>
      <c r="I377" s="62">
        <f t="shared" si="288"/>
        <v>1450000</v>
      </c>
      <c r="J377" s="62">
        <f t="shared" si="288"/>
        <v>1450000</v>
      </c>
      <c r="K377" s="62">
        <f t="shared" si="288"/>
        <v>1450000</v>
      </c>
      <c r="L377" s="62">
        <f t="shared" si="288"/>
        <v>1450000</v>
      </c>
      <c r="M377" s="62">
        <f t="shared" si="288"/>
        <v>1450000</v>
      </c>
      <c r="N377" s="62">
        <f t="shared" si="288"/>
        <v>1450000</v>
      </c>
      <c r="O377" s="62">
        <f t="shared" si="288"/>
        <v>1450000</v>
      </c>
      <c r="P377" s="62">
        <f t="shared" si="288"/>
        <v>1450000</v>
      </c>
      <c r="Q377" s="62">
        <f t="shared" si="288"/>
        <v>1450000</v>
      </c>
      <c r="R377" s="62">
        <f t="shared" si="288"/>
        <v>1450000</v>
      </c>
      <c r="S377" s="62">
        <f t="shared" si="288"/>
        <v>1450000</v>
      </c>
      <c r="T377" s="62">
        <f t="shared" si="288"/>
        <v>1450000</v>
      </c>
      <c r="U377" s="62">
        <f t="shared" si="288"/>
        <v>1450000</v>
      </c>
      <c r="V377" s="62">
        <f t="shared" si="288"/>
        <v>1450000</v>
      </c>
      <c r="W377" s="62">
        <f t="shared" si="288"/>
        <v>1450000</v>
      </c>
      <c r="X377" s="62">
        <f t="shared" si="288"/>
        <v>1450000</v>
      </c>
      <c r="Y377" s="62">
        <f t="shared" si="288"/>
        <v>1450000</v>
      </c>
      <c r="Z377" s="62">
        <f t="shared" si="288"/>
        <v>1450000</v>
      </c>
      <c r="AA377" s="62">
        <f t="shared" si="288"/>
        <v>1450000</v>
      </c>
      <c r="AB377" s="62">
        <f t="shared" si="288"/>
        <v>1450000</v>
      </c>
      <c r="AC377" s="62">
        <f t="shared" si="288"/>
        <v>1450000</v>
      </c>
    </row>
    <row r="378" spans="1:29" x14ac:dyDescent="0.25">
      <c r="A378" s="30" t="str">
        <f t="shared" ref="A378:AC378" si="289">A360</f>
        <v>Opex maintenance &amp; repair</v>
      </c>
      <c r="B378" s="62">
        <f t="shared" si="289"/>
        <v>1293563.9575177333</v>
      </c>
      <c r="C378" s="62">
        <f t="shared" si="289"/>
        <v>1290808.235093934</v>
      </c>
      <c r="D378" s="62">
        <f t="shared" si="289"/>
        <v>1286895.5042898762</v>
      </c>
      <c r="E378" s="62">
        <f t="shared" si="289"/>
        <v>1281365.2352877648</v>
      </c>
      <c r="F378" s="62">
        <f t="shared" si="289"/>
        <v>1273600.837383118</v>
      </c>
      <c r="G378" s="62">
        <f t="shared" si="289"/>
        <v>1262805.5057319398</v>
      </c>
      <c r="H378" s="62">
        <f t="shared" si="289"/>
        <v>1248005.5098923349</v>
      </c>
      <c r="I378" s="62">
        <f t="shared" si="289"/>
        <v>1228115.9013873441</v>
      </c>
      <c r="J378" s="62">
        <f t="shared" si="289"/>
        <v>1202116.3406815415</v>
      </c>
      <c r="K378" s="62">
        <f t="shared" si="289"/>
        <v>1169374.2884687176</v>
      </c>
      <c r="L378" s="62">
        <f t="shared" si="289"/>
        <v>1130084.7656740851</v>
      </c>
      <c r="M378" s="62">
        <f t="shared" si="289"/>
        <v>1085657.2084191416</v>
      </c>
      <c r="N378" s="62">
        <f t="shared" si="289"/>
        <v>1038755.2185067786</v>
      </c>
      <c r="O378" s="62">
        <f t="shared" si="289"/>
        <v>992776.17202817916</v>
      </c>
      <c r="P378" s="62">
        <f t="shared" si="289"/>
        <v>950920.49960650213</v>
      </c>
      <c r="Q378" s="62">
        <f t="shared" si="289"/>
        <v>915349.13841044903</v>
      </c>
      <c r="R378" s="62">
        <f t="shared" si="289"/>
        <v>886862.84856226621</v>
      </c>
      <c r="S378" s="62">
        <f t="shared" si="289"/>
        <v>865126.54509633617</v>
      </c>
      <c r="T378" s="62">
        <f t="shared" si="289"/>
        <v>849148.61879481981</v>
      </c>
      <c r="U378" s="62">
        <f t="shared" si="289"/>
        <v>837724.6326365323</v>
      </c>
      <c r="V378" s="62">
        <f t="shared" si="289"/>
        <v>829718.10542985611</v>
      </c>
      <c r="W378" s="62">
        <f t="shared" si="289"/>
        <v>824185.10301042092</v>
      </c>
      <c r="X378" s="62">
        <f t="shared" si="289"/>
        <v>820398.59373471502</v>
      </c>
      <c r="Y378" s="62">
        <f t="shared" si="289"/>
        <v>817824.59227500285</v>
      </c>
      <c r="Z378" s="62">
        <f t="shared" si="289"/>
        <v>816082.79412917187</v>
      </c>
      <c r="AA378" s="62">
        <f t="shared" si="289"/>
        <v>814907.77528152149</v>
      </c>
      <c r="AB378" s="62">
        <f t="shared" si="289"/>
        <v>814116.75843028165</v>
      </c>
      <c r="AC378" s="62">
        <f t="shared" si="289"/>
        <v>813584.99765465059</v>
      </c>
    </row>
    <row r="379" spans="1:29" x14ac:dyDescent="0.25">
      <c r="A379" s="30" t="str">
        <f>A361</f>
        <v>Opex var (mode-fees, shunting)</v>
      </c>
      <c r="B379" s="62">
        <f>B361*B370</f>
        <v>1600000</v>
      </c>
      <c r="C379" s="62">
        <f t="shared" ref="C379:AC379" si="290">C361*C370</f>
        <v>1600000</v>
      </c>
      <c r="D379" s="62">
        <f t="shared" si="290"/>
        <v>1600000</v>
      </c>
      <c r="E379" s="62">
        <f t="shared" si="290"/>
        <v>1600000</v>
      </c>
      <c r="F379" s="62">
        <f t="shared" si="290"/>
        <v>1600000</v>
      </c>
      <c r="G379" s="62">
        <f t="shared" si="290"/>
        <v>1600000</v>
      </c>
      <c r="H379" s="62">
        <f t="shared" si="290"/>
        <v>1600000</v>
      </c>
      <c r="I379" s="62">
        <f t="shared" si="290"/>
        <v>1600000</v>
      </c>
      <c r="J379" s="62">
        <f t="shared" si="290"/>
        <v>1600000</v>
      </c>
      <c r="K379" s="62">
        <f t="shared" si="290"/>
        <v>1600000</v>
      </c>
      <c r="L379" s="62">
        <f t="shared" si="290"/>
        <v>1600000</v>
      </c>
      <c r="M379" s="62">
        <f t="shared" si="290"/>
        <v>1600000</v>
      </c>
      <c r="N379" s="62">
        <f t="shared" si="290"/>
        <v>1600000</v>
      </c>
      <c r="O379" s="62">
        <f t="shared" si="290"/>
        <v>1600000</v>
      </c>
      <c r="P379" s="62">
        <f t="shared" si="290"/>
        <v>1600000</v>
      </c>
      <c r="Q379" s="62">
        <f t="shared" si="290"/>
        <v>1600000</v>
      </c>
      <c r="R379" s="62">
        <f t="shared" si="290"/>
        <v>1600000</v>
      </c>
      <c r="S379" s="62">
        <f t="shared" si="290"/>
        <v>1600000</v>
      </c>
      <c r="T379" s="62">
        <f t="shared" si="290"/>
        <v>1600000</v>
      </c>
      <c r="U379" s="62">
        <f t="shared" si="290"/>
        <v>1600000</v>
      </c>
      <c r="V379" s="62">
        <f t="shared" si="290"/>
        <v>1600000</v>
      </c>
      <c r="W379" s="62">
        <f t="shared" si="290"/>
        <v>1600000</v>
      </c>
      <c r="X379" s="62">
        <f t="shared" si="290"/>
        <v>1600000</v>
      </c>
      <c r="Y379" s="62">
        <f t="shared" si="290"/>
        <v>1600000</v>
      </c>
      <c r="Z379" s="62">
        <f t="shared" si="290"/>
        <v>1600000</v>
      </c>
      <c r="AA379" s="62">
        <f t="shared" si="290"/>
        <v>1600000</v>
      </c>
      <c r="AB379" s="62">
        <f t="shared" si="290"/>
        <v>1600000</v>
      </c>
      <c r="AC379" s="62">
        <f t="shared" si="290"/>
        <v>1600000</v>
      </c>
    </row>
    <row r="380" spans="1:29" x14ac:dyDescent="0.25">
      <c r="A380" s="30" t="str">
        <f>A363</f>
        <v>Fuel Cost</v>
      </c>
      <c r="B380" s="62">
        <f>B362*B363*B370</f>
        <v>564609.2417724753</v>
      </c>
      <c r="C380" s="62">
        <f t="shared" ref="C380:AC380" si="291">C362*C363*C370</f>
        <v>564609.2417724753</v>
      </c>
      <c r="D380" s="62">
        <f t="shared" si="291"/>
        <v>564609.2417724753</v>
      </c>
      <c r="E380" s="62">
        <f t="shared" si="291"/>
        <v>564609.2417724753</v>
      </c>
      <c r="F380" s="62">
        <f t="shared" si="291"/>
        <v>564609.2417724753</v>
      </c>
      <c r="G380" s="62">
        <f t="shared" si="291"/>
        <v>564609.2417724753</v>
      </c>
      <c r="H380" s="62">
        <f t="shared" si="291"/>
        <v>564609.2417724753</v>
      </c>
      <c r="I380" s="62">
        <f t="shared" si="291"/>
        <v>564609.2417724753</v>
      </c>
      <c r="J380" s="62">
        <f t="shared" si="291"/>
        <v>575601.63362323598</v>
      </c>
      <c r="K380" s="62">
        <f t="shared" si="291"/>
        <v>586594.02547399676</v>
      </c>
      <c r="L380" s="62">
        <f t="shared" si="291"/>
        <v>597586.41732475744</v>
      </c>
      <c r="M380" s="62">
        <f t="shared" si="291"/>
        <v>608578.80917551811</v>
      </c>
      <c r="N380" s="62">
        <f t="shared" si="291"/>
        <v>619571.20102627878</v>
      </c>
      <c r="O380" s="62">
        <f t="shared" si="291"/>
        <v>613575.35092586384</v>
      </c>
      <c r="P380" s="62">
        <f t="shared" si="291"/>
        <v>607579.50082544889</v>
      </c>
      <c r="Q380" s="62">
        <f t="shared" si="291"/>
        <v>601583.65072503395</v>
      </c>
      <c r="R380" s="62">
        <f t="shared" si="291"/>
        <v>595587.80062461901</v>
      </c>
      <c r="S380" s="62">
        <f t="shared" si="291"/>
        <v>589591.95052420418</v>
      </c>
      <c r="T380" s="62">
        <f t="shared" si="291"/>
        <v>583596.10042378923</v>
      </c>
      <c r="U380" s="62">
        <f t="shared" si="291"/>
        <v>577600.25032337429</v>
      </c>
      <c r="V380" s="62">
        <f t="shared" si="291"/>
        <v>571604.40022295923</v>
      </c>
      <c r="W380" s="62">
        <f t="shared" si="291"/>
        <v>565608.5501225444</v>
      </c>
      <c r="X380" s="62">
        <f t="shared" si="291"/>
        <v>559612.70002212957</v>
      </c>
      <c r="Y380" s="62">
        <f t="shared" si="291"/>
        <v>553616.84992171463</v>
      </c>
      <c r="Z380" s="62">
        <f t="shared" si="291"/>
        <v>547620.99982129969</v>
      </c>
      <c r="AA380" s="62">
        <f t="shared" si="291"/>
        <v>541625.14972088463</v>
      </c>
      <c r="AB380" s="62">
        <f t="shared" si="291"/>
        <v>535629.29962046968</v>
      </c>
      <c r="AC380" s="62">
        <f t="shared" si="291"/>
        <v>529633.44952005497</v>
      </c>
    </row>
    <row r="381" spans="1:29" ht="15.75" thickBot="1" x14ac:dyDescent="0.3">
      <c r="A381" s="59" t="str">
        <f>A344</f>
        <v>Emission Cost</v>
      </c>
      <c r="B381" s="62">
        <f>B364*B370</f>
        <v>0</v>
      </c>
      <c r="C381" s="62">
        <f t="shared" ref="C381:AC381" si="292">C364*C370</f>
        <v>0</v>
      </c>
      <c r="D381" s="62">
        <f t="shared" si="292"/>
        <v>0</v>
      </c>
      <c r="E381" s="62">
        <f t="shared" si="292"/>
        <v>0</v>
      </c>
      <c r="F381" s="62">
        <f t="shared" si="292"/>
        <v>0</v>
      </c>
      <c r="G381" s="62">
        <f t="shared" si="292"/>
        <v>0</v>
      </c>
      <c r="H381" s="62">
        <f t="shared" si="292"/>
        <v>0</v>
      </c>
      <c r="I381" s="62">
        <f t="shared" si="292"/>
        <v>0</v>
      </c>
      <c r="J381" s="62">
        <f t="shared" si="292"/>
        <v>0</v>
      </c>
      <c r="K381" s="62">
        <f t="shared" si="292"/>
        <v>0</v>
      </c>
      <c r="L381" s="62">
        <f t="shared" si="292"/>
        <v>0</v>
      </c>
      <c r="M381" s="62">
        <f t="shared" si="292"/>
        <v>0</v>
      </c>
      <c r="N381" s="62">
        <f t="shared" si="292"/>
        <v>0</v>
      </c>
      <c r="O381" s="62">
        <f t="shared" si="292"/>
        <v>0</v>
      </c>
      <c r="P381" s="62">
        <f t="shared" si="292"/>
        <v>0</v>
      </c>
      <c r="Q381" s="62">
        <f t="shared" si="292"/>
        <v>0</v>
      </c>
      <c r="R381" s="62">
        <f t="shared" si="292"/>
        <v>0</v>
      </c>
      <c r="S381" s="62">
        <f t="shared" si="292"/>
        <v>0</v>
      </c>
      <c r="T381" s="62">
        <f t="shared" si="292"/>
        <v>0</v>
      </c>
      <c r="U381" s="62">
        <f t="shared" si="292"/>
        <v>0</v>
      </c>
      <c r="V381" s="62">
        <f t="shared" si="292"/>
        <v>0</v>
      </c>
      <c r="W381" s="62">
        <f t="shared" si="292"/>
        <v>0</v>
      </c>
      <c r="X381" s="62">
        <f t="shared" si="292"/>
        <v>0</v>
      </c>
      <c r="Y381" s="62">
        <f t="shared" si="292"/>
        <v>0</v>
      </c>
      <c r="Z381" s="62">
        <f t="shared" si="292"/>
        <v>0</v>
      </c>
      <c r="AA381" s="62">
        <f t="shared" si="292"/>
        <v>0</v>
      </c>
      <c r="AB381" s="62">
        <f t="shared" si="292"/>
        <v>0</v>
      </c>
      <c r="AC381" s="62">
        <f t="shared" si="292"/>
        <v>0</v>
      </c>
    </row>
    <row r="382" spans="1:29" ht="15.75" thickBot="1" x14ac:dyDescent="0.3">
      <c r="A382" s="31" t="s">
        <v>209</v>
      </c>
      <c r="B382" s="64">
        <f>B373+B374+B375+B376+B377+B378+B379+B380+B381</f>
        <v>6021475.740321029</v>
      </c>
      <c r="C382" s="64">
        <f t="shared" ref="C382:AC382" si="293">C373+C374+C375+C376+C377+C378+C379+C380+C381</f>
        <v>6016656.2766932687</v>
      </c>
      <c r="D382" s="64">
        <f t="shared" si="293"/>
        <v>6009813.3292205771</v>
      </c>
      <c r="E382" s="64">
        <f t="shared" si="293"/>
        <v>6000141.4805331975</v>
      </c>
      <c r="F382" s="64">
        <f t="shared" si="293"/>
        <v>5986562.37947072</v>
      </c>
      <c r="G382" s="64">
        <f t="shared" si="293"/>
        <v>5967682.4996275483</v>
      </c>
      <c r="H382" s="64">
        <f t="shared" si="293"/>
        <v>5941798.8906602692</v>
      </c>
      <c r="I382" s="64">
        <f t="shared" si="293"/>
        <v>5907014.0937836505</v>
      </c>
      <c r="J382" s="64">
        <f t="shared" si="293"/>
        <v>5872536.0361881228</v>
      </c>
      <c r="K382" s="64">
        <f t="shared" si="293"/>
        <v>5826266.0824647658</v>
      </c>
      <c r="L382" s="64">
        <f t="shared" si="293"/>
        <v>5768545.3033424718</v>
      </c>
      <c r="M382" s="64">
        <f t="shared" si="293"/>
        <v>5701838.6517731603</v>
      </c>
      <c r="N382" s="64">
        <f t="shared" si="293"/>
        <v>5630804.482276503</v>
      </c>
      <c r="O382" s="64">
        <f t="shared" si="293"/>
        <v>5544396.2001296086</v>
      </c>
      <c r="P382" s="64">
        <f t="shared" si="293"/>
        <v>5465199.257963608</v>
      </c>
      <c r="Q382" s="64">
        <f t="shared" si="293"/>
        <v>5396992.9036434116</v>
      </c>
      <c r="R382" s="64">
        <f t="shared" si="293"/>
        <v>5341177.5809330223</v>
      </c>
      <c r="S382" s="64">
        <f t="shared" si="293"/>
        <v>5297167.2620852115</v>
      </c>
      <c r="T382" s="64">
        <f t="shared" si="293"/>
        <v>5263227.7286906606</v>
      </c>
      <c r="U382" s="64">
        <f t="shared" si="293"/>
        <v>5237252.5492868237</v>
      </c>
      <c r="V382" s="64">
        <f t="shared" si="293"/>
        <v>5217254.139885081</v>
      </c>
      <c r="W382" s="64">
        <f t="shared" si="293"/>
        <v>5201581.6606428903</v>
      </c>
      <c r="X382" s="64">
        <f t="shared" si="293"/>
        <v>5188963.611015833</v>
      </c>
      <c r="Y382" s="64">
        <f t="shared" si="293"/>
        <v>5178466.1078077797</v>
      </c>
      <c r="Z382" s="64">
        <f t="shared" si="293"/>
        <v>5169424.0391411427</v>
      </c>
      <c r="AA382" s="64">
        <f t="shared" si="293"/>
        <v>5161373.2068156395</v>
      </c>
      <c r="AB382" s="64">
        <f t="shared" si="293"/>
        <v>5153993.9528895812</v>
      </c>
      <c r="AC382" s="64">
        <f t="shared" si="293"/>
        <v>5147068.1100966185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4">A373</f>
        <v>Capex vehicle</v>
      </c>
      <c r="B385" s="65">
        <f>((1+B358)^B365)*B358/(((1+B358)^B365)-1)*(B354)/B370</f>
        <v>4.8601077594228057</v>
      </c>
      <c r="C385" s="65">
        <f t="shared" ref="C385:AC385" si="295">((1+C358)^C365)*C358/(((1+C358)^C365)-1)*(C354)/C370</f>
        <v>4.8497541098356427</v>
      </c>
      <c r="D385" s="65">
        <f t="shared" si="295"/>
        <v>4.8350534116360544</v>
      </c>
      <c r="E385" s="65">
        <f t="shared" si="295"/>
        <v>4.8142753873778386</v>
      </c>
      <c r="F385" s="65">
        <f t="shared" si="295"/>
        <v>4.7851034161859127</v>
      </c>
      <c r="G385" s="65">
        <f t="shared" si="295"/>
        <v>4.7445437864756714</v>
      </c>
      <c r="H385" s="65">
        <f t="shared" si="295"/>
        <v>4.6889380514816965</v>
      </c>
      <c r="I385" s="65">
        <f t="shared" si="295"/>
        <v>4.6142099021194625</v>
      </c>
      <c r="J385" s="65">
        <f t="shared" si="295"/>
        <v>4.5165257744862721</v>
      </c>
      <c r="K385" s="65">
        <f t="shared" si="295"/>
        <v>4.3935091264928241</v>
      </c>
      <c r="L385" s="65">
        <f t="shared" si="295"/>
        <v>4.2458926800941192</v>
      </c>
      <c r="M385" s="65">
        <f t="shared" si="295"/>
        <v>4.0789718916073303</v>
      </c>
      <c r="N385" s="65">
        <f t="shared" si="295"/>
        <v>3.9027543000605887</v>
      </c>
      <c r="O385" s="65">
        <f t="shared" si="295"/>
        <v>3.7300043411097277</v>
      </c>
      <c r="P385" s="65">
        <f t="shared" si="295"/>
        <v>3.5727464976685668</v>
      </c>
      <c r="Q385" s="65">
        <f t="shared" si="295"/>
        <v>3.4390997246911277</v>
      </c>
      <c r="R385" s="65">
        <f t="shared" si="295"/>
        <v>3.3320725943171574</v>
      </c>
      <c r="S385" s="65">
        <f t="shared" si="295"/>
        <v>3.2504061436387905</v>
      </c>
      <c r="T385" s="65">
        <f t="shared" si="295"/>
        <v>3.1903747527313779</v>
      </c>
      <c r="U385" s="65">
        <f t="shared" si="295"/>
        <v>3.147453176686561</v>
      </c>
      <c r="V385" s="65">
        <f t="shared" si="295"/>
        <v>3.1173714905224945</v>
      </c>
      <c r="W385" s="65">
        <f t="shared" si="295"/>
        <v>3.0965831964181936</v>
      </c>
      <c r="X385" s="65">
        <f t="shared" si="295"/>
        <v>3.0823567308421902</v>
      </c>
      <c r="Y385" s="65">
        <f t="shared" si="295"/>
        <v>3.0726858333234324</v>
      </c>
      <c r="Z385" s="65">
        <f t="shared" si="295"/>
        <v>3.0661416445844814</v>
      </c>
      <c r="AA385" s="65">
        <f t="shared" si="295"/>
        <v>3.0617269280289179</v>
      </c>
      <c r="AB385" s="65">
        <f t="shared" si="295"/>
        <v>3.058754962774163</v>
      </c>
      <c r="AC385" s="65">
        <f t="shared" si="295"/>
        <v>3.0567570602686231</v>
      </c>
    </row>
    <row r="386" spans="1:29" x14ac:dyDescent="0.25">
      <c r="A386" s="30" t="str">
        <f t="shared" si="294"/>
        <v>Residual value (vehicle)</v>
      </c>
      <c r="B386" s="66">
        <f>((1+B358)^B365)*B358/(((1+B358)^B365)-1)*(B355)/B370</f>
        <v>-0.24703557911170351</v>
      </c>
      <c r="C386" s="66">
        <f t="shared" ref="C386:AC386" si="296">((1+C358)^C365)*C358/(((1+C358)^C365)-1)*(C355)/C370</f>
        <v>-0.24824350489687252</v>
      </c>
      <c r="D386" s="66">
        <f t="shared" si="296"/>
        <v>-0.24995858635349122</v>
      </c>
      <c r="E386" s="66">
        <f t="shared" si="296"/>
        <v>-0.25238268918361639</v>
      </c>
      <c r="F386" s="66">
        <f t="shared" si="296"/>
        <v>-0.25578608582267437</v>
      </c>
      <c r="G386" s="66">
        <f t="shared" si="296"/>
        <v>-0.26051804262220252</v>
      </c>
      <c r="H386" s="66">
        <f t="shared" si="296"/>
        <v>-0.26700537837149957</v>
      </c>
      <c r="I386" s="66">
        <f t="shared" si="296"/>
        <v>-0.27572366246376023</v>
      </c>
      <c r="J386" s="66">
        <f t="shared" si="296"/>
        <v>-0.28712014402096564</v>
      </c>
      <c r="K386" s="66">
        <f t="shared" si="296"/>
        <v>-0.301472086286868</v>
      </c>
      <c r="L386" s="66">
        <f t="shared" si="296"/>
        <v>-0.31869400503338358</v>
      </c>
      <c r="M386" s="66">
        <f t="shared" si="296"/>
        <v>-0.33816809702350897</v>
      </c>
      <c r="N386" s="66">
        <f t="shared" si="296"/>
        <v>-0.35872681603729545</v>
      </c>
      <c r="O386" s="66">
        <f t="shared" si="296"/>
        <v>-0.378880977914896</v>
      </c>
      <c r="P386" s="66">
        <f t="shared" si="296"/>
        <v>-0.39722772631636477</v>
      </c>
      <c r="Q386" s="66">
        <f t="shared" si="296"/>
        <v>-0.41281984983039921</v>
      </c>
      <c r="R386" s="66">
        <f t="shared" si="296"/>
        <v>-0.42530634837402914</v>
      </c>
      <c r="S386" s="66">
        <f t="shared" si="296"/>
        <v>-0.43483410095317204</v>
      </c>
      <c r="T386" s="66">
        <f t="shared" si="296"/>
        <v>-0.44183776322570334</v>
      </c>
      <c r="U386" s="66">
        <f t="shared" si="296"/>
        <v>-0.44684528043093191</v>
      </c>
      <c r="V386" s="66">
        <f t="shared" si="296"/>
        <v>-0.45035481048340636</v>
      </c>
      <c r="W386" s="66">
        <f t="shared" si="296"/>
        <v>-0.45278011146224156</v>
      </c>
      <c r="X386" s="66">
        <f t="shared" si="296"/>
        <v>-0.45443986577944195</v>
      </c>
      <c r="Y386" s="66">
        <f t="shared" si="296"/>
        <v>-0.45556813715663036</v>
      </c>
      <c r="Z386" s="66">
        <f t="shared" si="296"/>
        <v>-0.45633162584284143</v>
      </c>
      <c r="AA386" s="66">
        <f t="shared" si="296"/>
        <v>-0.45684667610765711</v>
      </c>
      <c r="AB386" s="66">
        <f t="shared" si="296"/>
        <v>-0.45719340538737846</v>
      </c>
      <c r="AC386" s="66">
        <f t="shared" si="296"/>
        <v>-0.45742649401302482</v>
      </c>
    </row>
    <row r="387" spans="1:29" x14ac:dyDescent="0.25">
      <c r="A387" s="30" t="str">
        <f t="shared" si="294"/>
        <v>Capex costumization</v>
      </c>
      <c r="B387" s="66">
        <f>((1+B358)^B366)*B358/(((1+B358)^B366)-1)*(B356)/B370</f>
        <v>1.7093861527069927</v>
      </c>
      <c r="C387" s="66">
        <f t="shared" ref="C387:AC387" si="297">((1+C358)^C366)*C358/(((1+C358)^C366)-1)*(C356)/C370</f>
        <v>1.7093861527069927</v>
      </c>
      <c r="D387" s="66">
        <f t="shared" si="297"/>
        <v>1.7093861527069927</v>
      </c>
      <c r="E387" s="66">
        <f t="shared" si="297"/>
        <v>1.7093861527069927</v>
      </c>
      <c r="F387" s="66">
        <f t="shared" si="297"/>
        <v>1.7093861527069927</v>
      </c>
      <c r="G387" s="66">
        <f t="shared" si="297"/>
        <v>1.7093861527069927</v>
      </c>
      <c r="H387" s="66">
        <f t="shared" si="297"/>
        <v>1.7093861527069927</v>
      </c>
      <c r="I387" s="66">
        <f t="shared" si="297"/>
        <v>1.7093861527069927</v>
      </c>
      <c r="J387" s="66">
        <f t="shared" si="297"/>
        <v>1.7093861527069927</v>
      </c>
      <c r="K387" s="66">
        <f t="shared" si="297"/>
        <v>1.7093861527069927</v>
      </c>
      <c r="L387" s="66">
        <f t="shared" si="297"/>
        <v>1.7093861527069927</v>
      </c>
      <c r="M387" s="66">
        <f t="shared" si="297"/>
        <v>1.7093861527069927</v>
      </c>
      <c r="N387" s="66">
        <f t="shared" si="297"/>
        <v>1.7093861527069927</v>
      </c>
      <c r="O387" s="66">
        <f t="shared" si="297"/>
        <v>1.7093861527069927</v>
      </c>
      <c r="P387" s="66">
        <f t="shared" si="297"/>
        <v>1.7093861527069927</v>
      </c>
      <c r="Q387" s="66">
        <f t="shared" si="297"/>
        <v>1.7093861527069927</v>
      </c>
      <c r="R387" s="66">
        <f t="shared" si="297"/>
        <v>1.7093861527069927</v>
      </c>
      <c r="S387" s="66">
        <f t="shared" si="297"/>
        <v>1.7093861527069927</v>
      </c>
      <c r="T387" s="66">
        <f t="shared" si="297"/>
        <v>1.7093861527069927</v>
      </c>
      <c r="U387" s="66">
        <f t="shared" si="297"/>
        <v>1.7093861527069927</v>
      </c>
      <c r="V387" s="66">
        <f t="shared" si="297"/>
        <v>1.7093861527069927</v>
      </c>
      <c r="W387" s="66">
        <f t="shared" si="297"/>
        <v>1.7093861527069927</v>
      </c>
      <c r="X387" s="66">
        <f t="shared" si="297"/>
        <v>1.7093861527069927</v>
      </c>
      <c r="Y387" s="66">
        <f t="shared" si="297"/>
        <v>1.7093861527069927</v>
      </c>
      <c r="Z387" s="66">
        <f t="shared" si="297"/>
        <v>1.7093861527069927</v>
      </c>
      <c r="AA387" s="66">
        <f t="shared" si="297"/>
        <v>1.7093861527069927</v>
      </c>
      <c r="AB387" s="66">
        <f t="shared" si="297"/>
        <v>1.7093861527069927</v>
      </c>
      <c r="AC387" s="66">
        <f t="shared" si="297"/>
        <v>1.7093861527069927</v>
      </c>
    </row>
    <row r="388" spans="1:29" x14ac:dyDescent="0.25">
      <c r="A388" s="30" t="str">
        <f t="shared" si="294"/>
        <v>Residual value (costumization)</v>
      </c>
      <c r="B388" s="66">
        <f>((1+B358)^B366)*B358/(((1+B358)^B366)-1)*(B357)/B370</f>
        <v>-8.5469307635349642E-2</v>
      </c>
      <c r="C388" s="66">
        <f t="shared" ref="C388:AC388" si="298">((1+C358)^C366)*C358/(((1+C358)^C366)-1)*(C357)/C370</f>
        <v>-8.5469307635349642E-2</v>
      </c>
      <c r="D388" s="66">
        <f t="shared" si="298"/>
        <v>-8.5469307635349642E-2</v>
      </c>
      <c r="E388" s="66">
        <f t="shared" si="298"/>
        <v>-8.5469307635349642E-2</v>
      </c>
      <c r="F388" s="66">
        <f t="shared" si="298"/>
        <v>-8.5469307635349642E-2</v>
      </c>
      <c r="G388" s="66">
        <f t="shared" si="298"/>
        <v>-8.5469307635349642E-2</v>
      </c>
      <c r="H388" s="66">
        <f t="shared" si="298"/>
        <v>-8.5469307635349642E-2</v>
      </c>
      <c r="I388" s="66">
        <f t="shared" si="298"/>
        <v>-8.5469307635349642E-2</v>
      </c>
      <c r="J388" s="66">
        <f t="shared" si="298"/>
        <v>-8.5469307635349642E-2</v>
      </c>
      <c r="K388" s="66">
        <f t="shared" si="298"/>
        <v>-8.5469307635349642E-2</v>
      </c>
      <c r="L388" s="66">
        <f t="shared" si="298"/>
        <v>-8.5469307635349642E-2</v>
      </c>
      <c r="M388" s="66">
        <f t="shared" si="298"/>
        <v>-8.5469307635349642E-2</v>
      </c>
      <c r="N388" s="66">
        <f t="shared" si="298"/>
        <v>-8.5469307635349642E-2</v>
      </c>
      <c r="O388" s="66">
        <f t="shared" si="298"/>
        <v>-8.5469307635349642E-2</v>
      </c>
      <c r="P388" s="66">
        <f t="shared" si="298"/>
        <v>-8.5469307635349642E-2</v>
      </c>
      <c r="Q388" s="66">
        <f t="shared" si="298"/>
        <v>-8.5469307635349642E-2</v>
      </c>
      <c r="R388" s="66">
        <f t="shared" si="298"/>
        <v>-8.5469307635349642E-2</v>
      </c>
      <c r="S388" s="66">
        <f t="shared" si="298"/>
        <v>-8.5469307635349642E-2</v>
      </c>
      <c r="T388" s="66">
        <f t="shared" si="298"/>
        <v>-8.5469307635349642E-2</v>
      </c>
      <c r="U388" s="66">
        <f t="shared" si="298"/>
        <v>-8.5469307635349642E-2</v>
      </c>
      <c r="V388" s="66">
        <f t="shared" si="298"/>
        <v>-8.5469307635349642E-2</v>
      </c>
      <c r="W388" s="66">
        <f t="shared" si="298"/>
        <v>-8.5469307635349642E-2</v>
      </c>
      <c r="X388" s="66">
        <f t="shared" si="298"/>
        <v>-8.5469307635349642E-2</v>
      </c>
      <c r="Y388" s="66">
        <f t="shared" si="298"/>
        <v>-8.5469307635349642E-2</v>
      </c>
      <c r="Z388" s="66">
        <f t="shared" si="298"/>
        <v>-8.5469307635349642E-2</v>
      </c>
      <c r="AA388" s="66">
        <f t="shared" si="298"/>
        <v>-8.5469307635349642E-2</v>
      </c>
      <c r="AB388" s="66">
        <f t="shared" si="298"/>
        <v>-8.5469307635349642E-2</v>
      </c>
      <c r="AC388" s="66">
        <f t="shared" si="298"/>
        <v>-8.5469307635349642E-2</v>
      </c>
    </row>
    <row r="389" spans="1:29" x14ac:dyDescent="0.25">
      <c r="A389" s="30" t="str">
        <f t="shared" si="294"/>
        <v>Opex fix (admin, crew, insurance)</v>
      </c>
      <c r="B389" s="66">
        <f>B359/B370</f>
        <v>8.1232492997198875</v>
      </c>
      <c r="C389" s="66">
        <f t="shared" ref="C389:AC389" si="299">C359/C370</f>
        <v>8.1232492997198875</v>
      </c>
      <c r="D389" s="66">
        <f t="shared" si="299"/>
        <v>8.1232492997198875</v>
      </c>
      <c r="E389" s="66">
        <f t="shared" si="299"/>
        <v>8.1232492997198875</v>
      </c>
      <c r="F389" s="66">
        <f t="shared" si="299"/>
        <v>8.1232492997198875</v>
      </c>
      <c r="G389" s="66">
        <f t="shared" si="299"/>
        <v>8.1232492997198875</v>
      </c>
      <c r="H389" s="66">
        <f t="shared" si="299"/>
        <v>8.1232492997198875</v>
      </c>
      <c r="I389" s="66">
        <f t="shared" si="299"/>
        <v>8.1232492997198875</v>
      </c>
      <c r="J389" s="66">
        <f t="shared" si="299"/>
        <v>8.1232492997198875</v>
      </c>
      <c r="K389" s="66">
        <f t="shared" si="299"/>
        <v>8.1232492997198875</v>
      </c>
      <c r="L389" s="66">
        <f t="shared" si="299"/>
        <v>8.1232492997198875</v>
      </c>
      <c r="M389" s="66">
        <f t="shared" si="299"/>
        <v>8.1232492997198875</v>
      </c>
      <c r="N389" s="66">
        <f t="shared" si="299"/>
        <v>8.1232492997198875</v>
      </c>
      <c r="O389" s="66">
        <f t="shared" si="299"/>
        <v>8.1232492997198875</v>
      </c>
      <c r="P389" s="66">
        <f t="shared" si="299"/>
        <v>8.1232492997198875</v>
      </c>
      <c r="Q389" s="66">
        <f t="shared" si="299"/>
        <v>8.1232492997198875</v>
      </c>
      <c r="R389" s="66">
        <f t="shared" si="299"/>
        <v>8.1232492997198875</v>
      </c>
      <c r="S389" s="66">
        <f t="shared" si="299"/>
        <v>8.1232492997198875</v>
      </c>
      <c r="T389" s="66">
        <f t="shared" si="299"/>
        <v>8.1232492997198875</v>
      </c>
      <c r="U389" s="66">
        <f t="shared" si="299"/>
        <v>8.1232492997198875</v>
      </c>
      <c r="V389" s="66">
        <f t="shared" si="299"/>
        <v>8.1232492997198875</v>
      </c>
      <c r="W389" s="66">
        <f t="shared" si="299"/>
        <v>8.1232492997198875</v>
      </c>
      <c r="X389" s="66">
        <f t="shared" si="299"/>
        <v>8.1232492997198875</v>
      </c>
      <c r="Y389" s="66">
        <f t="shared" si="299"/>
        <v>8.1232492997198875</v>
      </c>
      <c r="Z389" s="66">
        <f t="shared" si="299"/>
        <v>8.1232492997198875</v>
      </c>
      <c r="AA389" s="66">
        <f t="shared" si="299"/>
        <v>8.1232492997198875</v>
      </c>
      <c r="AB389" s="66">
        <f t="shared" si="299"/>
        <v>8.1232492997198875</v>
      </c>
      <c r="AC389" s="66">
        <f t="shared" si="299"/>
        <v>8.1232492997198875</v>
      </c>
    </row>
    <row r="390" spans="1:29" x14ac:dyDescent="0.25">
      <c r="A390" s="30" t="str">
        <f t="shared" si="294"/>
        <v>Opex maintenance &amp; repair</v>
      </c>
      <c r="B390" s="66">
        <f>B360/B370</f>
        <v>7.246856904861251</v>
      </c>
      <c r="C390" s="66">
        <f t="shared" ref="C390:AC390" si="300">C360/C370</f>
        <v>7.2314186839996299</v>
      </c>
      <c r="D390" s="66">
        <f t="shared" si="300"/>
        <v>7.2094986234726957</v>
      </c>
      <c r="E390" s="66">
        <f t="shared" si="300"/>
        <v>7.1785167243012031</v>
      </c>
      <c r="F390" s="66">
        <f t="shared" si="300"/>
        <v>7.1350186968241909</v>
      </c>
      <c r="G390" s="66">
        <f t="shared" si="300"/>
        <v>7.0745406483582061</v>
      </c>
      <c r="H390" s="66">
        <f t="shared" si="300"/>
        <v>6.9916275063996354</v>
      </c>
      <c r="I390" s="66">
        <f t="shared" si="300"/>
        <v>6.8802011282204152</v>
      </c>
      <c r="J390" s="66">
        <f t="shared" si="300"/>
        <v>6.7345453259470114</v>
      </c>
      <c r="K390" s="66">
        <f t="shared" si="300"/>
        <v>6.5511164620096221</v>
      </c>
      <c r="L390" s="66">
        <f t="shared" si="300"/>
        <v>6.3310070906111209</v>
      </c>
      <c r="M390" s="66">
        <f t="shared" si="300"/>
        <v>6.0821132124321657</v>
      </c>
      <c r="N390" s="66">
        <f t="shared" si="300"/>
        <v>5.8193569664245297</v>
      </c>
      <c r="O390" s="66">
        <f t="shared" si="300"/>
        <v>5.56177127186655</v>
      </c>
      <c r="P390" s="66">
        <f t="shared" si="300"/>
        <v>5.3272857120812445</v>
      </c>
      <c r="Q390" s="66">
        <f t="shared" si="300"/>
        <v>5.1280063776495748</v>
      </c>
      <c r="R390" s="66">
        <f t="shared" si="300"/>
        <v>4.9684193196765616</v>
      </c>
      <c r="S390" s="66">
        <f t="shared" si="300"/>
        <v>4.8466473114640678</v>
      </c>
      <c r="T390" s="66">
        <f t="shared" si="300"/>
        <v>4.7571351192987104</v>
      </c>
      <c r="U390" s="66">
        <f t="shared" si="300"/>
        <v>4.6931351968433184</v>
      </c>
      <c r="V390" s="66">
        <f t="shared" si="300"/>
        <v>4.6482807026882691</v>
      </c>
      <c r="W390" s="66">
        <f t="shared" si="300"/>
        <v>4.6172834902544588</v>
      </c>
      <c r="X390" s="66">
        <f t="shared" si="300"/>
        <v>4.5960705531356583</v>
      </c>
      <c r="Y390" s="66">
        <f t="shared" si="300"/>
        <v>4.5816503768907726</v>
      </c>
      <c r="Z390" s="66">
        <f t="shared" si="300"/>
        <v>4.5718924040849966</v>
      </c>
      <c r="AA390" s="66">
        <f t="shared" si="300"/>
        <v>4.5653096654426975</v>
      </c>
      <c r="AB390" s="66">
        <f t="shared" si="300"/>
        <v>4.5608781984889726</v>
      </c>
      <c r="AC390" s="66">
        <f t="shared" si="300"/>
        <v>4.5578991465246528</v>
      </c>
    </row>
    <row r="391" spans="1:29" x14ac:dyDescent="0.25">
      <c r="A391" s="30" t="str">
        <f t="shared" si="294"/>
        <v>Opex var (mode-fees, shunting)</v>
      </c>
      <c r="B391" s="66">
        <f>B361*B370/B370</f>
        <v>8.9635854341736696</v>
      </c>
      <c r="C391" s="66">
        <f t="shared" ref="C391:AC391" si="301">C361*C370/C370</f>
        <v>8.9635854341736696</v>
      </c>
      <c r="D391" s="66">
        <f t="shared" si="301"/>
        <v>8.9635854341736696</v>
      </c>
      <c r="E391" s="66">
        <f t="shared" si="301"/>
        <v>8.9635854341736696</v>
      </c>
      <c r="F391" s="66">
        <f t="shared" si="301"/>
        <v>8.9635854341736696</v>
      </c>
      <c r="G391" s="66">
        <f t="shared" si="301"/>
        <v>8.9635854341736696</v>
      </c>
      <c r="H391" s="66">
        <f t="shared" si="301"/>
        <v>8.9635854341736696</v>
      </c>
      <c r="I391" s="66">
        <f t="shared" si="301"/>
        <v>8.9635854341736696</v>
      </c>
      <c r="J391" s="66">
        <f t="shared" si="301"/>
        <v>8.9635854341736696</v>
      </c>
      <c r="K391" s="66">
        <f t="shared" si="301"/>
        <v>8.9635854341736696</v>
      </c>
      <c r="L391" s="66">
        <f t="shared" si="301"/>
        <v>8.9635854341736696</v>
      </c>
      <c r="M391" s="66">
        <f t="shared" si="301"/>
        <v>8.9635854341736696</v>
      </c>
      <c r="N391" s="66">
        <f t="shared" si="301"/>
        <v>8.9635854341736696</v>
      </c>
      <c r="O391" s="66">
        <f t="shared" si="301"/>
        <v>8.9635854341736696</v>
      </c>
      <c r="P391" s="66">
        <f t="shared" si="301"/>
        <v>8.9635854341736696</v>
      </c>
      <c r="Q391" s="66">
        <f t="shared" si="301"/>
        <v>8.9635854341736696</v>
      </c>
      <c r="R391" s="66">
        <f t="shared" si="301"/>
        <v>8.9635854341736696</v>
      </c>
      <c r="S391" s="66">
        <f t="shared" si="301"/>
        <v>8.9635854341736696</v>
      </c>
      <c r="T391" s="66">
        <f t="shared" si="301"/>
        <v>8.9635854341736696</v>
      </c>
      <c r="U391" s="66">
        <f t="shared" si="301"/>
        <v>8.9635854341736696</v>
      </c>
      <c r="V391" s="66">
        <f t="shared" si="301"/>
        <v>8.9635854341736696</v>
      </c>
      <c r="W391" s="66">
        <f t="shared" si="301"/>
        <v>8.9635854341736696</v>
      </c>
      <c r="X391" s="66">
        <f t="shared" si="301"/>
        <v>8.9635854341736696</v>
      </c>
      <c r="Y391" s="66">
        <f t="shared" si="301"/>
        <v>8.9635854341736696</v>
      </c>
      <c r="Z391" s="66">
        <f t="shared" si="301"/>
        <v>8.9635854341736696</v>
      </c>
      <c r="AA391" s="66">
        <f t="shared" si="301"/>
        <v>8.9635854341736696</v>
      </c>
      <c r="AB391" s="66">
        <f t="shared" si="301"/>
        <v>8.9635854341736696</v>
      </c>
      <c r="AC391" s="66">
        <f t="shared" si="301"/>
        <v>8.9635854341736696</v>
      </c>
    </row>
    <row r="392" spans="1:29" x14ac:dyDescent="0.25">
      <c r="A392" s="30" t="str">
        <f t="shared" si="294"/>
        <v>Fuel Cost</v>
      </c>
      <c r="B392" s="66">
        <f>B362*B363*B370/B370</f>
        <v>3.1630769847197495</v>
      </c>
      <c r="C392" s="66">
        <f t="shared" ref="C392:AC392" si="302">C362*C363*C370/C370</f>
        <v>3.1630769847197495</v>
      </c>
      <c r="D392" s="66">
        <f t="shared" si="302"/>
        <v>3.1630769847197495</v>
      </c>
      <c r="E392" s="66">
        <f t="shared" si="302"/>
        <v>3.1630769847197495</v>
      </c>
      <c r="F392" s="66">
        <f t="shared" si="302"/>
        <v>3.1630769847197495</v>
      </c>
      <c r="G392" s="66">
        <f t="shared" si="302"/>
        <v>3.1630769847197495</v>
      </c>
      <c r="H392" s="66">
        <f t="shared" si="302"/>
        <v>3.1630769847197495</v>
      </c>
      <c r="I392" s="66">
        <f t="shared" si="302"/>
        <v>3.1630769847197495</v>
      </c>
      <c r="J392" s="66">
        <f t="shared" si="302"/>
        <v>3.2246590118948792</v>
      </c>
      <c r="K392" s="66">
        <f t="shared" si="302"/>
        <v>3.2862410390700099</v>
      </c>
      <c r="L392" s="66">
        <f t="shared" si="302"/>
        <v>3.3478230662451396</v>
      </c>
      <c r="M392" s="66">
        <f t="shared" si="302"/>
        <v>3.4094050934202693</v>
      </c>
      <c r="N392" s="66">
        <f t="shared" si="302"/>
        <v>3.4709871205953995</v>
      </c>
      <c r="O392" s="66">
        <f t="shared" si="302"/>
        <v>3.4373969239544193</v>
      </c>
      <c r="P392" s="66">
        <f t="shared" si="302"/>
        <v>3.4038067273134391</v>
      </c>
      <c r="Q392" s="66">
        <f t="shared" si="302"/>
        <v>3.370216530672459</v>
      </c>
      <c r="R392" s="66">
        <f t="shared" si="302"/>
        <v>3.3366263340314792</v>
      </c>
      <c r="S392" s="66">
        <f t="shared" si="302"/>
        <v>3.3030361373904995</v>
      </c>
      <c r="T392" s="66">
        <f t="shared" si="302"/>
        <v>3.2694459407495193</v>
      </c>
      <c r="U392" s="66">
        <f t="shared" si="302"/>
        <v>3.2358557441085396</v>
      </c>
      <c r="V392" s="66">
        <f t="shared" si="302"/>
        <v>3.2022655474675585</v>
      </c>
      <c r="W392" s="66">
        <f t="shared" si="302"/>
        <v>3.1686753508265793</v>
      </c>
      <c r="X392" s="66">
        <f t="shared" si="302"/>
        <v>3.1350851541856</v>
      </c>
      <c r="Y392" s="66">
        <f t="shared" si="302"/>
        <v>3.1014949575446198</v>
      </c>
      <c r="Z392" s="66">
        <f t="shared" si="302"/>
        <v>3.0679047609036396</v>
      </c>
      <c r="AA392" s="66">
        <f t="shared" si="302"/>
        <v>3.034314564262659</v>
      </c>
      <c r="AB392" s="66">
        <f t="shared" si="302"/>
        <v>3.0007243676216788</v>
      </c>
      <c r="AC392" s="66">
        <f t="shared" si="302"/>
        <v>2.9671341709807</v>
      </c>
    </row>
    <row r="393" spans="1:29" ht="15.75" thickBot="1" x14ac:dyDescent="0.3">
      <c r="A393" s="59" t="str">
        <f t="shared" ref="A393" si="303">A381</f>
        <v>Emission Cost</v>
      </c>
      <c r="B393" s="66">
        <f>B364</f>
        <v>0</v>
      </c>
      <c r="C393" s="66">
        <f t="shared" ref="C393:AC393" si="304">C364</f>
        <v>0</v>
      </c>
      <c r="D393" s="66">
        <f t="shared" si="304"/>
        <v>0</v>
      </c>
      <c r="E393" s="66">
        <f t="shared" si="304"/>
        <v>0</v>
      </c>
      <c r="F393" s="66">
        <f t="shared" si="304"/>
        <v>0</v>
      </c>
      <c r="G393" s="66">
        <f t="shared" si="304"/>
        <v>0</v>
      </c>
      <c r="H393" s="66">
        <f t="shared" si="304"/>
        <v>0</v>
      </c>
      <c r="I393" s="66">
        <f t="shared" si="304"/>
        <v>0</v>
      </c>
      <c r="J393" s="66">
        <f t="shared" si="304"/>
        <v>0</v>
      </c>
      <c r="K393" s="66">
        <f t="shared" si="304"/>
        <v>0</v>
      </c>
      <c r="L393" s="66">
        <f t="shared" si="304"/>
        <v>0</v>
      </c>
      <c r="M393" s="66">
        <f t="shared" si="304"/>
        <v>0</v>
      </c>
      <c r="N393" s="66">
        <f t="shared" si="304"/>
        <v>0</v>
      </c>
      <c r="O393" s="66">
        <f t="shared" si="304"/>
        <v>0</v>
      </c>
      <c r="P393" s="66">
        <f t="shared" si="304"/>
        <v>0</v>
      </c>
      <c r="Q393" s="66">
        <f t="shared" si="304"/>
        <v>0</v>
      </c>
      <c r="R393" s="66">
        <f t="shared" si="304"/>
        <v>0</v>
      </c>
      <c r="S393" s="66">
        <f t="shared" si="304"/>
        <v>0</v>
      </c>
      <c r="T393" s="66">
        <f t="shared" si="304"/>
        <v>0</v>
      </c>
      <c r="U393" s="66">
        <f t="shared" si="304"/>
        <v>0</v>
      </c>
      <c r="V393" s="66">
        <f t="shared" si="304"/>
        <v>0</v>
      </c>
      <c r="W393" s="66">
        <f t="shared" si="304"/>
        <v>0</v>
      </c>
      <c r="X393" s="66">
        <f t="shared" si="304"/>
        <v>0</v>
      </c>
      <c r="Y393" s="66">
        <f t="shared" si="304"/>
        <v>0</v>
      </c>
      <c r="Z393" s="66">
        <f t="shared" si="304"/>
        <v>0</v>
      </c>
      <c r="AA393" s="66">
        <f t="shared" si="304"/>
        <v>0</v>
      </c>
      <c r="AB393" s="66">
        <f t="shared" si="304"/>
        <v>0</v>
      </c>
      <c r="AC393" s="66">
        <f t="shared" si="304"/>
        <v>0</v>
      </c>
    </row>
    <row r="394" spans="1:29" ht="15.75" thickBot="1" x14ac:dyDescent="0.3">
      <c r="A394" s="31" t="s">
        <v>63</v>
      </c>
      <c r="B394" s="76">
        <f>B385+B386+B387-B388+B389+B390+B391+B392+B393</f>
        <v>33.904696264127999</v>
      </c>
      <c r="C394" s="76">
        <f t="shared" ref="C394:AC394" si="305">C385+C386+C387-C388+C389+C390+C391+C392+C393</f>
        <v>33.877696467894047</v>
      </c>
      <c r="D394" s="76">
        <f t="shared" si="305"/>
        <v>33.83936062771091</v>
      </c>
      <c r="E394" s="76">
        <f t="shared" si="305"/>
        <v>33.785176601451077</v>
      </c>
      <c r="F394" s="76">
        <f t="shared" si="305"/>
        <v>33.709103206143077</v>
      </c>
      <c r="G394" s="76">
        <f t="shared" si="305"/>
        <v>33.603333571167326</v>
      </c>
      <c r="H394" s="76">
        <f t="shared" si="305"/>
        <v>33.458327358465482</v>
      </c>
      <c r="I394" s="76">
        <f t="shared" si="305"/>
        <v>33.263454546831767</v>
      </c>
      <c r="J394" s="76">
        <f t="shared" si="305"/>
        <v>33.070300162543099</v>
      </c>
      <c r="K394" s="76">
        <f t="shared" si="305"/>
        <v>32.81108473552149</v>
      </c>
      <c r="L394" s="76">
        <f t="shared" si="305"/>
        <v>32.487719026152895</v>
      </c>
      <c r="M394" s="76">
        <f t="shared" si="305"/>
        <v>32.114012294672158</v>
      </c>
      <c r="N394" s="76">
        <f t="shared" si="305"/>
        <v>31.716061765279122</v>
      </c>
      <c r="O394" s="76">
        <f t="shared" si="305"/>
        <v>31.231981753251702</v>
      </c>
      <c r="P394" s="76">
        <f t="shared" si="305"/>
        <v>30.788301404982782</v>
      </c>
      <c r="Q394" s="76">
        <f t="shared" si="305"/>
        <v>30.406192977418659</v>
      </c>
      <c r="R394" s="76">
        <f t="shared" si="305"/>
        <v>30.093502093887068</v>
      </c>
      <c r="S394" s="76">
        <f t="shared" si="305"/>
        <v>29.846945685776085</v>
      </c>
      <c r="T394" s="76">
        <f t="shared" si="305"/>
        <v>29.656808243789804</v>
      </c>
      <c r="U394" s="76">
        <f t="shared" si="305"/>
        <v>29.511289031443386</v>
      </c>
      <c r="V394" s="76">
        <f t="shared" si="305"/>
        <v>29.399253124430814</v>
      </c>
      <c r="W394" s="76">
        <f t="shared" si="305"/>
        <v>29.311452120272889</v>
      </c>
      <c r="X394" s="76">
        <f t="shared" si="305"/>
        <v>29.240762766619905</v>
      </c>
      <c r="Y394" s="76">
        <f t="shared" si="305"/>
        <v>29.181953224838097</v>
      </c>
      <c r="Z394" s="76">
        <f t="shared" si="305"/>
        <v>29.131297377966177</v>
      </c>
      <c r="AA394" s="76">
        <f t="shared" si="305"/>
        <v>29.086194675862515</v>
      </c>
      <c r="AB394" s="76">
        <f t="shared" si="305"/>
        <v>29.044854317733336</v>
      </c>
      <c r="AC394" s="76">
        <f t="shared" si="305"/>
        <v>29.006054077996851</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6">A373</f>
        <v>Capex vehicle</v>
      </c>
      <c r="B397" s="65">
        <f>((1+B358)^B365)*B358/(((1+B358)^B365)-1)*(B354)/B370/(B367)</f>
        <v>2.1696909640280381E-3</v>
      </c>
      <c r="C397" s="65">
        <f t="shared" ref="C397:AC397" si="307">((1+C358)^C365)*C358/(((1+C358)^C365)-1)*(C354)/C370/(C367)</f>
        <v>2.1650687990337689E-3</v>
      </c>
      <c r="D397" s="65">
        <f t="shared" si="307"/>
        <v>2.1585059873375245E-3</v>
      </c>
      <c r="E397" s="65">
        <f t="shared" si="307"/>
        <v>2.1492300836508209E-3</v>
      </c>
      <c r="F397" s="65">
        <f t="shared" si="307"/>
        <v>2.1362068822258539E-3</v>
      </c>
      <c r="G397" s="65">
        <f t="shared" si="307"/>
        <v>2.1180999046766392E-3</v>
      </c>
      <c r="H397" s="65">
        <f t="shared" si="307"/>
        <v>2.093275915840043E-3</v>
      </c>
      <c r="I397" s="65">
        <f t="shared" si="307"/>
        <v>2.0599151348747601E-3</v>
      </c>
      <c r="J397" s="65">
        <f t="shared" si="307"/>
        <v>2.0163061493242286E-3</v>
      </c>
      <c r="K397" s="65">
        <f t="shared" si="307"/>
        <v>1.9613880028985821E-3</v>
      </c>
      <c r="L397" s="65">
        <f t="shared" si="307"/>
        <v>1.8954878036134461E-3</v>
      </c>
      <c r="M397" s="65">
        <f t="shared" si="307"/>
        <v>1.8209695944675583E-3</v>
      </c>
      <c r="N397" s="65">
        <f t="shared" si="307"/>
        <v>1.7423010268127629E-3</v>
      </c>
      <c r="O397" s="65">
        <f t="shared" si="307"/>
        <v>1.6651805094239855E-3</v>
      </c>
      <c r="P397" s="65">
        <f t="shared" si="307"/>
        <v>1.5949761150306102E-3</v>
      </c>
      <c r="Q397" s="65">
        <f t="shared" si="307"/>
        <v>1.5353123770942534E-3</v>
      </c>
      <c r="R397" s="65">
        <f t="shared" si="307"/>
        <v>1.4875324081773025E-3</v>
      </c>
      <c r="S397" s="65">
        <f t="shared" si="307"/>
        <v>1.4510741712673173E-3</v>
      </c>
      <c r="T397" s="65">
        <f t="shared" si="307"/>
        <v>1.4242744431836509E-3</v>
      </c>
      <c r="U397" s="65">
        <f t="shared" si="307"/>
        <v>1.4051130253065005E-3</v>
      </c>
      <c r="V397" s="65">
        <f t="shared" si="307"/>
        <v>1.3916837011261137E-3</v>
      </c>
      <c r="W397" s="65">
        <f t="shared" si="307"/>
        <v>1.3824032126866935E-3</v>
      </c>
      <c r="X397" s="65">
        <f t="shared" si="307"/>
        <v>1.3760521119831207E-3</v>
      </c>
      <c r="Y397" s="65">
        <f t="shared" si="307"/>
        <v>1.3717347470193894E-3</v>
      </c>
      <c r="Z397" s="65">
        <f t="shared" si="307"/>
        <v>1.3688132341895007E-3</v>
      </c>
      <c r="AA397" s="65">
        <f t="shared" si="307"/>
        <v>1.3668423785843384E-3</v>
      </c>
      <c r="AB397" s="65">
        <f t="shared" si="307"/>
        <v>1.3655156083813228E-3</v>
      </c>
      <c r="AC397" s="65">
        <f t="shared" si="307"/>
        <v>1.364623687619921E-3</v>
      </c>
    </row>
    <row r="398" spans="1:29" x14ac:dyDescent="0.25">
      <c r="A398" s="30" t="str">
        <f t="shared" si="306"/>
        <v>Residual value (vehicle)</v>
      </c>
      <c r="B398" s="68">
        <f>((1+B358)^B365)*B358/(((1+B358)^B365)-1)*(B355)/B370/(B367)</f>
        <v>-1.1028374067486764E-4</v>
      </c>
      <c r="C398" s="68">
        <f t="shared" ref="C398:AC398" si="308">((1+C358)^C365)*C358/(((1+C358)^C365)-1)*(C355)/C370/(C367)</f>
        <v>-1.1082299325753238E-4</v>
      </c>
      <c r="D398" s="68">
        <f t="shared" si="308"/>
        <v>-1.115886546220943E-4</v>
      </c>
      <c r="E398" s="68">
        <f t="shared" si="308"/>
        <v>-1.1267084338554303E-4</v>
      </c>
      <c r="F398" s="68">
        <f t="shared" si="308"/>
        <v>-1.1419021688512248E-4</v>
      </c>
      <c r="G398" s="68">
        <f t="shared" si="308"/>
        <v>-1.1630269759919755E-4</v>
      </c>
      <c r="H398" s="68">
        <f t="shared" si="308"/>
        <v>-1.1919882963013374E-4</v>
      </c>
      <c r="I398" s="68">
        <f t="shared" si="308"/>
        <v>-1.230909207427501E-4</v>
      </c>
      <c r="J398" s="68">
        <f t="shared" si="308"/>
        <v>-1.2817863572364536E-4</v>
      </c>
      <c r="K398" s="68">
        <f t="shared" si="308"/>
        <v>-1.345857528066375E-4</v>
      </c>
      <c r="L398" s="68">
        <f t="shared" si="308"/>
        <v>-1.4227410938990337E-4</v>
      </c>
      <c r="M398" s="68">
        <f t="shared" si="308"/>
        <v>-1.5096790045692366E-4</v>
      </c>
      <c r="N398" s="68">
        <f t="shared" si="308"/>
        <v>-1.6014590001664974E-4</v>
      </c>
      <c r="O398" s="68">
        <f t="shared" si="308"/>
        <v>-1.6914329371200715E-4</v>
      </c>
      <c r="P398" s="68">
        <f t="shared" si="308"/>
        <v>-1.7733380639123428E-4</v>
      </c>
      <c r="Q398" s="68">
        <f t="shared" si="308"/>
        <v>-1.842945758171425E-4</v>
      </c>
      <c r="R398" s="68">
        <f t="shared" si="308"/>
        <v>-1.8986890552412014E-4</v>
      </c>
      <c r="S398" s="68">
        <f t="shared" si="308"/>
        <v>-1.9412236649695181E-4</v>
      </c>
      <c r="T398" s="68">
        <f t="shared" si="308"/>
        <v>-1.9724900144004614E-4</v>
      </c>
      <c r="U398" s="68">
        <f t="shared" si="308"/>
        <v>-1.9948450019238032E-4</v>
      </c>
      <c r="V398" s="68">
        <f t="shared" si="308"/>
        <v>-2.0105125468009212E-4</v>
      </c>
      <c r="W398" s="68">
        <f t="shared" si="308"/>
        <v>-2.0213397833135783E-4</v>
      </c>
      <c r="X398" s="68">
        <f t="shared" si="308"/>
        <v>-2.0287494008010802E-4</v>
      </c>
      <c r="Y398" s="68">
        <f t="shared" si="308"/>
        <v>-2.0337863265920998E-4</v>
      </c>
      <c r="Z398" s="68">
        <f t="shared" si="308"/>
        <v>-2.0371947582269707E-4</v>
      </c>
      <c r="AA398" s="68">
        <f t="shared" si="308"/>
        <v>-2.0394940897663265E-4</v>
      </c>
      <c r="AB398" s="68">
        <f t="shared" si="308"/>
        <v>-2.0410419883365111E-4</v>
      </c>
      <c r="AC398" s="68">
        <f t="shared" si="308"/>
        <v>-2.0420825625581466E-4</v>
      </c>
    </row>
    <row r="399" spans="1:29" x14ac:dyDescent="0.25">
      <c r="A399" s="30" t="str">
        <f t="shared" si="306"/>
        <v>Capex costumization</v>
      </c>
      <c r="B399" s="66">
        <f>((1+B358)^B366)*B358/(((1+B358)^B366)-1)*(B356)/B370/(B367)</f>
        <v>7.6311881817276459E-4</v>
      </c>
      <c r="C399" s="66">
        <f t="shared" ref="C399:AC399" si="309">((1+C358)^C366)*C358/(((1+C358)^C366)-1)*(C356)/C370/(C367)</f>
        <v>7.6311881817276459E-4</v>
      </c>
      <c r="D399" s="66">
        <f t="shared" si="309"/>
        <v>7.6311881817276459E-4</v>
      </c>
      <c r="E399" s="66">
        <f t="shared" si="309"/>
        <v>7.6311881817276459E-4</v>
      </c>
      <c r="F399" s="66">
        <f t="shared" si="309"/>
        <v>7.6311881817276459E-4</v>
      </c>
      <c r="G399" s="66">
        <f t="shared" si="309"/>
        <v>7.6311881817276459E-4</v>
      </c>
      <c r="H399" s="66">
        <f t="shared" si="309"/>
        <v>7.6311881817276459E-4</v>
      </c>
      <c r="I399" s="66">
        <f t="shared" si="309"/>
        <v>7.6311881817276459E-4</v>
      </c>
      <c r="J399" s="66">
        <f t="shared" si="309"/>
        <v>7.6311881817276459E-4</v>
      </c>
      <c r="K399" s="66">
        <f t="shared" si="309"/>
        <v>7.6311881817276459E-4</v>
      </c>
      <c r="L399" s="66">
        <f t="shared" si="309"/>
        <v>7.6311881817276459E-4</v>
      </c>
      <c r="M399" s="66">
        <f t="shared" si="309"/>
        <v>7.6311881817276459E-4</v>
      </c>
      <c r="N399" s="66">
        <f t="shared" si="309"/>
        <v>7.6311881817276459E-4</v>
      </c>
      <c r="O399" s="66">
        <f t="shared" si="309"/>
        <v>7.6311881817276459E-4</v>
      </c>
      <c r="P399" s="66">
        <f t="shared" si="309"/>
        <v>7.6311881817276459E-4</v>
      </c>
      <c r="Q399" s="66">
        <f t="shared" si="309"/>
        <v>7.6311881817276459E-4</v>
      </c>
      <c r="R399" s="66">
        <f t="shared" si="309"/>
        <v>7.6311881817276459E-4</v>
      </c>
      <c r="S399" s="66">
        <f t="shared" si="309"/>
        <v>7.6311881817276459E-4</v>
      </c>
      <c r="T399" s="66">
        <f t="shared" si="309"/>
        <v>7.6311881817276459E-4</v>
      </c>
      <c r="U399" s="66">
        <f t="shared" si="309"/>
        <v>7.6311881817276459E-4</v>
      </c>
      <c r="V399" s="66">
        <f t="shared" si="309"/>
        <v>7.6311881817276459E-4</v>
      </c>
      <c r="W399" s="66">
        <f t="shared" si="309"/>
        <v>7.6311881817276459E-4</v>
      </c>
      <c r="X399" s="66">
        <f t="shared" si="309"/>
        <v>7.6311881817276459E-4</v>
      </c>
      <c r="Y399" s="66">
        <f t="shared" si="309"/>
        <v>7.6311881817276459E-4</v>
      </c>
      <c r="Z399" s="66">
        <f t="shared" si="309"/>
        <v>7.6311881817276459E-4</v>
      </c>
      <c r="AA399" s="66">
        <f t="shared" si="309"/>
        <v>7.6311881817276459E-4</v>
      </c>
      <c r="AB399" s="66">
        <f t="shared" si="309"/>
        <v>7.6311881817276459E-4</v>
      </c>
      <c r="AC399" s="66">
        <f t="shared" si="309"/>
        <v>7.6311881817276459E-4</v>
      </c>
    </row>
    <row r="400" spans="1:29" x14ac:dyDescent="0.25">
      <c r="A400" s="30" t="str">
        <f t="shared" si="306"/>
        <v>Residual value (costumization)</v>
      </c>
      <c r="B400" s="69">
        <f>((1+B358)^B366)*B358/(((1+B358)^B366)-1)*(B357)/B370/(B367)</f>
        <v>-3.8155940908638231E-5</v>
      </c>
      <c r="C400" s="69">
        <f t="shared" ref="C400:AC400" si="310">((1+C358)^C366)*C358/(((1+C358)^C366)-1)*(C357)/C370/(C367)</f>
        <v>-3.8155940908638231E-5</v>
      </c>
      <c r="D400" s="69">
        <f t="shared" si="310"/>
        <v>-3.8155940908638231E-5</v>
      </c>
      <c r="E400" s="69">
        <f t="shared" si="310"/>
        <v>-3.8155940908638231E-5</v>
      </c>
      <c r="F400" s="69">
        <f t="shared" si="310"/>
        <v>-3.8155940908638231E-5</v>
      </c>
      <c r="G400" s="69">
        <f t="shared" si="310"/>
        <v>-3.8155940908638231E-5</v>
      </c>
      <c r="H400" s="69">
        <f t="shared" si="310"/>
        <v>-3.8155940908638231E-5</v>
      </c>
      <c r="I400" s="69">
        <f t="shared" si="310"/>
        <v>-3.8155940908638231E-5</v>
      </c>
      <c r="J400" s="69">
        <f t="shared" si="310"/>
        <v>-3.8155940908638231E-5</v>
      </c>
      <c r="K400" s="69">
        <f t="shared" si="310"/>
        <v>-3.8155940908638231E-5</v>
      </c>
      <c r="L400" s="69">
        <f t="shared" si="310"/>
        <v>-3.8155940908638231E-5</v>
      </c>
      <c r="M400" s="69">
        <f t="shared" si="310"/>
        <v>-3.8155940908638231E-5</v>
      </c>
      <c r="N400" s="69">
        <f t="shared" si="310"/>
        <v>-3.8155940908638231E-5</v>
      </c>
      <c r="O400" s="69">
        <f t="shared" si="310"/>
        <v>-3.8155940908638231E-5</v>
      </c>
      <c r="P400" s="69">
        <f t="shared" si="310"/>
        <v>-3.8155940908638231E-5</v>
      </c>
      <c r="Q400" s="69">
        <f t="shared" si="310"/>
        <v>-3.8155940908638231E-5</v>
      </c>
      <c r="R400" s="69">
        <f t="shared" si="310"/>
        <v>-3.8155940908638231E-5</v>
      </c>
      <c r="S400" s="69">
        <f t="shared" si="310"/>
        <v>-3.8155940908638231E-5</v>
      </c>
      <c r="T400" s="69">
        <f t="shared" si="310"/>
        <v>-3.8155940908638231E-5</v>
      </c>
      <c r="U400" s="69">
        <f t="shared" si="310"/>
        <v>-3.8155940908638231E-5</v>
      </c>
      <c r="V400" s="69">
        <f t="shared" si="310"/>
        <v>-3.8155940908638231E-5</v>
      </c>
      <c r="W400" s="69">
        <f t="shared" si="310"/>
        <v>-3.8155940908638231E-5</v>
      </c>
      <c r="X400" s="69">
        <f t="shared" si="310"/>
        <v>-3.8155940908638231E-5</v>
      </c>
      <c r="Y400" s="69">
        <f t="shared" si="310"/>
        <v>-3.8155940908638231E-5</v>
      </c>
      <c r="Z400" s="69">
        <f t="shared" si="310"/>
        <v>-3.8155940908638231E-5</v>
      </c>
      <c r="AA400" s="69">
        <f t="shared" si="310"/>
        <v>-3.8155940908638231E-5</v>
      </c>
      <c r="AB400" s="69">
        <f t="shared" si="310"/>
        <v>-3.8155940908638231E-5</v>
      </c>
      <c r="AC400" s="69">
        <f t="shared" si="310"/>
        <v>-3.8155940908638231E-5</v>
      </c>
    </row>
    <row r="401" spans="1:29" x14ac:dyDescent="0.25">
      <c r="A401" s="30" t="str">
        <f t="shared" si="306"/>
        <v>Opex fix (admin, crew, insurance)</v>
      </c>
      <c r="B401" s="66">
        <f>B359/B370/(B367)</f>
        <v>3.6264505802320927E-3</v>
      </c>
      <c r="C401" s="66">
        <f t="shared" ref="C401:AC401" si="311">C359/C370/(C367)</f>
        <v>3.6264505802320927E-3</v>
      </c>
      <c r="D401" s="66">
        <f t="shared" si="311"/>
        <v>3.6264505802320927E-3</v>
      </c>
      <c r="E401" s="66">
        <f t="shared" si="311"/>
        <v>3.6264505802320927E-3</v>
      </c>
      <c r="F401" s="66">
        <f t="shared" si="311"/>
        <v>3.6264505802320927E-3</v>
      </c>
      <c r="G401" s="66">
        <f t="shared" si="311"/>
        <v>3.6264505802320927E-3</v>
      </c>
      <c r="H401" s="66">
        <f t="shared" si="311"/>
        <v>3.6264505802320927E-3</v>
      </c>
      <c r="I401" s="66">
        <f t="shared" si="311"/>
        <v>3.6264505802320927E-3</v>
      </c>
      <c r="J401" s="66">
        <f t="shared" si="311"/>
        <v>3.6264505802320927E-3</v>
      </c>
      <c r="K401" s="66">
        <f t="shared" si="311"/>
        <v>3.6264505802320927E-3</v>
      </c>
      <c r="L401" s="66">
        <f t="shared" si="311"/>
        <v>3.6264505802320927E-3</v>
      </c>
      <c r="M401" s="66">
        <f t="shared" si="311"/>
        <v>3.6264505802320927E-3</v>
      </c>
      <c r="N401" s="66">
        <f t="shared" si="311"/>
        <v>3.6264505802320927E-3</v>
      </c>
      <c r="O401" s="66">
        <f t="shared" si="311"/>
        <v>3.6264505802320927E-3</v>
      </c>
      <c r="P401" s="66">
        <f t="shared" si="311"/>
        <v>3.6264505802320927E-3</v>
      </c>
      <c r="Q401" s="66">
        <f t="shared" si="311"/>
        <v>3.6264505802320927E-3</v>
      </c>
      <c r="R401" s="66">
        <f t="shared" si="311"/>
        <v>3.6264505802320927E-3</v>
      </c>
      <c r="S401" s="66">
        <f t="shared" si="311"/>
        <v>3.6264505802320927E-3</v>
      </c>
      <c r="T401" s="66">
        <f t="shared" si="311"/>
        <v>3.6264505802320927E-3</v>
      </c>
      <c r="U401" s="66">
        <f t="shared" si="311"/>
        <v>3.6264505802320927E-3</v>
      </c>
      <c r="V401" s="66">
        <f t="shared" si="311"/>
        <v>3.6264505802320927E-3</v>
      </c>
      <c r="W401" s="66">
        <f t="shared" si="311"/>
        <v>3.6264505802320927E-3</v>
      </c>
      <c r="X401" s="66">
        <f t="shared" si="311"/>
        <v>3.6264505802320927E-3</v>
      </c>
      <c r="Y401" s="66">
        <f t="shared" si="311"/>
        <v>3.6264505802320927E-3</v>
      </c>
      <c r="Z401" s="66">
        <f t="shared" si="311"/>
        <v>3.6264505802320927E-3</v>
      </c>
      <c r="AA401" s="66">
        <f t="shared" si="311"/>
        <v>3.6264505802320927E-3</v>
      </c>
      <c r="AB401" s="66">
        <f t="shared" si="311"/>
        <v>3.6264505802320927E-3</v>
      </c>
      <c r="AC401" s="66">
        <f t="shared" si="311"/>
        <v>3.6264505802320927E-3</v>
      </c>
    </row>
    <row r="402" spans="1:29" x14ac:dyDescent="0.25">
      <c r="A402" s="30" t="str">
        <f t="shared" si="306"/>
        <v>Opex maintenance &amp; repair</v>
      </c>
      <c r="B402" s="66">
        <f>B360/B370/(B367)</f>
        <v>3.235203975384487E-3</v>
      </c>
      <c r="C402" s="66">
        <f t="shared" ref="C402:AC402" si="312">C360/C370/(C367)</f>
        <v>3.228311912499835E-3</v>
      </c>
      <c r="D402" s="66">
        <f t="shared" si="312"/>
        <v>3.2185261711931679E-3</v>
      </c>
      <c r="E402" s="66">
        <f t="shared" si="312"/>
        <v>3.2046949662058941E-3</v>
      </c>
      <c r="F402" s="66">
        <f t="shared" si="312"/>
        <v>3.1852762039393709E-3</v>
      </c>
      <c r="G402" s="66">
        <f t="shared" si="312"/>
        <v>3.1582770751599136E-3</v>
      </c>
      <c r="H402" s="66">
        <f t="shared" si="312"/>
        <v>3.1212622796426945E-3</v>
      </c>
      <c r="I402" s="66">
        <f t="shared" si="312"/>
        <v>3.0715183608126854E-3</v>
      </c>
      <c r="J402" s="66">
        <f t="shared" si="312"/>
        <v>3.0064934490834873E-3</v>
      </c>
      <c r="K402" s="66">
        <f t="shared" si="312"/>
        <v>2.9246055633971525E-3</v>
      </c>
      <c r="L402" s="66">
        <f t="shared" si="312"/>
        <v>2.826342451165679E-3</v>
      </c>
      <c r="M402" s="66">
        <f t="shared" si="312"/>
        <v>2.7152291126929309E-3</v>
      </c>
      <c r="N402" s="66">
        <f t="shared" si="312"/>
        <v>2.5979272171538078E-3</v>
      </c>
      <c r="O402" s="66">
        <f t="shared" si="312"/>
        <v>2.4829336035118526E-3</v>
      </c>
      <c r="P402" s="66">
        <f t="shared" si="312"/>
        <v>2.37825255003627E-3</v>
      </c>
      <c r="Q402" s="66">
        <f t="shared" si="312"/>
        <v>2.2892885614507032E-3</v>
      </c>
      <c r="R402" s="66">
        <f t="shared" si="312"/>
        <v>2.218044339141322E-3</v>
      </c>
      <c r="S402" s="66">
        <f t="shared" si="312"/>
        <v>2.1636818354750301E-3</v>
      </c>
      <c r="T402" s="66">
        <f t="shared" si="312"/>
        <v>2.12372103540121E-3</v>
      </c>
      <c r="U402" s="66">
        <f t="shared" si="312"/>
        <v>2.0951496414479101E-3</v>
      </c>
      <c r="V402" s="66">
        <f t="shared" si="312"/>
        <v>2.0751253137001203E-3</v>
      </c>
      <c r="W402" s="66">
        <f t="shared" si="312"/>
        <v>2.0612872724350261E-3</v>
      </c>
      <c r="X402" s="66">
        <f t="shared" si="312"/>
        <v>2.0518172112212762E-3</v>
      </c>
      <c r="Y402" s="66">
        <f t="shared" si="312"/>
        <v>2.0453796325405234E-3</v>
      </c>
      <c r="Z402" s="66">
        <f t="shared" si="312"/>
        <v>2.0410233946808022E-3</v>
      </c>
      <c r="AA402" s="66">
        <f t="shared" si="312"/>
        <v>2.0380846720726327E-3</v>
      </c>
      <c r="AB402" s="66">
        <f t="shared" si="312"/>
        <v>2.0361063386111484E-3</v>
      </c>
      <c r="AC402" s="66">
        <f t="shared" si="312"/>
        <v>2.0347764046985059E-3</v>
      </c>
    </row>
    <row r="403" spans="1:29" x14ac:dyDescent="0.25">
      <c r="A403" s="30" t="str">
        <f t="shared" si="306"/>
        <v>Opex var (mode-fees, shunting)</v>
      </c>
      <c r="B403" s="66">
        <f>B361*B370/B370/(B367)</f>
        <v>4.0016006402561026E-3</v>
      </c>
      <c r="C403" s="66">
        <f t="shared" ref="C403:AC403" si="313">C361*C370/C370/(C367)</f>
        <v>4.0016006402561026E-3</v>
      </c>
      <c r="D403" s="66">
        <f t="shared" si="313"/>
        <v>4.0016006402561026E-3</v>
      </c>
      <c r="E403" s="66">
        <f t="shared" si="313"/>
        <v>4.0016006402561026E-3</v>
      </c>
      <c r="F403" s="66">
        <f t="shared" si="313"/>
        <v>4.0016006402561026E-3</v>
      </c>
      <c r="G403" s="66">
        <f t="shared" si="313"/>
        <v>4.0016006402561026E-3</v>
      </c>
      <c r="H403" s="66">
        <f t="shared" si="313"/>
        <v>4.0016006402561026E-3</v>
      </c>
      <c r="I403" s="66">
        <f t="shared" si="313"/>
        <v>4.0016006402561026E-3</v>
      </c>
      <c r="J403" s="66">
        <f t="shared" si="313"/>
        <v>4.0016006402561026E-3</v>
      </c>
      <c r="K403" s="66">
        <f t="shared" si="313"/>
        <v>4.0016006402561026E-3</v>
      </c>
      <c r="L403" s="66">
        <f t="shared" si="313"/>
        <v>4.0016006402561026E-3</v>
      </c>
      <c r="M403" s="66">
        <f t="shared" si="313"/>
        <v>4.0016006402561026E-3</v>
      </c>
      <c r="N403" s="66">
        <f t="shared" si="313"/>
        <v>4.0016006402561026E-3</v>
      </c>
      <c r="O403" s="66">
        <f t="shared" si="313"/>
        <v>4.0016006402561026E-3</v>
      </c>
      <c r="P403" s="66">
        <f t="shared" si="313"/>
        <v>4.0016006402561026E-3</v>
      </c>
      <c r="Q403" s="66">
        <f t="shared" si="313"/>
        <v>4.0016006402561026E-3</v>
      </c>
      <c r="R403" s="66">
        <f t="shared" si="313"/>
        <v>4.0016006402561026E-3</v>
      </c>
      <c r="S403" s="66">
        <f t="shared" si="313"/>
        <v>4.0016006402561026E-3</v>
      </c>
      <c r="T403" s="66">
        <f t="shared" si="313"/>
        <v>4.0016006402561026E-3</v>
      </c>
      <c r="U403" s="66">
        <f t="shared" si="313"/>
        <v>4.0016006402561026E-3</v>
      </c>
      <c r="V403" s="66">
        <f t="shared" si="313"/>
        <v>4.0016006402561026E-3</v>
      </c>
      <c r="W403" s="66">
        <f t="shared" si="313"/>
        <v>4.0016006402561026E-3</v>
      </c>
      <c r="X403" s="66">
        <f t="shared" si="313"/>
        <v>4.0016006402561026E-3</v>
      </c>
      <c r="Y403" s="66">
        <f t="shared" si="313"/>
        <v>4.0016006402561026E-3</v>
      </c>
      <c r="Z403" s="66">
        <f t="shared" si="313"/>
        <v>4.0016006402561026E-3</v>
      </c>
      <c r="AA403" s="66">
        <f t="shared" si="313"/>
        <v>4.0016006402561026E-3</v>
      </c>
      <c r="AB403" s="66">
        <f t="shared" si="313"/>
        <v>4.0016006402561026E-3</v>
      </c>
      <c r="AC403" s="66">
        <f t="shared" si="313"/>
        <v>4.0016006402561026E-3</v>
      </c>
    </row>
    <row r="404" spans="1:29" x14ac:dyDescent="0.25">
      <c r="A404" s="30" t="str">
        <f t="shared" si="306"/>
        <v>Fuel Cost</v>
      </c>
      <c r="B404" s="66">
        <f>B362*B363*B370/B370/(B367)</f>
        <v>1.4120879396070311E-3</v>
      </c>
      <c r="C404" s="66">
        <f t="shared" ref="C404:AC404" si="314">C362*C363*C370/C370/(C367)</f>
        <v>1.4120879396070311E-3</v>
      </c>
      <c r="D404" s="66">
        <f t="shared" si="314"/>
        <v>1.4120879396070311E-3</v>
      </c>
      <c r="E404" s="66">
        <f t="shared" si="314"/>
        <v>1.4120879396070311E-3</v>
      </c>
      <c r="F404" s="66">
        <f t="shared" si="314"/>
        <v>1.4120879396070311E-3</v>
      </c>
      <c r="G404" s="66">
        <f t="shared" si="314"/>
        <v>1.4120879396070311E-3</v>
      </c>
      <c r="H404" s="66">
        <f t="shared" si="314"/>
        <v>1.4120879396070311E-3</v>
      </c>
      <c r="I404" s="66">
        <f t="shared" si="314"/>
        <v>1.4120879396070311E-3</v>
      </c>
      <c r="J404" s="66">
        <f t="shared" si="314"/>
        <v>1.4395799160244996E-3</v>
      </c>
      <c r="K404" s="66">
        <f t="shared" si="314"/>
        <v>1.4670718924419688E-3</v>
      </c>
      <c r="L404" s="66">
        <f t="shared" si="314"/>
        <v>1.4945638688594373E-3</v>
      </c>
      <c r="M404" s="66">
        <f t="shared" si="314"/>
        <v>1.522055845276906E-3</v>
      </c>
      <c r="N404" s="66">
        <f t="shared" si="314"/>
        <v>1.5495478216943747E-3</v>
      </c>
      <c r="O404" s="66">
        <f t="shared" si="314"/>
        <v>1.5345521981939372E-3</v>
      </c>
      <c r="P404" s="66">
        <f t="shared" si="314"/>
        <v>1.5195565746934996E-3</v>
      </c>
      <c r="Q404" s="66">
        <f t="shared" si="314"/>
        <v>1.5045609511930621E-3</v>
      </c>
      <c r="R404" s="66">
        <f t="shared" si="314"/>
        <v>1.4895653276926248E-3</v>
      </c>
      <c r="S404" s="66">
        <f t="shared" si="314"/>
        <v>1.4745697041921872E-3</v>
      </c>
      <c r="T404" s="66">
        <f t="shared" si="314"/>
        <v>1.4595740806917497E-3</v>
      </c>
      <c r="U404" s="66">
        <f t="shared" si="314"/>
        <v>1.4445784571913123E-3</v>
      </c>
      <c r="V404" s="66">
        <f t="shared" si="314"/>
        <v>1.4295828336908744E-3</v>
      </c>
      <c r="W404" s="66">
        <f t="shared" si="314"/>
        <v>1.4145872101904372E-3</v>
      </c>
      <c r="X404" s="66">
        <f t="shared" si="314"/>
        <v>1.3995915866899999E-3</v>
      </c>
      <c r="Y404" s="66">
        <f t="shared" si="314"/>
        <v>1.3845959631895624E-3</v>
      </c>
      <c r="Z404" s="66">
        <f t="shared" si="314"/>
        <v>1.3696003396891248E-3</v>
      </c>
      <c r="AA404" s="66">
        <f t="shared" si="314"/>
        <v>1.3546047161886871E-3</v>
      </c>
      <c r="AB404" s="66">
        <f t="shared" si="314"/>
        <v>1.3396090926882495E-3</v>
      </c>
      <c r="AC404" s="66">
        <f t="shared" si="314"/>
        <v>1.3246134691878124E-3</v>
      </c>
    </row>
    <row r="405" spans="1:29" x14ac:dyDescent="0.25">
      <c r="A405" s="59" t="str">
        <f>A368</f>
        <v>Market failure (av. utilization)</v>
      </c>
      <c r="B405" s="66">
        <f t="shared" ref="B405:AC405" si="315">B394/B368-B394/B367</f>
        <v>5.8862319902999987E-3</v>
      </c>
      <c r="C405" s="66">
        <f t="shared" si="315"/>
        <v>5.8815445256760485E-3</v>
      </c>
      <c r="D405" s="66">
        <f t="shared" si="315"/>
        <v>5.8748889978664752E-3</v>
      </c>
      <c r="E405" s="66">
        <f t="shared" si="315"/>
        <v>5.8654820488630334E-3</v>
      </c>
      <c r="F405" s="66">
        <f t="shared" si="315"/>
        <v>5.8522748621776133E-3</v>
      </c>
      <c r="G405" s="66">
        <f t="shared" si="315"/>
        <v>5.8339120783276587E-3</v>
      </c>
      <c r="H405" s="66">
        <f t="shared" si="315"/>
        <v>5.8087373886224758E-3</v>
      </c>
      <c r="I405" s="66">
        <f t="shared" si="315"/>
        <v>5.7749053032694012E-3</v>
      </c>
      <c r="J405" s="66">
        <f t="shared" si="315"/>
        <v>5.7413715559970629E-3</v>
      </c>
      <c r="K405" s="66">
        <f t="shared" si="315"/>
        <v>5.6963688776947002E-3</v>
      </c>
      <c r="L405" s="66">
        <f t="shared" si="315"/>
        <v>5.6402289975959856E-3</v>
      </c>
      <c r="M405" s="66">
        <f t="shared" si="315"/>
        <v>5.5753493567139139E-3</v>
      </c>
      <c r="N405" s="66">
        <f t="shared" si="315"/>
        <v>5.5062607231387353E-3</v>
      </c>
      <c r="O405" s="66">
        <f t="shared" si="315"/>
        <v>5.4222190543839737E-3</v>
      </c>
      <c r="P405" s="66">
        <f t="shared" si="315"/>
        <v>5.3451912161428423E-3</v>
      </c>
      <c r="Q405" s="66">
        <f t="shared" si="315"/>
        <v>5.2788529474685139E-3</v>
      </c>
      <c r="R405" s="66">
        <f t="shared" si="315"/>
        <v>5.2245663357442795E-3</v>
      </c>
      <c r="S405" s="66">
        <f t="shared" si="315"/>
        <v>5.181761403780568E-3</v>
      </c>
      <c r="T405" s="66">
        <f t="shared" si="315"/>
        <v>5.1487514312135059E-3</v>
      </c>
      <c r="U405" s="66">
        <f t="shared" si="315"/>
        <v>5.1234876790700289E-3</v>
      </c>
      <c r="V405" s="66">
        <f t="shared" si="315"/>
        <v>5.1040370007692376E-3</v>
      </c>
      <c r="W405" s="66">
        <f t="shared" si="315"/>
        <v>5.0887937708807059E-3</v>
      </c>
      <c r="X405" s="66">
        <f t="shared" si="315"/>
        <v>5.0765213136492859E-3</v>
      </c>
      <c r="Y405" s="66">
        <f t="shared" si="315"/>
        <v>5.066311323756614E-3</v>
      </c>
      <c r="Z405" s="66">
        <f t="shared" si="315"/>
        <v>5.0575169058969058E-3</v>
      </c>
      <c r="AA405" s="66">
        <f t="shared" si="315"/>
        <v>5.0496865756705749E-3</v>
      </c>
      <c r="AB405" s="66">
        <f t="shared" si="315"/>
        <v>5.042509430162035E-3</v>
      </c>
      <c r="AC405" s="66">
        <f t="shared" si="315"/>
        <v>5.0357732774300081E-3</v>
      </c>
    </row>
    <row r="406" spans="1:29" x14ac:dyDescent="0.25">
      <c r="A406" s="59" t="str">
        <f>A369</f>
        <v>Payload loss (fuel)</v>
      </c>
      <c r="B406" s="66">
        <f>B394/(B367-B369)-B394/B367</f>
        <v>5.5675688806499334E-4</v>
      </c>
      <c r="C406" s="66">
        <f t="shared" ref="C406:AC406" si="316">C394/(C367-C369)-C394/C367</f>
        <v>5.546726660601211E-4</v>
      </c>
      <c r="D406" s="66">
        <f t="shared" si="316"/>
        <v>5.5171845193266109E-4</v>
      </c>
      <c r="E406" s="66">
        <f t="shared" si="316"/>
        <v>5.4755312163963163E-4</v>
      </c>
      <c r="F406" s="66">
        <f t="shared" si="316"/>
        <v>5.4172515747529654E-4</v>
      </c>
      <c r="G406" s="66">
        <f t="shared" si="316"/>
        <v>5.3366111962028367E-4</v>
      </c>
      <c r="H406" s="66">
        <f t="shared" si="316"/>
        <v>5.22679169802873E-4</v>
      </c>
      <c r="I406" s="66">
        <f t="shared" si="316"/>
        <v>5.0805432836202764E-4</v>
      </c>
      <c r="J406" s="66">
        <f t="shared" si="316"/>
        <v>4.9008014493981053E-4</v>
      </c>
      <c r="K406" s="66">
        <f t="shared" si="316"/>
        <v>4.6750852307120977E-4</v>
      </c>
      <c r="L406" s="66">
        <f t="shared" si="316"/>
        <v>4.4070733256290108E-4</v>
      </c>
      <c r="M406" s="66">
        <f t="shared" si="316"/>
        <v>4.1090873380485518E-4</v>
      </c>
      <c r="N406" s="66">
        <f t="shared" si="316"/>
        <v>3.8012246258598698E-4</v>
      </c>
      <c r="O406" s="66">
        <f t="shared" si="316"/>
        <v>3.4960288673288077E-4</v>
      </c>
      <c r="P406" s="66">
        <f t="shared" si="316"/>
        <v>3.2252801620239087E-4</v>
      </c>
      <c r="Q406" s="66">
        <f t="shared" si="316"/>
        <v>3.0002313983643232E-4</v>
      </c>
      <c r="R406" s="66">
        <f t="shared" si="316"/>
        <v>2.8230845344344793E-4</v>
      </c>
      <c r="S406" s="66">
        <f t="shared" si="316"/>
        <v>2.6894491862748324E-4</v>
      </c>
      <c r="T406" s="66">
        <f t="shared" si="316"/>
        <v>2.5917168224141515E-4</v>
      </c>
      <c r="U406" s="66">
        <f t="shared" si="316"/>
        <v>2.5217138381015275E-4</v>
      </c>
      <c r="V406" s="66">
        <f t="shared" si="316"/>
        <v>2.4721728524418514E-4</v>
      </c>
      <c r="W406" s="66">
        <f t="shared" si="316"/>
        <v>2.4372660172903605E-4</v>
      </c>
      <c r="X406" s="66">
        <f t="shared" si="316"/>
        <v>2.4126042855276281E-4</v>
      </c>
      <c r="Y406" s="66">
        <f t="shared" si="316"/>
        <v>2.395011780075406E-4</v>
      </c>
      <c r="Z406" s="66">
        <f t="shared" si="316"/>
        <v>2.3822495467116372E-4</v>
      </c>
      <c r="AA406" s="66">
        <f t="shared" si="316"/>
        <v>2.3727660100937402E-4</v>
      </c>
      <c r="AB406" s="66">
        <f t="shared" si="316"/>
        <v>2.3654981131050745E-4</v>
      </c>
      <c r="AC406" s="66">
        <f t="shared" si="316"/>
        <v>2.359723005246131E-4</v>
      </c>
    </row>
    <row r="407" spans="1:29" ht="15.75" thickBot="1" x14ac:dyDescent="0.3">
      <c r="A407" s="59" t="str">
        <f>A344</f>
        <v>Emission Cost</v>
      </c>
      <c r="B407" s="68">
        <f>B364*B370/B370/(B367)</f>
        <v>0</v>
      </c>
      <c r="C407" s="68">
        <f t="shared" ref="C407:AC407" si="317">C364*C370/C370/(C367)</f>
        <v>0</v>
      </c>
      <c r="D407" s="68">
        <f t="shared" si="317"/>
        <v>0</v>
      </c>
      <c r="E407" s="68">
        <f t="shared" si="317"/>
        <v>0</v>
      </c>
      <c r="F407" s="68">
        <f t="shared" si="317"/>
        <v>0</v>
      </c>
      <c r="G407" s="68">
        <f t="shared" si="317"/>
        <v>0</v>
      </c>
      <c r="H407" s="68">
        <f t="shared" si="317"/>
        <v>0</v>
      </c>
      <c r="I407" s="68">
        <f t="shared" si="317"/>
        <v>0</v>
      </c>
      <c r="J407" s="68">
        <f t="shared" si="317"/>
        <v>0</v>
      </c>
      <c r="K407" s="68">
        <f t="shared" si="317"/>
        <v>0</v>
      </c>
      <c r="L407" s="68">
        <f t="shared" si="317"/>
        <v>0</v>
      </c>
      <c r="M407" s="68">
        <f t="shared" si="317"/>
        <v>0</v>
      </c>
      <c r="N407" s="68">
        <f t="shared" si="317"/>
        <v>0</v>
      </c>
      <c r="O407" s="68">
        <f t="shared" si="317"/>
        <v>0</v>
      </c>
      <c r="P407" s="68">
        <f t="shared" si="317"/>
        <v>0</v>
      </c>
      <c r="Q407" s="68">
        <f t="shared" si="317"/>
        <v>0</v>
      </c>
      <c r="R407" s="68">
        <f t="shared" si="317"/>
        <v>0</v>
      </c>
      <c r="S407" s="68">
        <f t="shared" si="317"/>
        <v>0</v>
      </c>
      <c r="T407" s="68">
        <f t="shared" si="317"/>
        <v>0</v>
      </c>
      <c r="U407" s="68">
        <f t="shared" si="317"/>
        <v>0</v>
      </c>
      <c r="V407" s="68">
        <f t="shared" si="317"/>
        <v>0</v>
      </c>
      <c r="W407" s="68">
        <f t="shared" si="317"/>
        <v>0</v>
      </c>
      <c r="X407" s="68">
        <f t="shared" si="317"/>
        <v>0</v>
      </c>
      <c r="Y407" s="68">
        <f t="shared" si="317"/>
        <v>0</v>
      </c>
      <c r="Z407" s="68">
        <f t="shared" si="317"/>
        <v>0</v>
      </c>
      <c r="AA407" s="68">
        <f t="shared" si="317"/>
        <v>0</v>
      </c>
      <c r="AB407" s="68">
        <f t="shared" si="317"/>
        <v>0</v>
      </c>
      <c r="AC407" s="68">
        <f t="shared" si="317"/>
        <v>0</v>
      </c>
    </row>
    <row r="408" spans="1:29" ht="15.75" thickBot="1" x14ac:dyDescent="0.3">
      <c r="A408" s="31" t="s">
        <v>210</v>
      </c>
      <c r="B408" s="67">
        <f>B397+B398+B399+B400+B401+B402+B403+B404+B405+B406+B407</f>
        <v>2.1502702114462001E-2</v>
      </c>
      <c r="C408" s="67">
        <f t="shared" ref="C408:AC408" si="318">C397+C398+C399+C400+C401+C402+C403+C404+C405+C406+C407</f>
        <v>2.1483876947371597E-2</v>
      </c>
      <c r="D408" s="67">
        <f t="shared" si="318"/>
        <v>2.1457152991067086E-2</v>
      </c>
      <c r="E408" s="67">
        <f t="shared" si="318"/>
        <v>2.1419391414333189E-2</v>
      </c>
      <c r="F408" s="67">
        <f t="shared" si="318"/>
        <v>2.1366394926292366E-2</v>
      </c>
      <c r="G408" s="67">
        <f t="shared" si="318"/>
        <v>2.1292749517544649E-2</v>
      </c>
      <c r="H408" s="67">
        <f t="shared" si="318"/>
        <v>2.1191857961637306E-2</v>
      </c>
      <c r="I408" s="67">
        <f t="shared" si="318"/>
        <v>2.1056404243935477E-2</v>
      </c>
      <c r="J408" s="67">
        <f t="shared" si="318"/>
        <v>2.0918666677397765E-2</v>
      </c>
      <c r="K408" s="67">
        <f t="shared" si="318"/>
        <v>2.07353712044493E-2</v>
      </c>
      <c r="L408" s="67">
        <f t="shared" si="318"/>
        <v>2.0508070442159868E-2</v>
      </c>
      <c r="M408" s="67">
        <f t="shared" si="318"/>
        <v>2.0246558840251564E-2</v>
      </c>
      <c r="N408" s="67">
        <f t="shared" si="318"/>
        <v>1.9969027449121338E-2</v>
      </c>
      <c r="O408" s="67">
        <f t="shared" si="318"/>
        <v>1.9638359056286941E-2</v>
      </c>
      <c r="P408" s="67">
        <f t="shared" si="318"/>
        <v>1.9336184763466699E-2</v>
      </c>
      <c r="Q408" s="67">
        <f t="shared" si="318"/>
        <v>1.9076757498978143E-2</v>
      </c>
      <c r="R408" s="67">
        <f t="shared" si="318"/>
        <v>1.8865162056427177E-2</v>
      </c>
      <c r="S408" s="67">
        <f t="shared" si="318"/>
        <v>1.8698923764597957E-2</v>
      </c>
      <c r="T408" s="67">
        <f t="shared" si="318"/>
        <v>1.8571257769043809E-2</v>
      </c>
      <c r="U408" s="67">
        <f t="shared" si="318"/>
        <v>1.8474029784385844E-2</v>
      </c>
      <c r="V408" s="67">
        <f t="shared" si="318"/>
        <v>1.839960897760276E-2</v>
      </c>
      <c r="W408" s="67">
        <f t="shared" si="318"/>
        <v>1.8341678187342864E-2</v>
      </c>
      <c r="X408" s="67">
        <f t="shared" si="318"/>
        <v>1.8295381809768661E-2</v>
      </c>
      <c r="Y408" s="67">
        <f t="shared" si="318"/>
        <v>1.8257158309606739E-2</v>
      </c>
      <c r="Z408" s="67">
        <f t="shared" si="318"/>
        <v>1.822447345105712E-2</v>
      </c>
      <c r="AA408" s="67">
        <f t="shared" si="318"/>
        <v>1.8195559632301295E-2</v>
      </c>
      <c r="AB408" s="67">
        <f t="shared" si="318"/>
        <v>1.8169200180071933E-2</v>
      </c>
      <c r="AC408" s="67">
        <f t="shared" si="318"/>
        <v>1.8144564980957366E-2</v>
      </c>
    </row>
    <row r="410" spans="1:29" x14ac:dyDescent="0.25">
      <c r="B410" s="40"/>
    </row>
    <row r="429" spans="1:1" s="3" customFormat="1" ht="21" x14ac:dyDescent="0.35">
      <c r="A429" s="2" t="str">
        <f>'Parameter Input'!A193</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Input'!$L$171</f>
        <v>10000000</v>
      </c>
      <c r="C439" s="42">
        <f>'Parameter Input'!$M$171</f>
        <v>6250000</v>
      </c>
      <c r="D439" s="1" t="s">
        <v>15</v>
      </c>
      <c r="L439" s="51">
        <f>'Parameter Input'!$O$171</f>
        <v>12</v>
      </c>
      <c r="M439" s="52">
        <v>0</v>
      </c>
      <c r="N439" s="52">
        <v>1</v>
      </c>
      <c r="O439" s="52">
        <f>'Parameter Input'!$P$171</f>
        <v>0.9</v>
      </c>
      <c r="P439" s="53">
        <f>'Parameter Input'!$Q$171</f>
        <v>0.4</v>
      </c>
      <c r="Q439" s="4">
        <f t="shared" ref="Q439:AR448" si="319">$N439+($M439-$N439)*((1/(1+EXP(-$P439*(Q$9-$L439)))^$O439))</f>
        <v>0.9867978615748374</v>
      </c>
      <c r="R439" s="4">
        <f t="shared" si="319"/>
        <v>0.98114509762858249</v>
      </c>
      <c r="S439" s="4">
        <f t="shared" si="319"/>
        <v>0.97311898315872036</v>
      </c>
      <c r="T439" s="4">
        <f t="shared" si="319"/>
        <v>0.96177484161592774</v>
      </c>
      <c r="U439" s="4">
        <f t="shared" si="319"/>
        <v>0.94584787155511363</v>
      </c>
      <c r="V439" s="4">
        <f t="shared" si="319"/>
        <v>0.92370360150141495</v>
      </c>
      <c r="W439" s="4">
        <f t="shared" si="319"/>
        <v>0.89334463567658451</v>
      </c>
      <c r="X439" s="4">
        <f t="shared" si="319"/>
        <v>0.85254543874327005</v>
      </c>
      <c r="Y439" s="4">
        <f t="shared" si="319"/>
        <v>0.79921300652623883</v>
      </c>
      <c r="Z439" s="4">
        <f t="shared" si="319"/>
        <v>0.73204982249993378</v>
      </c>
      <c r="AA439" s="4">
        <f t="shared" si="319"/>
        <v>0.65145592958786691</v>
      </c>
      <c r="AB439" s="4">
        <f t="shared" si="319"/>
        <v>0.56032247880849573</v>
      </c>
      <c r="AC439" s="4">
        <f t="shared" si="319"/>
        <v>0.46411326873185343</v>
      </c>
      <c r="AD439" s="4">
        <f t="shared" si="319"/>
        <v>0.36979727595523937</v>
      </c>
      <c r="AE439" s="4">
        <f t="shared" si="319"/>
        <v>0.28393948637231203</v>
      </c>
      <c r="AF439" s="4">
        <f t="shared" si="319"/>
        <v>0.21097259161117732</v>
      </c>
      <c r="AG439" s="4">
        <f t="shared" si="319"/>
        <v>0.15253917653798199</v>
      </c>
      <c r="AH439" s="4">
        <f t="shared" si="319"/>
        <v>0.10795188737709993</v>
      </c>
      <c r="AI439" s="4">
        <f t="shared" si="319"/>
        <v>7.5176653938091809E-2</v>
      </c>
      <c r="AJ439" s="4">
        <f t="shared" si="319"/>
        <v>5.1742836177502194E-2</v>
      </c>
      <c r="AK439" s="4">
        <f t="shared" si="319"/>
        <v>3.5319190625345942E-2</v>
      </c>
      <c r="AL439" s="4">
        <f t="shared" si="319"/>
        <v>2.3969442072658165E-2</v>
      </c>
      <c r="AM439" s="4">
        <f t="shared" si="319"/>
        <v>1.6202243558389728E-2</v>
      </c>
      <c r="AN439" s="4">
        <f t="shared" si="319"/>
        <v>1.0922240564108399E-2</v>
      </c>
      <c r="AO439" s="4">
        <f t="shared" si="319"/>
        <v>7.3493212906090566E-3</v>
      </c>
      <c r="AP439" s="4">
        <f t="shared" si="319"/>
        <v>4.9390262185057265E-3</v>
      </c>
      <c r="AQ439" s="4">
        <f t="shared" si="319"/>
        <v>3.3164275492956197E-3</v>
      </c>
      <c r="AR439" s="4">
        <f t="shared" si="319"/>
        <v>2.2256362146679809E-3</v>
      </c>
    </row>
    <row r="440" spans="1:44" x14ac:dyDescent="0.25">
      <c r="A440" s="24" t="s">
        <v>28</v>
      </c>
      <c r="B440" s="60">
        <f>'Parameter Input'!$L$172</f>
        <v>-500000</v>
      </c>
      <c r="C440" s="61">
        <f>'Parameter Input'!$M$172</f>
        <v>-937500</v>
      </c>
      <c r="D440" s="1" t="s">
        <v>15</v>
      </c>
      <c r="L440" s="54">
        <f>'Parameter Input'!$O$172</f>
        <v>12</v>
      </c>
      <c r="M440" s="37">
        <v>0</v>
      </c>
      <c r="N440" s="37">
        <v>1</v>
      </c>
      <c r="O440" s="37">
        <f>'Parameter Input'!$P$172</f>
        <v>0.9</v>
      </c>
      <c r="P440" s="55">
        <f>'Parameter Input'!$Q$172</f>
        <v>0.4</v>
      </c>
      <c r="Q440" s="4">
        <f t="shared" si="319"/>
        <v>0.9867978615748374</v>
      </c>
      <c r="R440" s="4">
        <f t="shared" si="319"/>
        <v>0.98114509762858249</v>
      </c>
      <c r="S440" s="4">
        <f t="shared" si="319"/>
        <v>0.97311898315872036</v>
      </c>
      <c r="T440" s="4">
        <f t="shared" si="319"/>
        <v>0.96177484161592774</v>
      </c>
      <c r="U440" s="4">
        <f t="shared" si="319"/>
        <v>0.94584787155511363</v>
      </c>
      <c r="V440" s="4">
        <f t="shared" si="319"/>
        <v>0.92370360150141495</v>
      </c>
      <c r="W440" s="4">
        <f t="shared" si="319"/>
        <v>0.89334463567658451</v>
      </c>
      <c r="X440" s="4">
        <f t="shared" si="319"/>
        <v>0.85254543874327005</v>
      </c>
      <c r="Y440" s="4">
        <f t="shared" si="319"/>
        <v>0.79921300652623883</v>
      </c>
      <c r="Z440" s="4">
        <f t="shared" si="319"/>
        <v>0.73204982249993378</v>
      </c>
      <c r="AA440" s="4">
        <f t="shared" si="319"/>
        <v>0.65145592958786691</v>
      </c>
      <c r="AB440" s="4">
        <f t="shared" si="319"/>
        <v>0.56032247880849573</v>
      </c>
      <c r="AC440" s="4">
        <f t="shared" si="319"/>
        <v>0.46411326873185343</v>
      </c>
      <c r="AD440" s="4">
        <f t="shared" si="319"/>
        <v>0.36979727595523937</v>
      </c>
      <c r="AE440" s="4">
        <f t="shared" si="319"/>
        <v>0.28393948637231203</v>
      </c>
      <c r="AF440" s="4">
        <f t="shared" si="319"/>
        <v>0.21097259161117732</v>
      </c>
      <c r="AG440" s="4">
        <f t="shared" si="319"/>
        <v>0.15253917653798199</v>
      </c>
      <c r="AH440" s="4">
        <f t="shared" si="319"/>
        <v>0.10795188737709993</v>
      </c>
      <c r="AI440" s="4">
        <f t="shared" si="319"/>
        <v>7.5176653938091809E-2</v>
      </c>
      <c r="AJ440" s="4">
        <f t="shared" si="319"/>
        <v>5.1742836177502194E-2</v>
      </c>
      <c r="AK440" s="4">
        <f t="shared" si="319"/>
        <v>3.5319190625345942E-2</v>
      </c>
      <c r="AL440" s="4">
        <f t="shared" si="319"/>
        <v>2.3969442072658165E-2</v>
      </c>
      <c r="AM440" s="4">
        <f t="shared" si="319"/>
        <v>1.6202243558389728E-2</v>
      </c>
      <c r="AN440" s="4">
        <f t="shared" si="319"/>
        <v>1.0922240564108399E-2</v>
      </c>
      <c r="AO440" s="4">
        <f t="shared" si="319"/>
        <v>7.3493212906090566E-3</v>
      </c>
      <c r="AP440" s="4">
        <f t="shared" si="319"/>
        <v>4.9390262185057265E-3</v>
      </c>
      <c r="AQ440" s="4">
        <f t="shared" si="319"/>
        <v>3.3164275492956197E-3</v>
      </c>
      <c r="AR440" s="4">
        <f t="shared" si="319"/>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9"/>
        <v>0.9867978615748374</v>
      </c>
      <c r="R441" s="4">
        <f t="shared" si="319"/>
        <v>0.98114509762858249</v>
      </c>
      <c r="S441" s="4">
        <f t="shared" si="319"/>
        <v>0.97311898315872036</v>
      </c>
      <c r="T441" s="4">
        <f t="shared" si="319"/>
        <v>0.96177484161592774</v>
      </c>
      <c r="U441" s="4">
        <f t="shared" si="319"/>
        <v>0.94584787155511363</v>
      </c>
      <c r="V441" s="4">
        <f t="shared" si="319"/>
        <v>0.92370360150141495</v>
      </c>
      <c r="W441" s="4">
        <f t="shared" si="319"/>
        <v>0.89334463567658451</v>
      </c>
      <c r="X441" s="4">
        <f t="shared" si="319"/>
        <v>0.85254543874327005</v>
      </c>
      <c r="Y441" s="4">
        <f t="shared" si="319"/>
        <v>0.79921300652623883</v>
      </c>
      <c r="Z441" s="4">
        <f t="shared" si="319"/>
        <v>0.73204982249993378</v>
      </c>
      <c r="AA441" s="4">
        <f t="shared" si="319"/>
        <v>0.65145592958786691</v>
      </c>
      <c r="AB441" s="4">
        <f t="shared" si="319"/>
        <v>0.56032247880849573</v>
      </c>
      <c r="AC441" s="4">
        <f t="shared" si="319"/>
        <v>0.46411326873185343</v>
      </c>
      <c r="AD441" s="4">
        <f t="shared" si="319"/>
        <v>0.36979727595523937</v>
      </c>
      <c r="AE441" s="4">
        <f t="shared" si="319"/>
        <v>0.28393948637231203</v>
      </c>
      <c r="AF441" s="4">
        <f t="shared" si="319"/>
        <v>0.21097259161117732</v>
      </c>
      <c r="AG441" s="4">
        <f t="shared" si="319"/>
        <v>0.15253917653798199</v>
      </c>
      <c r="AH441" s="4">
        <f t="shared" si="319"/>
        <v>0.10795188737709993</v>
      </c>
      <c r="AI441" s="4">
        <f t="shared" si="319"/>
        <v>7.5176653938091809E-2</v>
      </c>
      <c r="AJ441" s="4">
        <f t="shared" si="319"/>
        <v>5.1742836177502194E-2</v>
      </c>
      <c r="AK441" s="4">
        <f t="shared" si="319"/>
        <v>3.5319190625345942E-2</v>
      </c>
      <c r="AL441" s="4">
        <f t="shared" si="319"/>
        <v>2.3969442072658165E-2</v>
      </c>
      <c r="AM441" s="4">
        <f t="shared" si="319"/>
        <v>1.6202243558389728E-2</v>
      </c>
      <c r="AN441" s="4">
        <f t="shared" si="319"/>
        <v>1.0922240564108399E-2</v>
      </c>
      <c r="AO441" s="4">
        <f t="shared" si="319"/>
        <v>7.3493212906090566E-3</v>
      </c>
      <c r="AP441" s="4">
        <f t="shared" si="319"/>
        <v>4.9390262185057265E-3</v>
      </c>
      <c r="AQ441" s="4">
        <f t="shared" si="319"/>
        <v>3.3164275492956197E-3</v>
      </c>
      <c r="AR441" s="4">
        <f t="shared" si="319"/>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9"/>
        <v>0.9867978615748374</v>
      </c>
      <c r="R442" s="4">
        <f t="shared" si="319"/>
        <v>0.98114509762858249</v>
      </c>
      <c r="S442" s="4">
        <f t="shared" si="319"/>
        <v>0.97311898315872036</v>
      </c>
      <c r="T442" s="4">
        <f t="shared" si="319"/>
        <v>0.96177484161592774</v>
      </c>
      <c r="U442" s="4">
        <f t="shared" si="319"/>
        <v>0.94584787155511363</v>
      </c>
      <c r="V442" s="4">
        <f t="shared" si="319"/>
        <v>0.92370360150141495</v>
      </c>
      <c r="W442" s="4">
        <f t="shared" si="319"/>
        <v>0.89334463567658451</v>
      </c>
      <c r="X442" s="4">
        <f t="shared" si="319"/>
        <v>0.85254543874327005</v>
      </c>
      <c r="Y442" s="4">
        <f t="shared" si="319"/>
        <v>0.79921300652623883</v>
      </c>
      <c r="Z442" s="4">
        <f t="shared" si="319"/>
        <v>0.73204982249993378</v>
      </c>
      <c r="AA442" s="4">
        <f t="shared" si="319"/>
        <v>0.65145592958786691</v>
      </c>
      <c r="AB442" s="4">
        <f t="shared" si="319"/>
        <v>0.56032247880849573</v>
      </c>
      <c r="AC442" s="4">
        <f t="shared" si="319"/>
        <v>0.46411326873185343</v>
      </c>
      <c r="AD442" s="4">
        <f t="shared" si="319"/>
        <v>0.36979727595523937</v>
      </c>
      <c r="AE442" s="4">
        <f t="shared" si="319"/>
        <v>0.28393948637231203</v>
      </c>
      <c r="AF442" s="4">
        <f t="shared" si="319"/>
        <v>0.21097259161117732</v>
      </c>
      <c r="AG442" s="4">
        <f t="shared" si="319"/>
        <v>0.15253917653798199</v>
      </c>
      <c r="AH442" s="4">
        <f t="shared" si="319"/>
        <v>0.10795188737709993</v>
      </c>
      <c r="AI442" s="4">
        <f t="shared" si="319"/>
        <v>7.5176653938091809E-2</v>
      </c>
      <c r="AJ442" s="4">
        <f t="shared" si="319"/>
        <v>5.1742836177502194E-2</v>
      </c>
      <c r="AK442" s="4">
        <f t="shared" si="319"/>
        <v>3.5319190625345942E-2</v>
      </c>
      <c r="AL442" s="4">
        <f t="shared" si="319"/>
        <v>2.3969442072658165E-2</v>
      </c>
      <c r="AM442" s="4">
        <f t="shared" si="319"/>
        <v>1.6202243558389728E-2</v>
      </c>
      <c r="AN442" s="4">
        <f t="shared" si="319"/>
        <v>1.0922240564108399E-2</v>
      </c>
      <c r="AO442" s="4">
        <f t="shared" si="319"/>
        <v>7.3493212906090566E-3</v>
      </c>
      <c r="AP442" s="4">
        <f t="shared" si="319"/>
        <v>4.9390262185057265E-3</v>
      </c>
      <c r="AQ442" s="4">
        <f t="shared" si="319"/>
        <v>3.3164275492956197E-3</v>
      </c>
      <c r="AR442" s="4">
        <f t="shared" si="319"/>
        <v>2.2256362146679809E-3</v>
      </c>
    </row>
    <row r="443" spans="1:44" x14ac:dyDescent="0.25">
      <c r="A443" s="24" t="s">
        <v>79</v>
      </c>
      <c r="B443" s="45">
        <f>'Parameter Input'!$L$178</f>
        <v>0.06</v>
      </c>
      <c r="C443" s="46">
        <f>'Parameter Input'!$M$178</f>
        <v>0.06</v>
      </c>
      <c r="D443" s="1" t="s">
        <v>57</v>
      </c>
      <c r="L443" s="54">
        <f>'Parameter Input'!$O$178</f>
        <v>12</v>
      </c>
      <c r="M443" s="37">
        <v>0</v>
      </c>
      <c r="N443" s="37">
        <v>1</v>
      </c>
      <c r="O443" s="37">
        <f>'Parameter Input'!$P$178</f>
        <v>0.9</v>
      </c>
      <c r="P443" s="55">
        <f>'Parameter Input'!$Q$178</f>
        <v>0.4</v>
      </c>
      <c r="Q443" s="4">
        <f t="shared" si="319"/>
        <v>0.9867978615748374</v>
      </c>
      <c r="R443" s="4">
        <f t="shared" si="319"/>
        <v>0.98114509762858249</v>
      </c>
      <c r="S443" s="4">
        <f t="shared" si="319"/>
        <v>0.97311898315872036</v>
      </c>
      <c r="T443" s="4">
        <f t="shared" si="319"/>
        <v>0.96177484161592774</v>
      </c>
      <c r="U443" s="4">
        <f t="shared" si="319"/>
        <v>0.94584787155511363</v>
      </c>
      <c r="V443" s="4">
        <f t="shared" si="319"/>
        <v>0.92370360150141495</v>
      </c>
      <c r="W443" s="4">
        <f t="shared" si="319"/>
        <v>0.89334463567658451</v>
      </c>
      <c r="X443" s="4">
        <f t="shared" si="319"/>
        <v>0.85254543874327005</v>
      </c>
      <c r="Y443" s="4">
        <f t="shared" si="319"/>
        <v>0.79921300652623883</v>
      </c>
      <c r="Z443" s="4">
        <f t="shared" si="319"/>
        <v>0.73204982249993378</v>
      </c>
      <c r="AA443" s="4">
        <f t="shared" si="319"/>
        <v>0.65145592958786691</v>
      </c>
      <c r="AB443" s="4">
        <f t="shared" si="319"/>
        <v>0.56032247880849573</v>
      </c>
      <c r="AC443" s="4">
        <f t="shared" si="319"/>
        <v>0.46411326873185343</v>
      </c>
      <c r="AD443" s="4">
        <f t="shared" si="319"/>
        <v>0.36979727595523937</v>
      </c>
      <c r="AE443" s="4">
        <f t="shared" si="319"/>
        <v>0.28393948637231203</v>
      </c>
      <c r="AF443" s="4">
        <f t="shared" si="319"/>
        <v>0.21097259161117732</v>
      </c>
      <c r="AG443" s="4">
        <f t="shared" si="319"/>
        <v>0.15253917653798199</v>
      </c>
      <c r="AH443" s="4">
        <f t="shared" si="319"/>
        <v>0.10795188737709993</v>
      </c>
      <c r="AI443" s="4">
        <f t="shared" si="319"/>
        <v>7.5176653938091809E-2</v>
      </c>
      <c r="AJ443" s="4">
        <f t="shared" si="319"/>
        <v>5.1742836177502194E-2</v>
      </c>
      <c r="AK443" s="4">
        <f t="shared" si="319"/>
        <v>3.5319190625345942E-2</v>
      </c>
      <c r="AL443" s="4">
        <f t="shared" si="319"/>
        <v>2.3969442072658165E-2</v>
      </c>
      <c r="AM443" s="4">
        <f t="shared" si="319"/>
        <v>1.6202243558389728E-2</v>
      </c>
      <c r="AN443" s="4">
        <f t="shared" si="319"/>
        <v>1.0922240564108399E-2</v>
      </c>
      <c r="AO443" s="4">
        <f t="shared" si="319"/>
        <v>7.3493212906090566E-3</v>
      </c>
      <c r="AP443" s="4">
        <f t="shared" si="319"/>
        <v>4.9390262185057265E-3</v>
      </c>
      <c r="AQ443" s="4">
        <f t="shared" si="319"/>
        <v>3.3164275492956197E-3</v>
      </c>
      <c r="AR443" s="4">
        <f t="shared" si="319"/>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9"/>
        <v>0.9867978615748374</v>
      </c>
      <c r="R444" s="4">
        <f t="shared" si="319"/>
        <v>0.98114509762858249</v>
      </c>
      <c r="S444" s="4">
        <f t="shared" si="319"/>
        <v>0.97311898315872036</v>
      </c>
      <c r="T444" s="4">
        <f t="shared" si="319"/>
        <v>0.96177484161592774</v>
      </c>
      <c r="U444" s="4">
        <f t="shared" si="319"/>
        <v>0.94584787155511363</v>
      </c>
      <c r="V444" s="4">
        <f t="shared" si="319"/>
        <v>0.92370360150141495</v>
      </c>
      <c r="W444" s="4">
        <f t="shared" si="319"/>
        <v>0.89334463567658451</v>
      </c>
      <c r="X444" s="4">
        <f t="shared" si="319"/>
        <v>0.85254543874327005</v>
      </c>
      <c r="Y444" s="4">
        <f t="shared" si="319"/>
        <v>0.79921300652623883</v>
      </c>
      <c r="Z444" s="4">
        <f t="shared" si="319"/>
        <v>0.73204982249993378</v>
      </c>
      <c r="AA444" s="4">
        <f t="shared" si="319"/>
        <v>0.65145592958786691</v>
      </c>
      <c r="AB444" s="4">
        <f t="shared" si="319"/>
        <v>0.56032247880849573</v>
      </c>
      <c r="AC444" s="4">
        <f t="shared" si="319"/>
        <v>0.46411326873185343</v>
      </c>
      <c r="AD444" s="4">
        <f t="shared" si="319"/>
        <v>0.36979727595523937</v>
      </c>
      <c r="AE444" s="4">
        <f t="shared" si="319"/>
        <v>0.28393948637231203</v>
      </c>
      <c r="AF444" s="4">
        <f t="shared" si="319"/>
        <v>0.21097259161117732</v>
      </c>
      <c r="AG444" s="4">
        <f t="shared" si="319"/>
        <v>0.15253917653798199</v>
      </c>
      <c r="AH444" s="4">
        <f t="shared" si="319"/>
        <v>0.10795188737709993</v>
      </c>
      <c r="AI444" s="4">
        <f t="shared" si="319"/>
        <v>7.5176653938091809E-2</v>
      </c>
      <c r="AJ444" s="4">
        <f t="shared" si="319"/>
        <v>5.1742836177502194E-2</v>
      </c>
      <c r="AK444" s="4">
        <f t="shared" si="319"/>
        <v>3.5319190625345942E-2</v>
      </c>
      <c r="AL444" s="4">
        <f t="shared" si="319"/>
        <v>2.3969442072658165E-2</v>
      </c>
      <c r="AM444" s="4">
        <f t="shared" si="319"/>
        <v>1.6202243558389728E-2</v>
      </c>
      <c r="AN444" s="4">
        <f t="shared" si="319"/>
        <v>1.0922240564108399E-2</v>
      </c>
      <c r="AO444" s="4">
        <f t="shared" si="319"/>
        <v>7.3493212906090566E-3</v>
      </c>
      <c r="AP444" s="4">
        <f t="shared" si="319"/>
        <v>4.9390262185057265E-3</v>
      </c>
      <c r="AQ444" s="4">
        <f t="shared" si="319"/>
        <v>3.3164275492956197E-3</v>
      </c>
      <c r="AR444" s="4">
        <f t="shared" si="319"/>
        <v>2.2256362146679809E-3</v>
      </c>
    </row>
    <row r="445" spans="1:44" x14ac:dyDescent="0.25">
      <c r="A445" s="24" t="s">
        <v>52</v>
      </c>
      <c r="B445" s="43">
        <f>'Parameter Input'!$L$174</f>
        <v>1300000</v>
      </c>
      <c r="C445" s="44">
        <f>'Parameter Input'!$M$174</f>
        <v>812500</v>
      </c>
      <c r="D445" s="1" t="s">
        <v>38</v>
      </c>
      <c r="L445" s="54">
        <f>'Parameter Input'!$O$174</f>
        <v>12</v>
      </c>
      <c r="M445" s="37">
        <v>0</v>
      </c>
      <c r="N445" s="37">
        <v>1</v>
      </c>
      <c r="O445" s="37">
        <f>'Parameter Input'!$P$174</f>
        <v>0.9</v>
      </c>
      <c r="P445" s="55">
        <f>'Parameter Input'!$Q$174</f>
        <v>0.4</v>
      </c>
      <c r="Q445" s="4">
        <f t="shared" si="319"/>
        <v>0.9867978615748374</v>
      </c>
      <c r="R445" s="4">
        <f t="shared" si="319"/>
        <v>0.98114509762858249</v>
      </c>
      <c r="S445" s="4">
        <f t="shared" si="319"/>
        <v>0.97311898315872036</v>
      </c>
      <c r="T445" s="4">
        <f t="shared" si="319"/>
        <v>0.96177484161592774</v>
      </c>
      <c r="U445" s="4">
        <f t="shared" si="319"/>
        <v>0.94584787155511363</v>
      </c>
      <c r="V445" s="4">
        <f t="shared" si="319"/>
        <v>0.92370360150141495</v>
      </c>
      <c r="W445" s="4">
        <f t="shared" si="319"/>
        <v>0.89334463567658451</v>
      </c>
      <c r="X445" s="4">
        <f t="shared" si="319"/>
        <v>0.85254543874327005</v>
      </c>
      <c r="Y445" s="4">
        <f t="shared" si="319"/>
        <v>0.79921300652623883</v>
      </c>
      <c r="Z445" s="4">
        <f t="shared" si="319"/>
        <v>0.73204982249993378</v>
      </c>
      <c r="AA445" s="4">
        <f t="shared" si="319"/>
        <v>0.65145592958786691</v>
      </c>
      <c r="AB445" s="4">
        <f t="shared" si="319"/>
        <v>0.56032247880849573</v>
      </c>
      <c r="AC445" s="4">
        <f t="shared" si="319"/>
        <v>0.46411326873185343</v>
      </c>
      <c r="AD445" s="4">
        <f t="shared" si="319"/>
        <v>0.36979727595523937</v>
      </c>
      <c r="AE445" s="4">
        <f t="shared" si="319"/>
        <v>0.28393948637231203</v>
      </c>
      <c r="AF445" s="4">
        <f t="shared" si="319"/>
        <v>0.21097259161117732</v>
      </c>
      <c r="AG445" s="4">
        <f t="shared" si="319"/>
        <v>0.15253917653798199</v>
      </c>
      <c r="AH445" s="4">
        <f t="shared" si="319"/>
        <v>0.10795188737709993</v>
      </c>
      <c r="AI445" s="4">
        <f t="shared" si="319"/>
        <v>7.5176653938091809E-2</v>
      </c>
      <c r="AJ445" s="4">
        <f t="shared" si="319"/>
        <v>5.1742836177502194E-2</v>
      </c>
      <c r="AK445" s="4">
        <f t="shared" si="319"/>
        <v>3.5319190625345942E-2</v>
      </c>
      <c r="AL445" s="4">
        <f t="shared" si="319"/>
        <v>2.3969442072658165E-2</v>
      </c>
      <c r="AM445" s="4">
        <f t="shared" si="319"/>
        <v>1.6202243558389728E-2</v>
      </c>
      <c r="AN445" s="4">
        <f t="shared" si="319"/>
        <v>1.0922240564108399E-2</v>
      </c>
      <c r="AO445" s="4">
        <f t="shared" si="319"/>
        <v>7.3493212906090566E-3</v>
      </c>
      <c r="AP445" s="4">
        <f t="shared" si="319"/>
        <v>4.9390262185057265E-3</v>
      </c>
      <c r="AQ445" s="4">
        <f t="shared" si="319"/>
        <v>3.3164275492956197E-3</v>
      </c>
      <c r="AR445" s="4">
        <f t="shared" si="319"/>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9"/>
        <v>0.9867978615748374</v>
      </c>
      <c r="R446" s="4">
        <f t="shared" si="319"/>
        <v>0.98114509762858249</v>
      </c>
      <c r="S446" s="4">
        <f t="shared" si="319"/>
        <v>0.97311898315872036</v>
      </c>
      <c r="T446" s="4">
        <f t="shared" si="319"/>
        <v>0.96177484161592774</v>
      </c>
      <c r="U446" s="4">
        <f t="shared" si="319"/>
        <v>0.94584787155511363</v>
      </c>
      <c r="V446" s="4">
        <f t="shared" si="319"/>
        <v>0.92370360150141495</v>
      </c>
      <c r="W446" s="4">
        <f t="shared" si="319"/>
        <v>0.89334463567658451</v>
      </c>
      <c r="X446" s="4">
        <f t="shared" si="319"/>
        <v>0.85254543874327005</v>
      </c>
      <c r="Y446" s="4">
        <f t="shared" si="319"/>
        <v>0.79921300652623883</v>
      </c>
      <c r="Z446" s="4">
        <f t="shared" si="319"/>
        <v>0.73204982249993378</v>
      </c>
      <c r="AA446" s="4">
        <f t="shared" si="319"/>
        <v>0.65145592958786691</v>
      </c>
      <c r="AB446" s="4">
        <f t="shared" si="319"/>
        <v>0.56032247880849573</v>
      </c>
      <c r="AC446" s="4">
        <f t="shared" si="319"/>
        <v>0.46411326873185343</v>
      </c>
      <c r="AD446" s="4">
        <f t="shared" si="319"/>
        <v>0.36979727595523937</v>
      </c>
      <c r="AE446" s="4">
        <f t="shared" si="319"/>
        <v>0.28393948637231203</v>
      </c>
      <c r="AF446" s="4">
        <f t="shared" si="319"/>
        <v>0.21097259161117732</v>
      </c>
      <c r="AG446" s="4">
        <f t="shared" si="319"/>
        <v>0.15253917653798199</v>
      </c>
      <c r="AH446" s="4">
        <f t="shared" si="319"/>
        <v>0.10795188737709993</v>
      </c>
      <c r="AI446" s="4">
        <f t="shared" si="319"/>
        <v>7.5176653938091809E-2</v>
      </c>
      <c r="AJ446" s="4">
        <f t="shared" si="319"/>
        <v>5.1742836177502194E-2</v>
      </c>
      <c r="AK446" s="4">
        <f t="shared" si="319"/>
        <v>3.5319190625345942E-2</v>
      </c>
      <c r="AL446" s="4">
        <f t="shared" si="319"/>
        <v>2.3969442072658165E-2</v>
      </c>
      <c r="AM446" s="4">
        <f t="shared" si="319"/>
        <v>1.6202243558389728E-2</v>
      </c>
      <c r="AN446" s="4">
        <f t="shared" si="319"/>
        <v>1.0922240564108399E-2</v>
      </c>
      <c r="AO446" s="4">
        <f t="shared" si="319"/>
        <v>7.3493212906090566E-3</v>
      </c>
      <c r="AP446" s="4">
        <f t="shared" si="319"/>
        <v>4.9390262185057265E-3</v>
      </c>
      <c r="AQ446" s="4">
        <f t="shared" si="319"/>
        <v>3.3164275492956197E-3</v>
      </c>
      <c r="AR446" s="4">
        <f t="shared" si="319"/>
        <v>2.2256362146679809E-3</v>
      </c>
    </row>
    <row r="447" spans="1:44" x14ac:dyDescent="0.25">
      <c r="A447" s="24" t="s">
        <v>59</v>
      </c>
      <c r="B447" s="47">
        <f>'Parameter Input'!$L$175</f>
        <v>33.590199999999996</v>
      </c>
      <c r="C447" s="48">
        <f>'Parameter Input'!$M$175</f>
        <v>33.590199999999996</v>
      </c>
      <c r="D447" s="1" t="s">
        <v>60</v>
      </c>
      <c r="L447" s="54">
        <f>'Parameter Input'!$O$175</f>
        <v>12</v>
      </c>
      <c r="M447" s="37">
        <v>0</v>
      </c>
      <c r="N447" s="37">
        <v>1</v>
      </c>
      <c r="O447" s="37">
        <f>'Parameter Input'!$P$175</f>
        <v>0.9</v>
      </c>
      <c r="P447" s="55">
        <f>'Parameter Input'!$Q$175</f>
        <v>0.4</v>
      </c>
      <c r="Q447" s="4">
        <f t="shared" si="319"/>
        <v>0.9867978615748374</v>
      </c>
      <c r="R447" s="4">
        <f t="shared" si="319"/>
        <v>0.98114509762858249</v>
      </c>
      <c r="S447" s="4">
        <f t="shared" si="319"/>
        <v>0.97311898315872036</v>
      </c>
      <c r="T447" s="4">
        <f t="shared" si="319"/>
        <v>0.96177484161592774</v>
      </c>
      <c r="U447" s="4">
        <f t="shared" si="319"/>
        <v>0.94584787155511363</v>
      </c>
      <c r="V447" s="4">
        <f t="shared" si="319"/>
        <v>0.92370360150141495</v>
      </c>
      <c r="W447" s="4">
        <f t="shared" si="319"/>
        <v>0.89334463567658451</v>
      </c>
      <c r="X447" s="4">
        <f t="shared" si="319"/>
        <v>0.85254543874327005</v>
      </c>
      <c r="Y447" s="4">
        <f t="shared" si="319"/>
        <v>0.79921300652623883</v>
      </c>
      <c r="Z447" s="4">
        <f t="shared" si="319"/>
        <v>0.73204982249993378</v>
      </c>
      <c r="AA447" s="4">
        <f t="shared" si="319"/>
        <v>0.65145592958786691</v>
      </c>
      <c r="AB447" s="4">
        <f t="shared" si="319"/>
        <v>0.56032247880849573</v>
      </c>
      <c r="AC447" s="4">
        <f t="shared" si="319"/>
        <v>0.46411326873185343</v>
      </c>
      <c r="AD447" s="4">
        <f t="shared" si="319"/>
        <v>0.36979727595523937</v>
      </c>
      <c r="AE447" s="4">
        <f t="shared" si="319"/>
        <v>0.28393948637231203</v>
      </c>
      <c r="AF447" s="4">
        <f t="shared" si="319"/>
        <v>0.21097259161117732</v>
      </c>
      <c r="AG447" s="4">
        <f t="shared" si="319"/>
        <v>0.15253917653798199</v>
      </c>
      <c r="AH447" s="4">
        <f t="shared" si="319"/>
        <v>0.10795188737709993</v>
      </c>
      <c r="AI447" s="4">
        <f t="shared" si="319"/>
        <v>7.5176653938091809E-2</v>
      </c>
      <c r="AJ447" s="4">
        <f t="shared" si="319"/>
        <v>5.1742836177502194E-2</v>
      </c>
      <c r="AK447" s="4">
        <f t="shared" si="319"/>
        <v>3.5319190625345942E-2</v>
      </c>
      <c r="AL447" s="4">
        <f t="shared" si="319"/>
        <v>2.3969442072658165E-2</v>
      </c>
      <c r="AM447" s="4">
        <f t="shared" si="319"/>
        <v>1.6202243558389728E-2</v>
      </c>
      <c r="AN447" s="4">
        <f t="shared" si="319"/>
        <v>1.0922240564108399E-2</v>
      </c>
      <c r="AO447" s="4">
        <f t="shared" si="319"/>
        <v>7.3493212906090566E-3</v>
      </c>
      <c r="AP447" s="4">
        <f t="shared" si="319"/>
        <v>4.9390262185057265E-3</v>
      </c>
      <c r="AQ447" s="4">
        <f t="shared" si="319"/>
        <v>3.3164275492956197E-3</v>
      </c>
      <c r="AR447" s="4">
        <f t="shared" si="319"/>
        <v>2.2256362146679809E-3</v>
      </c>
    </row>
    <row r="448" spans="1:44" x14ac:dyDescent="0.25">
      <c r="A448" s="24" t="s">
        <v>67</v>
      </c>
      <c r="B448" s="45">
        <f>'Parameter Input'!$L$176</f>
        <v>0.13371034051801745</v>
      </c>
      <c r="C448" s="46">
        <f>'Parameter Input'!$M$176</f>
        <v>8.7585019329602734E-2</v>
      </c>
      <c r="D448" s="1" t="s">
        <v>68</v>
      </c>
      <c r="L448" s="54">
        <f>'Parameter Input'!$O$176</f>
        <v>12</v>
      </c>
      <c r="M448" s="37">
        <v>0</v>
      </c>
      <c r="N448" s="37">
        <v>1</v>
      </c>
      <c r="O448" s="37">
        <f>'Parameter Input'!$P$176</f>
        <v>0.9</v>
      </c>
      <c r="P448" s="55">
        <f>'Parameter Input'!$Q$176</f>
        <v>0.4</v>
      </c>
      <c r="Q448" s="4">
        <f t="shared" si="319"/>
        <v>0.9867978615748374</v>
      </c>
      <c r="R448" s="4">
        <f t="shared" si="319"/>
        <v>0.98114509762858249</v>
      </c>
      <c r="S448" s="4">
        <f t="shared" si="319"/>
        <v>0.97311898315872036</v>
      </c>
      <c r="T448" s="4">
        <f t="shared" ref="T448:AI455" si="320">$N448+($M448-$N448)*((1/(1+EXP(-$P448*(T$9-$L448)))^$O448))</f>
        <v>0.96177484161592774</v>
      </c>
      <c r="U448" s="4">
        <f t="shared" si="320"/>
        <v>0.94584787155511363</v>
      </c>
      <c r="V448" s="4">
        <f t="shared" si="320"/>
        <v>0.92370360150141495</v>
      </c>
      <c r="W448" s="4">
        <f t="shared" si="320"/>
        <v>0.89334463567658451</v>
      </c>
      <c r="X448" s="4">
        <f t="shared" si="320"/>
        <v>0.85254543874327005</v>
      </c>
      <c r="Y448" s="4">
        <f t="shared" si="320"/>
        <v>0.79921300652623883</v>
      </c>
      <c r="Z448" s="4">
        <f t="shared" si="320"/>
        <v>0.73204982249993378</v>
      </c>
      <c r="AA448" s="4">
        <f t="shared" si="320"/>
        <v>0.65145592958786691</v>
      </c>
      <c r="AB448" s="4">
        <f t="shared" si="320"/>
        <v>0.56032247880849573</v>
      </c>
      <c r="AC448" s="4">
        <f t="shared" si="320"/>
        <v>0.46411326873185343</v>
      </c>
      <c r="AD448" s="4">
        <f t="shared" si="320"/>
        <v>0.36979727595523937</v>
      </c>
      <c r="AE448" s="4">
        <f t="shared" si="320"/>
        <v>0.28393948637231203</v>
      </c>
      <c r="AF448" s="4">
        <f t="shared" si="320"/>
        <v>0.21097259161117732</v>
      </c>
      <c r="AG448" s="4">
        <f t="shared" si="320"/>
        <v>0.15253917653798199</v>
      </c>
      <c r="AH448" s="4">
        <f t="shared" si="320"/>
        <v>0.10795188737709993</v>
      </c>
      <c r="AI448" s="4">
        <f t="shared" si="320"/>
        <v>7.5176653938091809E-2</v>
      </c>
      <c r="AJ448" s="4">
        <f t="shared" ref="AJ448:AR455" si="321">$N448+($M448-$N448)*((1/(1+EXP(-$P448*(AJ$9-$L448)))^$O448))</f>
        <v>5.1742836177502194E-2</v>
      </c>
      <c r="AK448" s="4">
        <f t="shared" si="321"/>
        <v>3.5319190625345942E-2</v>
      </c>
      <c r="AL448" s="4">
        <f t="shared" si="321"/>
        <v>2.3969442072658165E-2</v>
      </c>
      <c r="AM448" s="4">
        <f t="shared" si="321"/>
        <v>1.6202243558389728E-2</v>
      </c>
      <c r="AN448" s="4">
        <f t="shared" si="321"/>
        <v>1.0922240564108399E-2</v>
      </c>
      <c r="AO448" s="4">
        <f t="shared" si="321"/>
        <v>7.3493212906090566E-3</v>
      </c>
      <c r="AP448" s="4">
        <f t="shared" si="321"/>
        <v>4.9390262185057265E-3</v>
      </c>
      <c r="AQ448" s="4">
        <f t="shared" si="321"/>
        <v>3.3164275492956197E-3</v>
      </c>
      <c r="AR448" s="4">
        <f t="shared" si="321"/>
        <v>2.2256362146679809E-3</v>
      </c>
    </row>
    <row r="449" spans="1:44" x14ac:dyDescent="0.25">
      <c r="A449" s="24" t="s">
        <v>206</v>
      </c>
      <c r="B449" s="115">
        <f>'Parameter Input'!$L$179</f>
        <v>0</v>
      </c>
      <c r="C449" s="116">
        <f>'Parameter Input'!$M$179</f>
        <v>0</v>
      </c>
      <c r="D449" s="1" t="s">
        <v>76</v>
      </c>
      <c r="L449" s="54">
        <f>'Parameter Input'!$O$179</f>
        <v>17</v>
      </c>
      <c r="M449" s="37">
        <v>0</v>
      </c>
      <c r="N449" s="37">
        <v>1</v>
      </c>
      <c r="O449" s="37">
        <f>'Parameter Input'!$P$179</f>
        <v>0.9</v>
      </c>
      <c r="P449" s="55">
        <f>'Parameter Input'!$Q$179</f>
        <v>0.4</v>
      </c>
      <c r="Q449" s="4">
        <f t="shared" ref="Q449:AR449" si="322">$N449+($M449-$N449)*((1/(1+EXP(-$P449*(Q$9-$L449)))^$O449))</f>
        <v>0.99780374543478534</v>
      </c>
      <c r="R449" s="4">
        <f t="shared" si="322"/>
        <v>0.99685359315256394</v>
      </c>
      <c r="S449" s="4">
        <f t="shared" si="322"/>
        <v>0.99549347132349975</v>
      </c>
      <c r="T449" s="4">
        <f t="shared" si="322"/>
        <v>0.99354772139898062</v>
      </c>
      <c r="U449" s="4">
        <f t="shared" si="322"/>
        <v>0.99076681540580536</v>
      </c>
      <c r="V449" s="4">
        <f t="shared" si="322"/>
        <v>0.9867978615748374</v>
      </c>
      <c r="W449" s="4">
        <f t="shared" si="322"/>
        <v>0.98114509762858249</v>
      </c>
      <c r="X449" s="4">
        <f t="shared" si="322"/>
        <v>0.97311898315872036</v>
      </c>
      <c r="Y449" s="4">
        <f t="shared" si="322"/>
        <v>0.96177484161592774</v>
      </c>
      <c r="Z449" s="4">
        <f t="shared" si="322"/>
        <v>0.94584787155511363</v>
      </c>
      <c r="AA449" s="4">
        <f t="shared" si="322"/>
        <v>0.92370360150141495</v>
      </c>
      <c r="AB449" s="4">
        <f t="shared" si="322"/>
        <v>0.89334463567658451</v>
      </c>
      <c r="AC449" s="4">
        <f t="shared" si="322"/>
        <v>0.85254543874327005</v>
      </c>
      <c r="AD449" s="4">
        <f t="shared" si="322"/>
        <v>0.79921300652623883</v>
      </c>
      <c r="AE449" s="4">
        <f t="shared" si="322"/>
        <v>0.73204982249993378</v>
      </c>
      <c r="AF449" s="4">
        <f t="shared" si="322"/>
        <v>0.65145592958786691</v>
      </c>
      <c r="AG449" s="4">
        <f t="shared" si="322"/>
        <v>0.56032247880849573</v>
      </c>
      <c r="AH449" s="4">
        <f t="shared" si="322"/>
        <v>0.46411326873185343</v>
      </c>
      <c r="AI449" s="4">
        <f t="shared" si="322"/>
        <v>0.36979727595523937</v>
      </c>
      <c r="AJ449" s="4">
        <f t="shared" si="322"/>
        <v>0.28393948637231203</v>
      </c>
      <c r="AK449" s="4">
        <f t="shared" si="322"/>
        <v>0.21097259161117732</v>
      </c>
      <c r="AL449" s="4">
        <f t="shared" si="322"/>
        <v>0.15253917653798199</v>
      </c>
      <c r="AM449" s="4">
        <f t="shared" si="322"/>
        <v>0.10795188737709993</v>
      </c>
      <c r="AN449" s="4">
        <f t="shared" si="322"/>
        <v>7.5176653938091809E-2</v>
      </c>
      <c r="AO449" s="4">
        <f t="shared" si="322"/>
        <v>5.1742836177502194E-2</v>
      </c>
      <c r="AP449" s="4">
        <f t="shared" si="322"/>
        <v>3.5319190625345942E-2</v>
      </c>
      <c r="AQ449" s="4">
        <f t="shared" si="322"/>
        <v>2.3969442072658165E-2</v>
      </c>
      <c r="AR449" s="4">
        <f t="shared" si="322"/>
        <v>1.6202243558389728E-2</v>
      </c>
    </row>
    <row r="450" spans="1:44" x14ac:dyDescent="0.25">
      <c r="A450" s="24" t="s">
        <v>41</v>
      </c>
      <c r="B450" s="43">
        <f>'Parameter Input'!$L$173</f>
        <v>20</v>
      </c>
      <c r="C450" s="44">
        <f>'Parameter Input'!$M$173</f>
        <v>20</v>
      </c>
      <c r="D450" s="1" t="s">
        <v>42</v>
      </c>
      <c r="L450" s="54">
        <f>'Parameter Input'!$O$173</f>
        <v>12</v>
      </c>
      <c r="M450" s="37">
        <v>0</v>
      </c>
      <c r="N450" s="37">
        <v>1</v>
      </c>
      <c r="O450" s="37">
        <f>'Parameter Input'!$P$173</f>
        <v>0.9</v>
      </c>
      <c r="P450" s="55">
        <f>'Parameter Input'!$Q$173</f>
        <v>0.4</v>
      </c>
      <c r="Q450" s="4">
        <f t="shared" ref="Q450:AF455" si="323">$N450+($M450-$N450)*((1/(1+EXP(-$P450*(Q$9-$L450)))^$O450))</f>
        <v>0.9867978615748374</v>
      </c>
      <c r="R450" s="4">
        <f t="shared" si="323"/>
        <v>0.98114509762858249</v>
      </c>
      <c r="S450" s="4">
        <f t="shared" si="323"/>
        <v>0.97311898315872036</v>
      </c>
      <c r="T450" s="4">
        <f t="shared" si="323"/>
        <v>0.96177484161592774</v>
      </c>
      <c r="U450" s="4">
        <f t="shared" si="323"/>
        <v>0.94584787155511363</v>
      </c>
      <c r="V450" s="4">
        <f t="shared" si="323"/>
        <v>0.92370360150141495</v>
      </c>
      <c r="W450" s="4">
        <f t="shared" si="323"/>
        <v>0.89334463567658451</v>
      </c>
      <c r="X450" s="4">
        <f t="shared" si="323"/>
        <v>0.85254543874327005</v>
      </c>
      <c r="Y450" s="4">
        <f t="shared" si="323"/>
        <v>0.79921300652623883</v>
      </c>
      <c r="Z450" s="4">
        <f t="shared" si="323"/>
        <v>0.73204982249993378</v>
      </c>
      <c r="AA450" s="4">
        <f t="shared" si="323"/>
        <v>0.65145592958786691</v>
      </c>
      <c r="AB450" s="4">
        <f t="shared" si="323"/>
        <v>0.56032247880849573</v>
      </c>
      <c r="AC450" s="4">
        <f t="shared" si="323"/>
        <v>0.46411326873185343</v>
      </c>
      <c r="AD450" s="4">
        <f t="shared" si="323"/>
        <v>0.36979727595523937</v>
      </c>
      <c r="AE450" s="4">
        <f t="shared" si="323"/>
        <v>0.28393948637231203</v>
      </c>
      <c r="AF450" s="4">
        <f t="shared" si="323"/>
        <v>0.21097259161117732</v>
      </c>
      <c r="AG450" s="4">
        <f t="shared" si="320"/>
        <v>0.15253917653798199</v>
      </c>
      <c r="AH450" s="4">
        <f t="shared" si="320"/>
        <v>0.10795188737709993</v>
      </c>
      <c r="AI450" s="4">
        <f t="shared" si="320"/>
        <v>7.5176653938091809E-2</v>
      </c>
      <c r="AJ450" s="4">
        <f t="shared" si="321"/>
        <v>5.1742836177502194E-2</v>
      </c>
      <c r="AK450" s="4">
        <f t="shared" si="321"/>
        <v>3.5319190625345942E-2</v>
      </c>
      <c r="AL450" s="4">
        <f t="shared" si="321"/>
        <v>2.3969442072658165E-2</v>
      </c>
      <c r="AM450" s="4">
        <f t="shared" si="321"/>
        <v>1.6202243558389728E-2</v>
      </c>
      <c r="AN450" s="4">
        <f t="shared" si="321"/>
        <v>1.0922240564108399E-2</v>
      </c>
      <c r="AO450" s="4">
        <f t="shared" si="321"/>
        <v>7.3493212906090566E-3</v>
      </c>
      <c r="AP450" s="4">
        <f t="shared" si="321"/>
        <v>4.9390262185057265E-3</v>
      </c>
      <c r="AQ450" s="4">
        <f t="shared" si="321"/>
        <v>3.3164275492956197E-3</v>
      </c>
      <c r="AR450" s="4">
        <f t="shared" si="321"/>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23"/>
        <v>0.9867978615748374</v>
      </c>
      <c r="R451" s="4">
        <f t="shared" si="323"/>
        <v>0.98114509762858249</v>
      </c>
      <c r="S451" s="4">
        <f t="shared" si="323"/>
        <v>0.97311898315872036</v>
      </c>
      <c r="T451" s="4">
        <f t="shared" si="323"/>
        <v>0.96177484161592774</v>
      </c>
      <c r="U451" s="4">
        <f t="shared" si="323"/>
        <v>0.94584787155511363</v>
      </c>
      <c r="V451" s="4">
        <f t="shared" si="323"/>
        <v>0.92370360150141495</v>
      </c>
      <c r="W451" s="4">
        <f t="shared" si="323"/>
        <v>0.89334463567658451</v>
      </c>
      <c r="X451" s="4">
        <f t="shared" si="323"/>
        <v>0.85254543874327005</v>
      </c>
      <c r="Y451" s="4">
        <f t="shared" si="323"/>
        <v>0.79921300652623883</v>
      </c>
      <c r="Z451" s="4">
        <f t="shared" si="323"/>
        <v>0.73204982249993378</v>
      </c>
      <c r="AA451" s="4">
        <f t="shared" si="323"/>
        <v>0.65145592958786691</v>
      </c>
      <c r="AB451" s="4">
        <f t="shared" si="323"/>
        <v>0.56032247880849573</v>
      </c>
      <c r="AC451" s="4">
        <f t="shared" si="323"/>
        <v>0.46411326873185343</v>
      </c>
      <c r="AD451" s="4">
        <f t="shared" si="323"/>
        <v>0.36979727595523937</v>
      </c>
      <c r="AE451" s="4">
        <f t="shared" si="323"/>
        <v>0.28393948637231203</v>
      </c>
      <c r="AF451" s="4">
        <f t="shared" si="323"/>
        <v>0.21097259161117732</v>
      </c>
      <c r="AG451" s="4">
        <f t="shared" si="320"/>
        <v>0.15253917653798199</v>
      </c>
      <c r="AH451" s="4">
        <f t="shared" si="320"/>
        <v>0.10795188737709993</v>
      </c>
      <c r="AI451" s="4">
        <f t="shared" si="320"/>
        <v>7.5176653938091809E-2</v>
      </c>
      <c r="AJ451" s="4">
        <f t="shared" si="321"/>
        <v>5.1742836177502194E-2</v>
      </c>
      <c r="AK451" s="4">
        <f t="shared" si="321"/>
        <v>3.5319190625345942E-2</v>
      </c>
      <c r="AL451" s="4">
        <f t="shared" si="321"/>
        <v>2.3969442072658165E-2</v>
      </c>
      <c r="AM451" s="4">
        <f t="shared" si="321"/>
        <v>1.6202243558389728E-2</v>
      </c>
      <c r="AN451" s="4">
        <f t="shared" si="321"/>
        <v>1.0922240564108399E-2</v>
      </c>
      <c r="AO451" s="4">
        <f t="shared" si="321"/>
        <v>7.3493212906090566E-3</v>
      </c>
      <c r="AP451" s="4">
        <f t="shared" si="321"/>
        <v>4.9390262185057265E-3</v>
      </c>
      <c r="AQ451" s="4">
        <f t="shared" si="321"/>
        <v>3.3164275492956197E-3</v>
      </c>
      <c r="AR451" s="4">
        <f t="shared" si="321"/>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23"/>
        <v>0.9867978615748374</v>
      </c>
      <c r="R452" s="4">
        <f t="shared" si="323"/>
        <v>0.98114509762858249</v>
      </c>
      <c r="S452" s="4">
        <f t="shared" si="323"/>
        <v>0.97311898315872036</v>
      </c>
      <c r="T452" s="4">
        <f t="shared" si="323"/>
        <v>0.96177484161592774</v>
      </c>
      <c r="U452" s="4">
        <f t="shared" si="323"/>
        <v>0.94584787155511363</v>
      </c>
      <c r="V452" s="4">
        <f t="shared" si="323"/>
        <v>0.92370360150141495</v>
      </c>
      <c r="W452" s="4">
        <f t="shared" si="323"/>
        <v>0.89334463567658451</v>
      </c>
      <c r="X452" s="4">
        <f t="shared" si="323"/>
        <v>0.85254543874327005</v>
      </c>
      <c r="Y452" s="4">
        <f t="shared" si="323"/>
        <v>0.79921300652623883</v>
      </c>
      <c r="Z452" s="4">
        <f t="shared" si="323"/>
        <v>0.73204982249993378</v>
      </c>
      <c r="AA452" s="4">
        <f t="shared" si="323"/>
        <v>0.65145592958786691</v>
      </c>
      <c r="AB452" s="4">
        <f t="shared" si="323"/>
        <v>0.56032247880849573</v>
      </c>
      <c r="AC452" s="4">
        <f t="shared" si="323"/>
        <v>0.46411326873185343</v>
      </c>
      <c r="AD452" s="4">
        <f t="shared" si="323"/>
        <v>0.36979727595523937</v>
      </c>
      <c r="AE452" s="4">
        <f t="shared" si="323"/>
        <v>0.28393948637231203</v>
      </c>
      <c r="AF452" s="4">
        <f t="shared" si="323"/>
        <v>0.21097259161117732</v>
      </c>
      <c r="AG452" s="4">
        <f t="shared" si="320"/>
        <v>0.15253917653798199</v>
      </c>
      <c r="AH452" s="4">
        <f t="shared" si="320"/>
        <v>0.10795188737709993</v>
      </c>
      <c r="AI452" s="4">
        <f t="shared" si="320"/>
        <v>7.5176653938091809E-2</v>
      </c>
      <c r="AJ452" s="4">
        <f t="shared" si="321"/>
        <v>5.1742836177502194E-2</v>
      </c>
      <c r="AK452" s="4">
        <f t="shared" si="321"/>
        <v>3.5319190625345942E-2</v>
      </c>
      <c r="AL452" s="4">
        <f t="shared" si="321"/>
        <v>2.3969442072658165E-2</v>
      </c>
      <c r="AM452" s="4">
        <f t="shared" si="321"/>
        <v>1.6202243558389728E-2</v>
      </c>
      <c r="AN452" s="4">
        <f t="shared" si="321"/>
        <v>1.0922240564108399E-2</v>
      </c>
      <c r="AO452" s="4">
        <f t="shared" si="321"/>
        <v>7.3493212906090566E-3</v>
      </c>
      <c r="AP452" s="4">
        <f t="shared" si="321"/>
        <v>4.9390262185057265E-3</v>
      </c>
      <c r="AQ452" s="4">
        <f t="shared" si="321"/>
        <v>3.3164275492956197E-3</v>
      </c>
      <c r="AR452" s="4">
        <f t="shared" si="321"/>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23"/>
        <v>0.9867978615748374</v>
      </c>
      <c r="R453" s="4">
        <f t="shared" si="323"/>
        <v>0.98114509762858249</v>
      </c>
      <c r="S453" s="4">
        <f t="shared" si="323"/>
        <v>0.97311898315872036</v>
      </c>
      <c r="T453" s="4">
        <f t="shared" si="323"/>
        <v>0.96177484161592774</v>
      </c>
      <c r="U453" s="4">
        <f t="shared" si="323"/>
        <v>0.94584787155511363</v>
      </c>
      <c r="V453" s="4">
        <f t="shared" si="323"/>
        <v>0.92370360150141495</v>
      </c>
      <c r="W453" s="4">
        <f t="shared" si="323"/>
        <v>0.89334463567658451</v>
      </c>
      <c r="X453" s="4">
        <f t="shared" si="323"/>
        <v>0.85254543874327005</v>
      </c>
      <c r="Y453" s="4">
        <f t="shared" si="323"/>
        <v>0.79921300652623883</v>
      </c>
      <c r="Z453" s="4">
        <f t="shared" si="323"/>
        <v>0.73204982249993378</v>
      </c>
      <c r="AA453" s="4">
        <f t="shared" si="323"/>
        <v>0.65145592958786691</v>
      </c>
      <c r="AB453" s="4">
        <f t="shared" si="323"/>
        <v>0.56032247880849573</v>
      </c>
      <c r="AC453" s="4">
        <f t="shared" si="323"/>
        <v>0.46411326873185343</v>
      </c>
      <c r="AD453" s="4">
        <f t="shared" si="323"/>
        <v>0.36979727595523937</v>
      </c>
      <c r="AE453" s="4">
        <f t="shared" si="323"/>
        <v>0.28393948637231203</v>
      </c>
      <c r="AF453" s="4">
        <f t="shared" si="323"/>
        <v>0.21097259161117732</v>
      </c>
      <c r="AG453" s="4">
        <f t="shared" si="320"/>
        <v>0.15253917653798199</v>
      </c>
      <c r="AH453" s="4">
        <f t="shared" si="320"/>
        <v>0.10795188737709993</v>
      </c>
      <c r="AI453" s="4">
        <f t="shared" si="320"/>
        <v>7.5176653938091809E-2</v>
      </c>
      <c r="AJ453" s="4">
        <f t="shared" si="321"/>
        <v>5.1742836177502194E-2</v>
      </c>
      <c r="AK453" s="4">
        <f t="shared" si="321"/>
        <v>3.5319190625345942E-2</v>
      </c>
      <c r="AL453" s="4">
        <f t="shared" si="321"/>
        <v>2.3969442072658165E-2</v>
      </c>
      <c r="AM453" s="4">
        <f t="shared" si="321"/>
        <v>1.6202243558389728E-2</v>
      </c>
      <c r="AN453" s="4">
        <f t="shared" si="321"/>
        <v>1.0922240564108399E-2</v>
      </c>
      <c r="AO453" s="4">
        <f t="shared" si="321"/>
        <v>7.3493212906090566E-3</v>
      </c>
      <c r="AP453" s="4">
        <f t="shared" si="321"/>
        <v>4.9390262185057265E-3</v>
      </c>
      <c r="AQ453" s="4">
        <f t="shared" si="321"/>
        <v>3.3164275492956197E-3</v>
      </c>
      <c r="AR453" s="4">
        <f t="shared" si="321"/>
        <v>2.2256362146679809E-3</v>
      </c>
    </row>
    <row r="454" spans="1:44" x14ac:dyDescent="0.25">
      <c r="A454" s="24" t="s">
        <v>73</v>
      </c>
      <c r="B454" s="72">
        <f>'Parameter Input'!$L$177</f>
        <v>3.5714285714285712E-2</v>
      </c>
      <c r="C454" s="73">
        <f>'Parameter Input'!$M$177</f>
        <v>1.7857142857142856E-2</v>
      </c>
      <c r="D454" s="1" t="s">
        <v>57</v>
      </c>
      <c r="L454" s="54">
        <f>'Parameter Input'!$O$177</f>
        <v>12</v>
      </c>
      <c r="M454" s="37">
        <v>0</v>
      </c>
      <c r="N454" s="37">
        <v>1</v>
      </c>
      <c r="O454" s="37">
        <f>'Parameter Input'!$P$177</f>
        <v>0.9</v>
      </c>
      <c r="P454" s="55">
        <f>'Parameter Input'!$Q$177</f>
        <v>0.4</v>
      </c>
      <c r="Q454" s="4">
        <f t="shared" si="323"/>
        <v>0.9867978615748374</v>
      </c>
      <c r="R454" s="4">
        <f t="shared" si="323"/>
        <v>0.98114509762858249</v>
      </c>
      <c r="S454" s="4">
        <f t="shared" si="323"/>
        <v>0.97311898315872036</v>
      </c>
      <c r="T454" s="4">
        <f t="shared" si="323"/>
        <v>0.96177484161592774</v>
      </c>
      <c r="U454" s="4">
        <f t="shared" si="323"/>
        <v>0.94584787155511363</v>
      </c>
      <c r="V454" s="4">
        <f t="shared" si="323"/>
        <v>0.92370360150141495</v>
      </c>
      <c r="W454" s="4">
        <f t="shared" si="323"/>
        <v>0.89334463567658451</v>
      </c>
      <c r="X454" s="4">
        <f t="shared" si="323"/>
        <v>0.85254543874327005</v>
      </c>
      <c r="Y454" s="4">
        <f t="shared" si="323"/>
        <v>0.79921300652623883</v>
      </c>
      <c r="Z454" s="4">
        <f t="shared" si="323"/>
        <v>0.73204982249993378</v>
      </c>
      <c r="AA454" s="4">
        <f t="shared" si="323"/>
        <v>0.65145592958786691</v>
      </c>
      <c r="AB454" s="4">
        <f t="shared" si="323"/>
        <v>0.56032247880849573</v>
      </c>
      <c r="AC454" s="4">
        <f t="shared" si="323"/>
        <v>0.46411326873185343</v>
      </c>
      <c r="AD454" s="4">
        <f t="shared" si="323"/>
        <v>0.36979727595523937</v>
      </c>
      <c r="AE454" s="4">
        <f t="shared" si="323"/>
        <v>0.28393948637231203</v>
      </c>
      <c r="AF454" s="4">
        <f t="shared" si="323"/>
        <v>0.21097259161117732</v>
      </c>
      <c r="AG454" s="4">
        <f t="shared" si="320"/>
        <v>0.15253917653798199</v>
      </c>
      <c r="AH454" s="4">
        <f t="shared" si="320"/>
        <v>0.10795188737709993</v>
      </c>
      <c r="AI454" s="4">
        <f t="shared" si="320"/>
        <v>7.5176653938091809E-2</v>
      </c>
      <c r="AJ454" s="4">
        <f t="shared" si="321"/>
        <v>5.1742836177502194E-2</v>
      </c>
      <c r="AK454" s="4">
        <f t="shared" si="321"/>
        <v>3.5319190625345942E-2</v>
      </c>
      <c r="AL454" s="4">
        <f t="shared" si="321"/>
        <v>2.3969442072658165E-2</v>
      </c>
      <c r="AM454" s="4">
        <f t="shared" si="321"/>
        <v>1.6202243558389728E-2</v>
      </c>
      <c r="AN454" s="4">
        <f t="shared" si="321"/>
        <v>1.0922240564108399E-2</v>
      </c>
      <c r="AO454" s="4">
        <f t="shared" si="321"/>
        <v>7.3493212906090566E-3</v>
      </c>
      <c r="AP454" s="4">
        <f t="shared" si="321"/>
        <v>4.9390262185057265E-3</v>
      </c>
      <c r="AQ454" s="4">
        <f t="shared" si="321"/>
        <v>3.3164275492956197E-3</v>
      </c>
      <c r="AR454" s="4">
        <f t="shared" si="321"/>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23"/>
        <v>0.9867978615748374</v>
      </c>
      <c r="R455" s="4">
        <f t="shared" si="323"/>
        <v>0.98114509762858249</v>
      </c>
      <c r="S455" s="4">
        <f t="shared" si="323"/>
        <v>0.97311898315872036</v>
      </c>
      <c r="T455" s="4">
        <f t="shared" si="323"/>
        <v>0.96177484161592774</v>
      </c>
      <c r="U455" s="4">
        <f t="shared" si="323"/>
        <v>0.94584787155511363</v>
      </c>
      <c r="V455" s="4">
        <f t="shared" si="323"/>
        <v>0.92370360150141495</v>
      </c>
      <c r="W455" s="4">
        <f t="shared" si="323"/>
        <v>0.89334463567658451</v>
      </c>
      <c r="X455" s="4">
        <f t="shared" si="323"/>
        <v>0.85254543874327005</v>
      </c>
      <c r="Y455" s="4">
        <f t="shared" si="323"/>
        <v>0.79921300652623883</v>
      </c>
      <c r="Z455" s="4">
        <f t="shared" si="323"/>
        <v>0.73204982249993378</v>
      </c>
      <c r="AA455" s="4">
        <f t="shared" si="323"/>
        <v>0.65145592958786691</v>
      </c>
      <c r="AB455" s="4">
        <f t="shared" si="323"/>
        <v>0.56032247880849573</v>
      </c>
      <c r="AC455" s="4">
        <f t="shared" si="323"/>
        <v>0.46411326873185343</v>
      </c>
      <c r="AD455" s="4">
        <f t="shared" si="323"/>
        <v>0.36979727595523937</v>
      </c>
      <c r="AE455" s="4">
        <f t="shared" si="323"/>
        <v>0.28393948637231203</v>
      </c>
      <c r="AF455" s="4">
        <f t="shared" si="323"/>
        <v>0.21097259161117732</v>
      </c>
      <c r="AG455" s="4">
        <f t="shared" si="320"/>
        <v>0.15253917653798199</v>
      </c>
      <c r="AH455" s="4">
        <f t="shared" si="320"/>
        <v>0.10795188737709993</v>
      </c>
      <c r="AI455" s="4">
        <f t="shared" si="320"/>
        <v>7.5176653938091809E-2</v>
      </c>
      <c r="AJ455" s="4">
        <f t="shared" si="321"/>
        <v>5.1742836177502194E-2</v>
      </c>
      <c r="AK455" s="4">
        <f t="shared" si="321"/>
        <v>3.5319190625345942E-2</v>
      </c>
      <c r="AL455" s="4">
        <f t="shared" si="321"/>
        <v>2.3969442072658165E-2</v>
      </c>
      <c r="AM455" s="4">
        <f t="shared" si="321"/>
        <v>1.6202243558389728E-2</v>
      </c>
      <c r="AN455" s="4">
        <f t="shared" si="321"/>
        <v>1.0922240564108399E-2</v>
      </c>
      <c r="AO455" s="4">
        <f t="shared" si="321"/>
        <v>7.3493212906090566E-3</v>
      </c>
      <c r="AP455" s="4">
        <f t="shared" si="321"/>
        <v>4.9390262185057265E-3</v>
      </c>
      <c r="AQ455" s="4">
        <f t="shared" si="321"/>
        <v>3.3164275492956197E-3</v>
      </c>
      <c r="AR455" s="4">
        <f t="shared" si="321"/>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4">A439</f>
        <v>Capex vehicle</v>
      </c>
      <c r="B459" s="62">
        <f t="shared" ref="B459:B467" si="325">$B439+($C439-$B439)*(1-Q439)</f>
        <v>9950491.9809056409</v>
      </c>
      <c r="C459" s="62">
        <f t="shared" ref="C459:C467" si="326">$B439+($C439-$B439)*(1-R439)</f>
        <v>9929294.1161071844</v>
      </c>
      <c r="D459" s="62">
        <f t="shared" ref="D459:D467" si="327">$B439+($C439-$B439)*(1-S439)</f>
        <v>9899196.186845202</v>
      </c>
      <c r="E459" s="62">
        <f t="shared" ref="E459:E467" si="328">$B439+($C439-$B439)*(1-T439)</f>
        <v>9856655.6560597289</v>
      </c>
      <c r="F459" s="62">
        <f t="shared" ref="F459:F467" si="329">$B439+($C439-$B439)*(1-U439)</f>
        <v>9796929.5183316767</v>
      </c>
      <c r="G459" s="62">
        <f t="shared" ref="G459:G467" si="330">$B439+($C439-$B439)*(1-V439)</f>
        <v>9713888.5056303069</v>
      </c>
      <c r="H459" s="62">
        <f t="shared" ref="H459:H467" si="331">$B439+($C439-$B439)*(1-W439)</f>
        <v>9600042.3837871924</v>
      </c>
      <c r="I459" s="62">
        <f t="shared" ref="I459:I467" si="332">$B439+($C439-$B439)*(1-X439)</f>
        <v>9447045.3952872623</v>
      </c>
      <c r="J459" s="62">
        <f t="shared" ref="J459:J467" si="333">$B439+($C439-$B439)*(1-Y439)</f>
        <v>9247048.7744733952</v>
      </c>
      <c r="K459" s="62">
        <f t="shared" ref="K459:K467" si="334">$B439+($C439-$B439)*(1-Z439)</f>
        <v>8995186.8343747519</v>
      </c>
      <c r="L459" s="62">
        <f t="shared" ref="L459:L467" si="335">$B439+($C439-$B439)*(1-AA439)</f>
        <v>8692959.7359545007</v>
      </c>
      <c r="M459" s="62">
        <f t="shared" ref="M459:M467" si="336">$B439+($C439-$B439)*(1-AB439)</f>
        <v>8351209.2955318587</v>
      </c>
      <c r="N459" s="62">
        <f t="shared" ref="N459:N467" si="337">$B439+($C439-$B439)*(1-AC439)</f>
        <v>7990424.7577444501</v>
      </c>
      <c r="O459" s="62">
        <f t="shared" ref="O459:O467" si="338">$B439+($C439-$B439)*(1-AD439)</f>
        <v>7636739.7848321479</v>
      </c>
      <c r="P459" s="62">
        <f t="shared" ref="P459:P467" si="339">$B439+($C439-$B439)*(1-AE439)</f>
        <v>7314773.0738961697</v>
      </c>
      <c r="Q459" s="62">
        <f t="shared" ref="Q459:Q467" si="340">$B439+($C439-$B439)*(1-AF439)</f>
        <v>7041147.2185419146</v>
      </c>
      <c r="R459" s="62">
        <f t="shared" ref="R459:R467" si="341">$B439+($C439-$B439)*(1-AG439)</f>
        <v>6822021.912017433</v>
      </c>
      <c r="S459" s="62">
        <f t="shared" ref="S459:S467" si="342">$B439+($C439-$B439)*(1-AH439)</f>
        <v>6654819.5776641248</v>
      </c>
      <c r="T459" s="62">
        <f t="shared" ref="T459:T467" si="343">$B439+($C439-$B439)*(1-AI439)</f>
        <v>6531912.4522678442</v>
      </c>
      <c r="U459" s="62">
        <f t="shared" ref="U459:U467" si="344">$B439+($C439-$B439)*(1-AJ439)</f>
        <v>6444035.6356656328</v>
      </c>
      <c r="V459" s="62">
        <f t="shared" ref="V459:V467" si="345">$B439+($C439-$B439)*(1-AK439)</f>
        <v>6382446.9648450473</v>
      </c>
      <c r="W459" s="62">
        <f t="shared" ref="W459:W467" si="346">$B439+($C439-$B439)*(1-AL439)</f>
        <v>6339885.4077724684</v>
      </c>
      <c r="X459" s="62">
        <f t="shared" ref="X459:X467" si="347">$B439+($C439-$B439)*(1-AM439)</f>
        <v>6310758.4133439614</v>
      </c>
      <c r="Y459" s="62">
        <f t="shared" ref="Y459:Y467" si="348">$B439+($C439-$B439)*(1-AN439)</f>
        <v>6290958.4021154065</v>
      </c>
      <c r="Z459" s="62">
        <f t="shared" ref="Z459:Z467" si="349">$B439+($C439-$B439)*(1-AO439)</f>
        <v>6277559.9548397847</v>
      </c>
      <c r="AA459" s="62">
        <f t="shared" ref="AA459:AA467" si="350">$B439+($C439-$B439)*(1-AP439)</f>
        <v>6268521.3483193964</v>
      </c>
      <c r="AB459" s="62">
        <f t="shared" ref="AB459:AB467" si="351">$B439+($C439-$B439)*(1-AQ439)</f>
        <v>6262436.6033098586</v>
      </c>
      <c r="AC459" s="62">
        <f t="shared" ref="AC459:AC467" si="352">$B439+($C439-$B439)*(1-AR439)</f>
        <v>6258346.1358050052</v>
      </c>
    </row>
    <row r="460" spans="1:44" x14ac:dyDescent="0.25">
      <c r="A460" s="30" t="str">
        <f t="shared" si="324"/>
        <v>Residual value (vehicle)</v>
      </c>
      <c r="B460" s="62">
        <f t="shared" si="325"/>
        <v>-505775.93556100863</v>
      </c>
      <c r="C460" s="62">
        <f t="shared" si="326"/>
        <v>-508249.01978749514</v>
      </c>
      <c r="D460" s="62">
        <f t="shared" si="327"/>
        <v>-511760.44486805983</v>
      </c>
      <c r="E460" s="62">
        <f t="shared" si="328"/>
        <v>-516723.50679303159</v>
      </c>
      <c r="F460" s="62">
        <f t="shared" si="329"/>
        <v>-523691.55619463779</v>
      </c>
      <c r="G460" s="62">
        <f t="shared" si="330"/>
        <v>-533379.67434313102</v>
      </c>
      <c r="H460" s="62">
        <f t="shared" si="331"/>
        <v>-546661.72189149424</v>
      </c>
      <c r="I460" s="62">
        <f t="shared" si="332"/>
        <v>-564511.37054981932</v>
      </c>
      <c r="J460" s="62">
        <f t="shared" si="333"/>
        <v>-587844.30964477046</v>
      </c>
      <c r="K460" s="62">
        <f t="shared" si="334"/>
        <v>-617228.20265627897</v>
      </c>
      <c r="L460" s="62">
        <f t="shared" si="335"/>
        <v>-652488.03080530826</v>
      </c>
      <c r="M460" s="62">
        <f t="shared" si="336"/>
        <v>-692358.91552128317</v>
      </c>
      <c r="N460" s="62">
        <f t="shared" si="337"/>
        <v>-734450.44492981408</v>
      </c>
      <c r="O460" s="62">
        <f t="shared" si="338"/>
        <v>-775713.6917695828</v>
      </c>
      <c r="P460" s="62">
        <f t="shared" si="339"/>
        <v>-813276.4747121135</v>
      </c>
      <c r="Q460" s="62">
        <f t="shared" si="340"/>
        <v>-845199.49117010995</v>
      </c>
      <c r="R460" s="62">
        <f t="shared" si="341"/>
        <v>-870764.11026463285</v>
      </c>
      <c r="S460" s="62">
        <f t="shared" si="342"/>
        <v>-890271.04927251884</v>
      </c>
      <c r="T460" s="62">
        <f t="shared" si="343"/>
        <v>-904610.21390208486</v>
      </c>
      <c r="U460" s="62">
        <f t="shared" si="344"/>
        <v>-914862.50917234272</v>
      </c>
      <c r="V460" s="62">
        <f t="shared" si="345"/>
        <v>-922047.85410141107</v>
      </c>
      <c r="W460" s="62">
        <f t="shared" si="346"/>
        <v>-927013.36909321207</v>
      </c>
      <c r="X460" s="62">
        <f t="shared" si="347"/>
        <v>-930411.51844320446</v>
      </c>
      <c r="Y460" s="62">
        <f t="shared" si="348"/>
        <v>-932721.51975320256</v>
      </c>
      <c r="Z460" s="62">
        <f t="shared" si="349"/>
        <v>-934284.67193535855</v>
      </c>
      <c r="AA460" s="62">
        <f t="shared" si="350"/>
        <v>-935339.17602940369</v>
      </c>
      <c r="AB460" s="62">
        <f t="shared" si="351"/>
        <v>-936049.06294718315</v>
      </c>
      <c r="AC460" s="62">
        <f t="shared" si="352"/>
        <v>-936526.28415608278</v>
      </c>
    </row>
    <row r="461" spans="1:44" x14ac:dyDescent="0.25">
      <c r="A461" s="30" t="str">
        <f t="shared" si="324"/>
        <v>Capex costumization</v>
      </c>
      <c r="B461" s="62">
        <f t="shared" si="325"/>
        <v>3500000</v>
      </c>
      <c r="C461" s="62">
        <f t="shared" si="326"/>
        <v>3500000</v>
      </c>
      <c r="D461" s="62">
        <f t="shared" si="327"/>
        <v>3500000</v>
      </c>
      <c r="E461" s="62">
        <f t="shared" si="328"/>
        <v>3500000</v>
      </c>
      <c r="F461" s="62">
        <f t="shared" si="329"/>
        <v>3500000</v>
      </c>
      <c r="G461" s="62">
        <f t="shared" si="330"/>
        <v>3500000</v>
      </c>
      <c r="H461" s="62">
        <f t="shared" si="331"/>
        <v>3500000</v>
      </c>
      <c r="I461" s="62">
        <f t="shared" si="332"/>
        <v>3500000</v>
      </c>
      <c r="J461" s="62">
        <f t="shared" si="333"/>
        <v>3500000</v>
      </c>
      <c r="K461" s="62">
        <f t="shared" si="334"/>
        <v>3500000</v>
      </c>
      <c r="L461" s="62">
        <f t="shared" si="335"/>
        <v>3500000</v>
      </c>
      <c r="M461" s="62">
        <f t="shared" si="336"/>
        <v>3500000</v>
      </c>
      <c r="N461" s="62">
        <f t="shared" si="337"/>
        <v>3500000</v>
      </c>
      <c r="O461" s="62">
        <f t="shared" si="338"/>
        <v>3500000</v>
      </c>
      <c r="P461" s="62">
        <f t="shared" si="339"/>
        <v>3500000</v>
      </c>
      <c r="Q461" s="62">
        <f t="shared" si="340"/>
        <v>3500000</v>
      </c>
      <c r="R461" s="62">
        <f t="shared" si="341"/>
        <v>3500000</v>
      </c>
      <c r="S461" s="62">
        <f t="shared" si="342"/>
        <v>3500000</v>
      </c>
      <c r="T461" s="62">
        <f t="shared" si="343"/>
        <v>3500000</v>
      </c>
      <c r="U461" s="62">
        <f t="shared" si="344"/>
        <v>3500000</v>
      </c>
      <c r="V461" s="62">
        <f t="shared" si="345"/>
        <v>3500000</v>
      </c>
      <c r="W461" s="62">
        <f t="shared" si="346"/>
        <v>3500000</v>
      </c>
      <c r="X461" s="62">
        <f t="shared" si="347"/>
        <v>3500000</v>
      </c>
      <c r="Y461" s="62">
        <f t="shared" si="348"/>
        <v>3500000</v>
      </c>
      <c r="Z461" s="62">
        <f t="shared" si="349"/>
        <v>3500000</v>
      </c>
      <c r="AA461" s="62">
        <f t="shared" si="350"/>
        <v>3500000</v>
      </c>
      <c r="AB461" s="62">
        <f t="shared" si="351"/>
        <v>3500000</v>
      </c>
      <c r="AC461" s="62">
        <f t="shared" si="352"/>
        <v>3500000</v>
      </c>
    </row>
    <row r="462" spans="1:44" x14ac:dyDescent="0.25">
      <c r="A462" s="30" t="str">
        <f t="shared" si="324"/>
        <v>Residual value (costumization)</v>
      </c>
      <c r="B462" s="62">
        <f t="shared" si="325"/>
        <v>-175000</v>
      </c>
      <c r="C462" s="62">
        <f t="shared" si="326"/>
        <v>-175000</v>
      </c>
      <c r="D462" s="62">
        <f t="shared" si="327"/>
        <v>-175000</v>
      </c>
      <c r="E462" s="62">
        <f t="shared" si="328"/>
        <v>-175000</v>
      </c>
      <c r="F462" s="62">
        <f t="shared" si="329"/>
        <v>-175000</v>
      </c>
      <c r="G462" s="62">
        <f t="shared" si="330"/>
        <v>-175000</v>
      </c>
      <c r="H462" s="62">
        <f t="shared" si="331"/>
        <v>-175000</v>
      </c>
      <c r="I462" s="62">
        <f t="shared" si="332"/>
        <v>-175000</v>
      </c>
      <c r="J462" s="62">
        <f t="shared" si="333"/>
        <v>-175000</v>
      </c>
      <c r="K462" s="62">
        <f t="shared" si="334"/>
        <v>-175000</v>
      </c>
      <c r="L462" s="62">
        <f t="shared" si="335"/>
        <v>-175000</v>
      </c>
      <c r="M462" s="62">
        <f t="shared" si="336"/>
        <v>-175000</v>
      </c>
      <c r="N462" s="62">
        <f t="shared" si="337"/>
        <v>-175000</v>
      </c>
      <c r="O462" s="62">
        <f t="shared" si="338"/>
        <v>-175000</v>
      </c>
      <c r="P462" s="62">
        <f t="shared" si="339"/>
        <v>-175000</v>
      </c>
      <c r="Q462" s="62">
        <f t="shared" si="340"/>
        <v>-175000</v>
      </c>
      <c r="R462" s="62">
        <f t="shared" si="341"/>
        <v>-175000</v>
      </c>
      <c r="S462" s="62">
        <f t="shared" si="342"/>
        <v>-175000</v>
      </c>
      <c r="T462" s="62">
        <f t="shared" si="343"/>
        <v>-175000</v>
      </c>
      <c r="U462" s="62">
        <f t="shared" si="344"/>
        <v>-175000</v>
      </c>
      <c r="V462" s="62">
        <f t="shared" si="345"/>
        <v>-175000</v>
      </c>
      <c r="W462" s="62">
        <f t="shared" si="346"/>
        <v>-175000</v>
      </c>
      <c r="X462" s="62">
        <f t="shared" si="347"/>
        <v>-175000</v>
      </c>
      <c r="Y462" s="62">
        <f t="shared" si="348"/>
        <v>-175000</v>
      </c>
      <c r="Z462" s="62">
        <f t="shared" si="349"/>
        <v>-175000</v>
      </c>
      <c r="AA462" s="62">
        <f t="shared" si="350"/>
        <v>-175000</v>
      </c>
      <c r="AB462" s="62">
        <f t="shared" si="351"/>
        <v>-175000</v>
      </c>
      <c r="AC462" s="62">
        <f t="shared" si="352"/>
        <v>-175000</v>
      </c>
    </row>
    <row r="463" spans="1:44" x14ac:dyDescent="0.25">
      <c r="A463" s="30" t="str">
        <f t="shared" si="324"/>
        <v>WACC</v>
      </c>
      <c r="B463" s="62">
        <f t="shared" si="325"/>
        <v>0.06</v>
      </c>
      <c r="C463" s="62">
        <f t="shared" si="326"/>
        <v>0.06</v>
      </c>
      <c r="D463" s="62">
        <f t="shared" si="327"/>
        <v>0.06</v>
      </c>
      <c r="E463" s="62">
        <f t="shared" si="328"/>
        <v>0.06</v>
      </c>
      <c r="F463" s="62">
        <f t="shared" si="329"/>
        <v>0.06</v>
      </c>
      <c r="G463" s="62">
        <f t="shared" si="330"/>
        <v>0.06</v>
      </c>
      <c r="H463" s="62">
        <f t="shared" si="331"/>
        <v>0.06</v>
      </c>
      <c r="I463" s="62">
        <f t="shared" si="332"/>
        <v>0.06</v>
      </c>
      <c r="J463" s="62">
        <f t="shared" si="333"/>
        <v>0.06</v>
      </c>
      <c r="K463" s="62">
        <f t="shared" si="334"/>
        <v>0.06</v>
      </c>
      <c r="L463" s="62">
        <f t="shared" si="335"/>
        <v>0.06</v>
      </c>
      <c r="M463" s="62">
        <f t="shared" si="336"/>
        <v>0.06</v>
      </c>
      <c r="N463" s="62">
        <f t="shared" si="337"/>
        <v>0.06</v>
      </c>
      <c r="O463" s="62">
        <f t="shared" si="338"/>
        <v>0.06</v>
      </c>
      <c r="P463" s="62">
        <f t="shared" si="339"/>
        <v>0.06</v>
      </c>
      <c r="Q463" s="62">
        <f t="shared" si="340"/>
        <v>0.06</v>
      </c>
      <c r="R463" s="62">
        <f t="shared" si="341"/>
        <v>0.06</v>
      </c>
      <c r="S463" s="62">
        <f t="shared" si="342"/>
        <v>0.06</v>
      </c>
      <c r="T463" s="62">
        <f t="shared" si="343"/>
        <v>0.06</v>
      </c>
      <c r="U463" s="62">
        <f t="shared" si="344"/>
        <v>0.06</v>
      </c>
      <c r="V463" s="62">
        <f t="shared" si="345"/>
        <v>0.06</v>
      </c>
      <c r="W463" s="62">
        <f t="shared" si="346"/>
        <v>0.06</v>
      </c>
      <c r="X463" s="62">
        <f t="shared" si="347"/>
        <v>0.06</v>
      </c>
      <c r="Y463" s="62">
        <f t="shared" si="348"/>
        <v>0.06</v>
      </c>
      <c r="Z463" s="62">
        <f t="shared" si="349"/>
        <v>0.06</v>
      </c>
      <c r="AA463" s="62">
        <f t="shared" si="350"/>
        <v>0.06</v>
      </c>
      <c r="AB463" s="62">
        <f t="shared" si="351"/>
        <v>0.06</v>
      </c>
      <c r="AC463" s="62">
        <f t="shared" si="352"/>
        <v>0.06</v>
      </c>
    </row>
    <row r="464" spans="1:44" x14ac:dyDescent="0.25">
      <c r="A464" s="30" t="str">
        <f t="shared" si="324"/>
        <v>Opex fix (admin, crew, insurance)</v>
      </c>
      <c r="B464" s="62">
        <f t="shared" si="325"/>
        <v>650000</v>
      </c>
      <c r="C464" s="62">
        <f t="shared" si="326"/>
        <v>650000</v>
      </c>
      <c r="D464" s="62">
        <f t="shared" si="327"/>
        <v>650000</v>
      </c>
      <c r="E464" s="62">
        <f t="shared" si="328"/>
        <v>650000</v>
      </c>
      <c r="F464" s="62">
        <f t="shared" si="329"/>
        <v>650000</v>
      </c>
      <c r="G464" s="62">
        <f t="shared" si="330"/>
        <v>650000</v>
      </c>
      <c r="H464" s="62">
        <f t="shared" si="331"/>
        <v>650000</v>
      </c>
      <c r="I464" s="62">
        <f t="shared" si="332"/>
        <v>650000</v>
      </c>
      <c r="J464" s="62">
        <f t="shared" si="333"/>
        <v>650000</v>
      </c>
      <c r="K464" s="62">
        <f t="shared" si="334"/>
        <v>650000</v>
      </c>
      <c r="L464" s="62">
        <f t="shared" si="335"/>
        <v>650000</v>
      </c>
      <c r="M464" s="62">
        <f t="shared" si="336"/>
        <v>650000</v>
      </c>
      <c r="N464" s="62">
        <f t="shared" si="337"/>
        <v>650000</v>
      </c>
      <c r="O464" s="62">
        <f t="shared" si="338"/>
        <v>650000</v>
      </c>
      <c r="P464" s="62">
        <f t="shared" si="339"/>
        <v>650000</v>
      </c>
      <c r="Q464" s="62">
        <f t="shared" si="340"/>
        <v>650000</v>
      </c>
      <c r="R464" s="62">
        <f t="shared" si="341"/>
        <v>650000</v>
      </c>
      <c r="S464" s="62">
        <f t="shared" si="342"/>
        <v>650000</v>
      </c>
      <c r="T464" s="62">
        <f t="shared" si="343"/>
        <v>650000</v>
      </c>
      <c r="U464" s="62">
        <f t="shared" si="344"/>
        <v>650000</v>
      </c>
      <c r="V464" s="62">
        <f t="shared" si="345"/>
        <v>650000</v>
      </c>
      <c r="W464" s="62">
        <f t="shared" si="346"/>
        <v>650000</v>
      </c>
      <c r="X464" s="62">
        <f t="shared" si="347"/>
        <v>650000</v>
      </c>
      <c r="Y464" s="62">
        <f t="shared" si="348"/>
        <v>650000</v>
      </c>
      <c r="Z464" s="62">
        <f t="shared" si="349"/>
        <v>650000</v>
      </c>
      <c r="AA464" s="62">
        <f t="shared" si="350"/>
        <v>650000</v>
      </c>
      <c r="AB464" s="62">
        <f t="shared" si="351"/>
        <v>650000</v>
      </c>
      <c r="AC464" s="62">
        <f t="shared" si="352"/>
        <v>650000</v>
      </c>
    </row>
    <row r="465" spans="1:29" x14ac:dyDescent="0.25">
      <c r="A465" s="30" t="str">
        <f t="shared" si="324"/>
        <v>Opex maintenance &amp; repair</v>
      </c>
      <c r="B465" s="62">
        <f t="shared" si="325"/>
        <v>1293563.9575177333</v>
      </c>
      <c r="C465" s="62">
        <f t="shared" si="326"/>
        <v>1290808.235093934</v>
      </c>
      <c r="D465" s="62">
        <f t="shared" si="327"/>
        <v>1286895.5042898762</v>
      </c>
      <c r="E465" s="62">
        <f t="shared" si="328"/>
        <v>1281365.2352877648</v>
      </c>
      <c r="F465" s="62">
        <f t="shared" si="329"/>
        <v>1273600.837383118</v>
      </c>
      <c r="G465" s="62">
        <f t="shared" si="330"/>
        <v>1262805.5057319398</v>
      </c>
      <c r="H465" s="62">
        <f t="shared" si="331"/>
        <v>1248005.5098923349</v>
      </c>
      <c r="I465" s="62">
        <f t="shared" si="332"/>
        <v>1228115.9013873441</v>
      </c>
      <c r="J465" s="62">
        <f t="shared" si="333"/>
        <v>1202116.3406815415</v>
      </c>
      <c r="K465" s="62">
        <f t="shared" si="334"/>
        <v>1169374.2884687176</v>
      </c>
      <c r="L465" s="62">
        <f t="shared" si="335"/>
        <v>1130084.7656740851</v>
      </c>
      <c r="M465" s="62">
        <f t="shared" si="336"/>
        <v>1085657.2084191416</v>
      </c>
      <c r="N465" s="62">
        <f t="shared" si="337"/>
        <v>1038755.2185067786</v>
      </c>
      <c r="O465" s="62">
        <f t="shared" si="338"/>
        <v>992776.17202817916</v>
      </c>
      <c r="P465" s="62">
        <f t="shared" si="339"/>
        <v>950920.49960650213</v>
      </c>
      <c r="Q465" s="62">
        <f t="shared" si="340"/>
        <v>915349.13841044903</v>
      </c>
      <c r="R465" s="62">
        <f t="shared" si="341"/>
        <v>886862.84856226621</v>
      </c>
      <c r="S465" s="62">
        <f t="shared" si="342"/>
        <v>865126.54509633617</v>
      </c>
      <c r="T465" s="62">
        <f t="shared" si="343"/>
        <v>849148.61879481981</v>
      </c>
      <c r="U465" s="62">
        <f t="shared" si="344"/>
        <v>837724.6326365323</v>
      </c>
      <c r="V465" s="62">
        <f t="shared" si="345"/>
        <v>829718.10542985611</v>
      </c>
      <c r="W465" s="62">
        <f t="shared" si="346"/>
        <v>824185.10301042092</v>
      </c>
      <c r="X465" s="62">
        <f t="shared" si="347"/>
        <v>820398.59373471502</v>
      </c>
      <c r="Y465" s="62">
        <f t="shared" si="348"/>
        <v>817824.59227500285</v>
      </c>
      <c r="Z465" s="62">
        <f t="shared" si="349"/>
        <v>816082.79412917187</v>
      </c>
      <c r="AA465" s="62">
        <f t="shared" si="350"/>
        <v>814907.77528152149</v>
      </c>
      <c r="AB465" s="62">
        <f t="shared" si="351"/>
        <v>814116.75843028165</v>
      </c>
      <c r="AC465" s="62">
        <f t="shared" si="352"/>
        <v>813584.99765465059</v>
      </c>
    </row>
    <row r="466" spans="1:29" x14ac:dyDescent="0.25">
      <c r="A466" s="30" t="str">
        <f t="shared" si="324"/>
        <v>Opex var (mode-fees, shunting)</v>
      </c>
      <c r="B466" s="62">
        <f t="shared" si="325"/>
        <v>3.9215686274509802</v>
      </c>
      <c r="C466" s="62">
        <f t="shared" si="326"/>
        <v>3.9215686274509802</v>
      </c>
      <c r="D466" s="62">
        <f t="shared" si="327"/>
        <v>3.9215686274509802</v>
      </c>
      <c r="E466" s="62">
        <f t="shared" si="328"/>
        <v>3.9215686274509802</v>
      </c>
      <c r="F466" s="62">
        <f t="shared" si="329"/>
        <v>3.9215686274509802</v>
      </c>
      <c r="G466" s="62">
        <f t="shared" si="330"/>
        <v>3.9215686274509802</v>
      </c>
      <c r="H466" s="62">
        <f t="shared" si="331"/>
        <v>3.9215686274509802</v>
      </c>
      <c r="I466" s="62">
        <f t="shared" si="332"/>
        <v>3.9215686274509802</v>
      </c>
      <c r="J466" s="62">
        <f t="shared" si="333"/>
        <v>3.9215686274509802</v>
      </c>
      <c r="K466" s="62">
        <f t="shared" si="334"/>
        <v>3.9215686274509802</v>
      </c>
      <c r="L466" s="62">
        <f t="shared" si="335"/>
        <v>3.9215686274509802</v>
      </c>
      <c r="M466" s="62">
        <f t="shared" si="336"/>
        <v>3.9215686274509802</v>
      </c>
      <c r="N466" s="62">
        <f t="shared" si="337"/>
        <v>3.9215686274509802</v>
      </c>
      <c r="O466" s="62">
        <f t="shared" si="338"/>
        <v>3.9215686274509802</v>
      </c>
      <c r="P466" s="62">
        <f t="shared" si="339"/>
        <v>3.9215686274509802</v>
      </c>
      <c r="Q466" s="62">
        <f t="shared" si="340"/>
        <v>3.9215686274509802</v>
      </c>
      <c r="R466" s="62">
        <f t="shared" si="341"/>
        <v>3.9215686274509802</v>
      </c>
      <c r="S466" s="62">
        <f t="shared" si="342"/>
        <v>3.9215686274509802</v>
      </c>
      <c r="T466" s="62">
        <f t="shared" si="343"/>
        <v>3.9215686274509802</v>
      </c>
      <c r="U466" s="62">
        <f t="shared" si="344"/>
        <v>3.9215686274509802</v>
      </c>
      <c r="V466" s="62">
        <f t="shared" si="345"/>
        <v>3.9215686274509802</v>
      </c>
      <c r="W466" s="62">
        <f t="shared" si="346"/>
        <v>3.9215686274509802</v>
      </c>
      <c r="X466" s="62">
        <f t="shared" si="347"/>
        <v>3.9215686274509802</v>
      </c>
      <c r="Y466" s="62">
        <f t="shared" si="348"/>
        <v>3.9215686274509802</v>
      </c>
      <c r="Z466" s="62">
        <f t="shared" si="349"/>
        <v>3.9215686274509802</v>
      </c>
      <c r="AA466" s="62">
        <f t="shared" si="350"/>
        <v>3.9215686274509802</v>
      </c>
      <c r="AB466" s="62">
        <f t="shared" si="351"/>
        <v>3.9215686274509802</v>
      </c>
      <c r="AC466" s="62">
        <f t="shared" si="352"/>
        <v>3.9215686274509802</v>
      </c>
    </row>
    <row r="467" spans="1:29" x14ac:dyDescent="0.25">
      <c r="A467" s="30" t="str">
        <f t="shared" si="324"/>
        <v>Fuel Economy</v>
      </c>
      <c r="B467" s="62">
        <f t="shared" si="325"/>
        <v>33.590199999999996</v>
      </c>
      <c r="C467" s="62">
        <f t="shared" si="326"/>
        <v>33.590199999999996</v>
      </c>
      <c r="D467" s="62">
        <f t="shared" si="327"/>
        <v>33.590199999999996</v>
      </c>
      <c r="E467" s="62">
        <f t="shared" si="328"/>
        <v>33.590199999999996</v>
      </c>
      <c r="F467" s="62">
        <f t="shared" si="329"/>
        <v>33.590199999999996</v>
      </c>
      <c r="G467" s="62">
        <f t="shared" si="330"/>
        <v>33.590199999999996</v>
      </c>
      <c r="H467" s="62">
        <f t="shared" si="331"/>
        <v>33.590199999999996</v>
      </c>
      <c r="I467" s="62">
        <f t="shared" si="332"/>
        <v>33.590199999999996</v>
      </c>
      <c r="J467" s="62">
        <f t="shared" si="333"/>
        <v>33.590199999999996</v>
      </c>
      <c r="K467" s="62">
        <f t="shared" si="334"/>
        <v>33.590199999999996</v>
      </c>
      <c r="L467" s="62">
        <f t="shared" si="335"/>
        <v>33.590199999999996</v>
      </c>
      <c r="M467" s="62">
        <f t="shared" si="336"/>
        <v>33.590199999999996</v>
      </c>
      <c r="N467" s="62">
        <f t="shared" si="337"/>
        <v>33.590199999999996</v>
      </c>
      <c r="O467" s="62">
        <f t="shared" si="338"/>
        <v>33.590199999999996</v>
      </c>
      <c r="P467" s="62">
        <f t="shared" si="339"/>
        <v>33.590199999999996</v>
      </c>
      <c r="Q467" s="62">
        <f t="shared" si="340"/>
        <v>33.590199999999996</v>
      </c>
      <c r="R467" s="62">
        <f t="shared" si="341"/>
        <v>33.590199999999996</v>
      </c>
      <c r="S467" s="62">
        <f t="shared" si="342"/>
        <v>33.590199999999996</v>
      </c>
      <c r="T467" s="62">
        <f t="shared" si="343"/>
        <v>33.590199999999996</v>
      </c>
      <c r="U467" s="62">
        <f t="shared" si="344"/>
        <v>33.590199999999996</v>
      </c>
      <c r="V467" s="62">
        <f t="shared" si="345"/>
        <v>33.590199999999996</v>
      </c>
      <c r="W467" s="62">
        <f t="shared" si="346"/>
        <v>33.590199999999996</v>
      </c>
      <c r="X467" s="62">
        <f t="shared" si="347"/>
        <v>33.590199999999996</v>
      </c>
      <c r="Y467" s="62">
        <f t="shared" si="348"/>
        <v>33.590199999999996</v>
      </c>
      <c r="Z467" s="62">
        <f t="shared" si="349"/>
        <v>33.590199999999996</v>
      </c>
      <c r="AA467" s="62">
        <f t="shared" si="350"/>
        <v>33.590199999999996</v>
      </c>
      <c r="AB467" s="62">
        <f t="shared" si="351"/>
        <v>33.590199999999996</v>
      </c>
      <c r="AC467" s="62">
        <f t="shared" si="352"/>
        <v>33.590199999999996</v>
      </c>
    </row>
    <row r="468" spans="1:29" x14ac:dyDescent="0.25">
      <c r="A468" s="30" t="str">
        <f t="shared" si="324"/>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353">A449</f>
        <v>Emission Cost</v>
      </c>
      <c r="B469" s="66">
        <f>$B449+($C449-$B449)*(1-Q449)</f>
        <v>0</v>
      </c>
      <c r="C469" s="66">
        <f t="shared" ref="C469:AC469" si="354">$B449+($C449-$B449)*(1-R449)</f>
        <v>0</v>
      </c>
      <c r="D469" s="66">
        <f t="shared" si="354"/>
        <v>0</v>
      </c>
      <c r="E469" s="66">
        <f t="shared" si="354"/>
        <v>0</v>
      </c>
      <c r="F469" s="66">
        <f t="shared" si="354"/>
        <v>0</v>
      </c>
      <c r="G469" s="66">
        <f t="shared" si="354"/>
        <v>0</v>
      </c>
      <c r="H469" s="66">
        <f t="shared" si="354"/>
        <v>0</v>
      </c>
      <c r="I469" s="66">
        <f t="shared" si="354"/>
        <v>0</v>
      </c>
      <c r="J469" s="66">
        <f t="shared" si="354"/>
        <v>0</v>
      </c>
      <c r="K469" s="66">
        <f t="shared" si="354"/>
        <v>0</v>
      </c>
      <c r="L469" s="66">
        <f t="shared" si="354"/>
        <v>0</v>
      </c>
      <c r="M469" s="66">
        <f t="shared" si="354"/>
        <v>0</v>
      </c>
      <c r="N469" s="66">
        <f t="shared" si="354"/>
        <v>0</v>
      </c>
      <c r="O469" s="66">
        <f t="shared" si="354"/>
        <v>0</v>
      </c>
      <c r="P469" s="66">
        <f t="shared" si="354"/>
        <v>0</v>
      </c>
      <c r="Q469" s="66">
        <f t="shared" si="354"/>
        <v>0</v>
      </c>
      <c r="R469" s="66">
        <f t="shared" si="354"/>
        <v>0</v>
      </c>
      <c r="S469" s="66">
        <f t="shared" si="354"/>
        <v>0</v>
      </c>
      <c r="T469" s="66">
        <f t="shared" si="354"/>
        <v>0</v>
      </c>
      <c r="U469" s="66">
        <f t="shared" si="354"/>
        <v>0</v>
      </c>
      <c r="V469" s="66">
        <f t="shared" si="354"/>
        <v>0</v>
      </c>
      <c r="W469" s="66">
        <f t="shared" si="354"/>
        <v>0</v>
      </c>
      <c r="X469" s="66">
        <f t="shared" si="354"/>
        <v>0</v>
      </c>
      <c r="Y469" s="66">
        <f t="shared" si="354"/>
        <v>0</v>
      </c>
      <c r="Z469" s="66">
        <f t="shared" si="354"/>
        <v>0</v>
      </c>
      <c r="AA469" s="66">
        <f t="shared" si="354"/>
        <v>0</v>
      </c>
      <c r="AB469" s="66">
        <f t="shared" si="354"/>
        <v>0</v>
      </c>
      <c r="AC469" s="66">
        <f t="shared" si="354"/>
        <v>0</v>
      </c>
    </row>
    <row r="470" spans="1:29" x14ac:dyDescent="0.25">
      <c r="A470" s="30" t="str">
        <f>A450</f>
        <v>Lifetime vehicle</v>
      </c>
      <c r="B470" s="62">
        <f>$B450+($C450-$B450)*(1-Q450)</f>
        <v>20</v>
      </c>
      <c r="C470" s="62">
        <f t="shared" ref="C470:L472" si="355">$B450+($C450-$B450)*(1-R450)</f>
        <v>20</v>
      </c>
      <c r="D470" s="62">
        <f t="shared" si="355"/>
        <v>20</v>
      </c>
      <c r="E470" s="62">
        <f t="shared" si="355"/>
        <v>20</v>
      </c>
      <c r="F470" s="62">
        <f t="shared" si="355"/>
        <v>20</v>
      </c>
      <c r="G470" s="62">
        <f t="shared" si="355"/>
        <v>20</v>
      </c>
      <c r="H470" s="62">
        <f t="shared" si="355"/>
        <v>20</v>
      </c>
      <c r="I470" s="62">
        <f t="shared" si="355"/>
        <v>20</v>
      </c>
      <c r="J470" s="62">
        <f t="shared" si="355"/>
        <v>20</v>
      </c>
      <c r="K470" s="62">
        <f t="shared" si="355"/>
        <v>20</v>
      </c>
      <c r="L470" s="62">
        <f t="shared" si="355"/>
        <v>20</v>
      </c>
      <c r="M470" s="62">
        <f t="shared" ref="M470:V472" si="356">$B450+($C450-$B450)*(1-AB450)</f>
        <v>20</v>
      </c>
      <c r="N470" s="62">
        <f t="shared" si="356"/>
        <v>20</v>
      </c>
      <c r="O470" s="62">
        <f t="shared" si="356"/>
        <v>20</v>
      </c>
      <c r="P470" s="62">
        <f t="shared" si="356"/>
        <v>20</v>
      </c>
      <c r="Q470" s="62">
        <f t="shared" si="356"/>
        <v>20</v>
      </c>
      <c r="R470" s="62">
        <f t="shared" si="356"/>
        <v>20</v>
      </c>
      <c r="S470" s="62">
        <f t="shared" si="356"/>
        <v>20</v>
      </c>
      <c r="T470" s="62">
        <f t="shared" si="356"/>
        <v>20</v>
      </c>
      <c r="U470" s="62">
        <f t="shared" si="356"/>
        <v>20</v>
      </c>
      <c r="V470" s="62">
        <f t="shared" si="356"/>
        <v>20</v>
      </c>
      <c r="W470" s="62">
        <f t="shared" ref="W470:AC472" si="357">$B450+($C450-$B450)*(1-AL450)</f>
        <v>20</v>
      </c>
      <c r="X470" s="62">
        <f t="shared" si="357"/>
        <v>20</v>
      </c>
      <c r="Y470" s="62">
        <f t="shared" si="357"/>
        <v>20</v>
      </c>
      <c r="Z470" s="62">
        <f t="shared" si="357"/>
        <v>20</v>
      </c>
      <c r="AA470" s="62">
        <f t="shared" si="357"/>
        <v>20</v>
      </c>
      <c r="AB470" s="62">
        <f t="shared" si="357"/>
        <v>20</v>
      </c>
      <c r="AC470" s="62">
        <f t="shared" si="357"/>
        <v>20</v>
      </c>
    </row>
    <row r="471" spans="1:29" x14ac:dyDescent="0.25">
      <c r="A471" s="30" t="str">
        <f>A451</f>
        <v>Lifetime costumization</v>
      </c>
      <c r="B471" s="62">
        <f>$B451+($C451-$B451)*(1-Q451)</f>
        <v>30</v>
      </c>
      <c r="C471" s="62">
        <f t="shared" si="355"/>
        <v>30</v>
      </c>
      <c r="D471" s="62">
        <f t="shared" si="355"/>
        <v>30</v>
      </c>
      <c r="E471" s="62">
        <f t="shared" si="355"/>
        <v>30</v>
      </c>
      <c r="F471" s="62">
        <f t="shared" si="355"/>
        <v>30</v>
      </c>
      <c r="G471" s="62">
        <f t="shared" si="355"/>
        <v>30</v>
      </c>
      <c r="H471" s="62">
        <f t="shared" si="355"/>
        <v>30</v>
      </c>
      <c r="I471" s="62">
        <f t="shared" si="355"/>
        <v>30</v>
      </c>
      <c r="J471" s="62">
        <f t="shared" si="355"/>
        <v>30</v>
      </c>
      <c r="K471" s="62">
        <f t="shared" si="355"/>
        <v>30</v>
      </c>
      <c r="L471" s="62">
        <f t="shared" si="355"/>
        <v>30</v>
      </c>
      <c r="M471" s="62">
        <f t="shared" si="356"/>
        <v>30</v>
      </c>
      <c r="N471" s="62">
        <f t="shared" si="356"/>
        <v>30</v>
      </c>
      <c r="O471" s="62">
        <f t="shared" si="356"/>
        <v>30</v>
      </c>
      <c r="P471" s="62">
        <f t="shared" si="356"/>
        <v>30</v>
      </c>
      <c r="Q471" s="62">
        <f t="shared" si="356"/>
        <v>30</v>
      </c>
      <c r="R471" s="62">
        <f t="shared" si="356"/>
        <v>30</v>
      </c>
      <c r="S471" s="62">
        <f t="shared" si="356"/>
        <v>30</v>
      </c>
      <c r="T471" s="62">
        <f t="shared" si="356"/>
        <v>30</v>
      </c>
      <c r="U471" s="62">
        <f t="shared" si="356"/>
        <v>30</v>
      </c>
      <c r="V471" s="62">
        <f t="shared" si="356"/>
        <v>30</v>
      </c>
      <c r="W471" s="62">
        <f t="shared" si="357"/>
        <v>30</v>
      </c>
      <c r="X471" s="62">
        <f t="shared" si="357"/>
        <v>30</v>
      </c>
      <c r="Y471" s="62">
        <f t="shared" si="357"/>
        <v>30</v>
      </c>
      <c r="Z471" s="62">
        <f t="shared" si="357"/>
        <v>30</v>
      </c>
      <c r="AA471" s="62">
        <f t="shared" si="357"/>
        <v>30</v>
      </c>
      <c r="AB471" s="62">
        <f t="shared" si="357"/>
        <v>30</v>
      </c>
      <c r="AC471" s="62">
        <f t="shared" si="357"/>
        <v>30</v>
      </c>
    </row>
    <row r="472" spans="1:29" x14ac:dyDescent="0.25">
      <c r="A472" s="30" t="str">
        <f>A452</f>
        <v>Tonnage .</v>
      </c>
      <c r="B472" s="62">
        <f>$B452+($C452-$B452)*(1-Q452)</f>
        <v>2800</v>
      </c>
      <c r="C472" s="62">
        <f t="shared" si="355"/>
        <v>2800</v>
      </c>
      <c r="D472" s="62">
        <f t="shared" si="355"/>
        <v>2800</v>
      </c>
      <c r="E472" s="62">
        <f t="shared" si="355"/>
        <v>2800</v>
      </c>
      <c r="F472" s="62">
        <f t="shared" si="355"/>
        <v>2800</v>
      </c>
      <c r="G472" s="62">
        <f t="shared" si="355"/>
        <v>2800</v>
      </c>
      <c r="H472" s="62">
        <f t="shared" si="355"/>
        <v>2800</v>
      </c>
      <c r="I472" s="62">
        <f t="shared" si="355"/>
        <v>2800</v>
      </c>
      <c r="J472" s="62">
        <f t="shared" si="355"/>
        <v>2800</v>
      </c>
      <c r="K472" s="62">
        <f t="shared" si="355"/>
        <v>2800</v>
      </c>
      <c r="L472" s="62">
        <f t="shared" si="355"/>
        <v>2800</v>
      </c>
      <c r="M472" s="62">
        <f t="shared" si="356"/>
        <v>2800</v>
      </c>
      <c r="N472" s="62">
        <f t="shared" si="356"/>
        <v>2800</v>
      </c>
      <c r="O472" s="62">
        <f t="shared" si="356"/>
        <v>2800</v>
      </c>
      <c r="P472" s="62">
        <f t="shared" si="356"/>
        <v>2800</v>
      </c>
      <c r="Q472" s="62">
        <f t="shared" si="356"/>
        <v>2800</v>
      </c>
      <c r="R472" s="62">
        <f t="shared" si="356"/>
        <v>2800</v>
      </c>
      <c r="S472" s="62">
        <f t="shared" si="356"/>
        <v>2800</v>
      </c>
      <c r="T472" s="62">
        <f t="shared" si="356"/>
        <v>2800</v>
      </c>
      <c r="U472" s="62">
        <f t="shared" si="356"/>
        <v>2800</v>
      </c>
      <c r="V472" s="62">
        <f t="shared" si="356"/>
        <v>2800</v>
      </c>
      <c r="W472" s="62">
        <f t="shared" si="357"/>
        <v>2800</v>
      </c>
      <c r="X472" s="62">
        <f t="shared" si="357"/>
        <v>2800</v>
      </c>
      <c r="Y472" s="62">
        <f t="shared" si="357"/>
        <v>2800</v>
      </c>
      <c r="Z472" s="62">
        <f t="shared" si="357"/>
        <v>2800</v>
      </c>
      <c r="AA472" s="62">
        <f t="shared" si="357"/>
        <v>2800</v>
      </c>
      <c r="AB472" s="62">
        <f t="shared" si="357"/>
        <v>2800</v>
      </c>
      <c r="AC472" s="62">
        <f t="shared" si="357"/>
        <v>2800</v>
      </c>
    </row>
    <row r="473" spans="1:29" x14ac:dyDescent="0.25">
      <c r="A473" s="30" t="str">
        <f>A453</f>
        <v>Market failure (av. utilization)</v>
      </c>
      <c r="B473" s="62">
        <f t="shared" ref="B473:K474" si="358">($B453+($C453-$B453)*(1-Q453))*B$44</f>
        <v>955.73333333333335</v>
      </c>
      <c r="C473" s="62">
        <f t="shared" si="358"/>
        <v>955.73333333333335</v>
      </c>
      <c r="D473" s="62">
        <f t="shared" si="358"/>
        <v>955.73333333333335</v>
      </c>
      <c r="E473" s="62">
        <f t="shared" si="358"/>
        <v>955.73333333333335</v>
      </c>
      <c r="F473" s="62">
        <f t="shared" si="358"/>
        <v>955.73333333333335</v>
      </c>
      <c r="G473" s="62">
        <f t="shared" si="358"/>
        <v>955.73333333333335</v>
      </c>
      <c r="H473" s="62">
        <f t="shared" si="358"/>
        <v>955.73333333333335</v>
      </c>
      <c r="I473" s="62">
        <f t="shared" si="358"/>
        <v>955.73333333333335</v>
      </c>
      <c r="J473" s="62">
        <f t="shared" si="358"/>
        <v>955.73333333333335</v>
      </c>
      <c r="K473" s="62">
        <f t="shared" si="358"/>
        <v>955.73333333333335</v>
      </c>
      <c r="L473" s="62">
        <f t="shared" ref="L473:U474" si="359">($B453+($C453-$B453)*(1-AA453))*L$44</f>
        <v>955.73333333333335</v>
      </c>
      <c r="M473" s="62">
        <f t="shared" si="359"/>
        <v>955.73333333333335</v>
      </c>
      <c r="N473" s="62">
        <f t="shared" si="359"/>
        <v>955.73333333333335</v>
      </c>
      <c r="O473" s="62">
        <f t="shared" si="359"/>
        <v>955.73333333333335</v>
      </c>
      <c r="P473" s="62">
        <f t="shared" si="359"/>
        <v>955.73333333333335</v>
      </c>
      <c r="Q473" s="62">
        <f t="shared" si="359"/>
        <v>955.73333333333335</v>
      </c>
      <c r="R473" s="62">
        <f t="shared" si="359"/>
        <v>955.73333333333335</v>
      </c>
      <c r="S473" s="62">
        <f t="shared" si="359"/>
        <v>955.73333333333335</v>
      </c>
      <c r="T473" s="62">
        <f t="shared" si="359"/>
        <v>955.73333333333335</v>
      </c>
      <c r="U473" s="62">
        <f t="shared" si="359"/>
        <v>955.73333333333335</v>
      </c>
      <c r="V473" s="62">
        <f t="shared" ref="V473:AC474" si="360">($B453+($C453-$B453)*(1-AK453))*V$44</f>
        <v>955.73333333333335</v>
      </c>
      <c r="W473" s="62">
        <f t="shared" si="360"/>
        <v>955.73333333333335</v>
      </c>
      <c r="X473" s="62">
        <f t="shared" si="360"/>
        <v>955.73333333333335</v>
      </c>
      <c r="Y473" s="62">
        <f t="shared" si="360"/>
        <v>955.73333333333335</v>
      </c>
      <c r="Z473" s="62">
        <f t="shared" si="360"/>
        <v>955.73333333333335</v>
      </c>
      <c r="AA473" s="62">
        <f t="shared" si="360"/>
        <v>955.73333333333335</v>
      </c>
      <c r="AB473" s="62">
        <f t="shared" si="360"/>
        <v>955.73333333333335</v>
      </c>
      <c r="AC473" s="62">
        <f t="shared" si="360"/>
        <v>955.73333333333335</v>
      </c>
    </row>
    <row r="474" spans="1:29" x14ac:dyDescent="0.25">
      <c r="A474" s="30" t="s">
        <v>73</v>
      </c>
      <c r="B474" s="62">
        <f t="shared" si="358"/>
        <v>79.471914462993496</v>
      </c>
      <c r="C474" s="62">
        <f t="shared" si="358"/>
        <v>79.245803905143291</v>
      </c>
      <c r="D474" s="62">
        <f t="shared" si="358"/>
        <v>78.924759326348806</v>
      </c>
      <c r="E474" s="62">
        <f t="shared" si="358"/>
        <v>78.470993664637106</v>
      </c>
      <c r="F474" s="62">
        <f t="shared" si="358"/>
        <v>77.833914862204551</v>
      </c>
      <c r="G474" s="62">
        <f t="shared" si="358"/>
        <v>76.948144060056592</v>
      </c>
      <c r="H474" s="62">
        <f t="shared" si="358"/>
        <v>75.733785427063381</v>
      </c>
      <c r="I474" s="62">
        <f t="shared" si="358"/>
        <v>74.101817549730796</v>
      </c>
      <c r="J474" s="62">
        <f t="shared" si="358"/>
        <v>71.968520261049548</v>
      </c>
      <c r="K474" s="62">
        <f t="shared" si="358"/>
        <v>69.281992899997348</v>
      </c>
      <c r="L474" s="62">
        <f t="shared" si="359"/>
        <v>66.058237183514677</v>
      </c>
      <c r="M474" s="62">
        <f t="shared" si="359"/>
        <v>62.412899152339826</v>
      </c>
      <c r="N474" s="62">
        <f t="shared" si="359"/>
        <v>58.564530749274141</v>
      </c>
      <c r="O474" s="62">
        <f t="shared" si="359"/>
        <v>54.79189103820957</v>
      </c>
      <c r="P474" s="62">
        <f t="shared" si="359"/>
        <v>51.357579454892473</v>
      </c>
      <c r="Q474" s="62">
        <f t="shared" si="359"/>
        <v>48.438903664447089</v>
      </c>
      <c r="R474" s="62">
        <f t="shared" si="359"/>
        <v>46.101567061519283</v>
      </c>
      <c r="S474" s="62">
        <f t="shared" si="359"/>
        <v>44.318075495083995</v>
      </c>
      <c r="T474" s="62">
        <f t="shared" si="359"/>
        <v>43.007066157523667</v>
      </c>
      <c r="U474" s="62">
        <f t="shared" si="359"/>
        <v>42.069713447100085</v>
      </c>
      <c r="V474" s="62">
        <f t="shared" si="360"/>
        <v>41.412767625013835</v>
      </c>
      <c r="W474" s="62">
        <f t="shared" si="360"/>
        <v>40.958777682906323</v>
      </c>
      <c r="X474" s="62">
        <f t="shared" si="360"/>
        <v>40.648089742335586</v>
      </c>
      <c r="Y474" s="62">
        <f t="shared" si="360"/>
        <v>40.43688962256433</v>
      </c>
      <c r="Z474" s="62">
        <f t="shared" si="360"/>
        <v>40.29397285162436</v>
      </c>
      <c r="AA474" s="62">
        <f t="shared" si="360"/>
        <v>40.197561048740226</v>
      </c>
      <c r="AB474" s="62">
        <f t="shared" si="360"/>
        <v>40.132657101971823</v>
      </c>
      <c r="AC474" s="62">
        <f t="shared" si="360"/>
        <v>40.08902544858671</v>
      </c>
    </row>
    <row r="475" spans="1:29" x14ac:dyDescent="0.25">
      <c r="A475" s="30" t="str">
        <f>A455</f>
        <v>Annual Mileage</v>
      </c>
      <c r="B475" s="62">
        <f t="shared" ref="B475:AC475" si="361">$B455+($C455-$B455)*(1-Q455)</f>
        <v>178500</v>
      </c>
      <c r="C475" s="62">
        <f t="shared" si="361"/>
        <v>178500</v>
      </c>
      <c r="D475" s="62">
        <f t="shared" si="361"/>
        <v>178500</v>
      </c>
      <c r="E475" s="62">
        <f t="shared" si="361"/>
        <v>178500</v>
      </c>
      <c r="F475" s="62">
        <f t="shared" si="361"/>
        <v>178500</v>
      </c>
      <c r="G475" s="62">
        <f t="shared" si="361"/>
        <v>178500</v>
      </c>
      <c r="H475" s="62">
        <f t="shared" si="361"/>
        <v>178500</v>
      </c>
      <c r="I475" s="62">
        <f t="shared" si="361"/>
        <v>178500</v>
      </c>
      <c r="J475" s="62">
        <f t="shared" si="361"/>
        <v>178500</v>
      </c>
      <c r="K475" s="62">
        <f t="shared" si="361"/>
        <v>178500</v>
      </c>
      <c r="L475" s="62">
        <f t="shared" si="361"/>
        <v>178500</v>
      </c>
      <c r="M475" s="62">
        <f t="shared" si="361"/>
        <v>178500</v>
      </c>
      <c r="N475" s="62">
        <f t="shared" si="361"/>
        <v>178500</v>
      </c>
      <c r="O475" s="62">
        <f t="shared" si="361"/>
        <v>178500</v>
      </c>
      <c r="P475" s="62">
        <f t="shared" si="361"/>
        <v>178500</v>
      </c>
      <c r="Q475" s="62">
        <f t="shared" si="361"/>
        <v>178500</v>
      </c>
      <c r="R475" s="62">
        <f t="shared" si="361"/>
        <v>178500</v>
      </c>
      <c r="S475" s="62">
        <f t="shared" si="361"/>
        <v>178500</v>
      </c>
      <c r="T475" s="62">
        <f t="shared" si="361"/>
        <v>178500</v>
      </c>
      <c r="U475" s="62">
        <f t="shared" si="361"/>
        <v>178500</v>
      </c>
      <c r="V475" s="62">
        <f t="shared" si="361"/>
        <v>178500</v>
      </c>
      <c r="W475" s="62">
        <f t="shared" si="361"/>
        <v>178500</v>
      </c>
      <c r="X475" s="62">
        <f t="shared" si="361"/>
        <v>178500</v>
      </c>
      <c r="Y475" s="62">
        <f t="shared" si="361"/>
        <v>178500</v>
      </c>
      <c r="Z475" s="62">
        <f t="shared" si="361"/>
        <v>178500</v>
      </c>
      <c r="AA475" s="62">
        <f t="shared" si="361"/>
        <v>178500</v>
      </c>
      <c r="AB475" s="62">
        <f t="shared" si="361"/>
        <v>178500</v>
      </c>
      <c r="AC475" s="62">
        <f t="shared" si="361"/>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2">((1+C463)^C470)*C463/(((1+C463)^C470)-1)*(C459)</f>
        <v>865681.10860566224</v>
      </c>
      <c r="D478" s="63">
        <f t="shared" si="362"/>
        <v>863057.03397703567</v>
      </c>
      <c r="E478" s="63">
        <f t="shared" si="362"/>
        <v>859348.15664694412</v>
      </c>
      <c r="F478" s="63">
        <f t="shared" si="362"/>
        <v>854140.95978918544</v>
      </c>
      <c r="G478" s="63">
        <f t="shared" si="362"/>
        <v>846901.06588590739</v>
      </c>
      <c r="H478" s="63">
        <f t="shared" si="362"/>
        <v>836975.44218948286</v>
      </c>
      <c r="I478" s="63">
        <f t="shared" si="362"/>
        <v>823636.46752832399</v>
      </c>
      <c r="J478" s="63">
        <f t="shared" si="362"/>
        <v>806199.8507457996</v>
      </c>
      <c r="K478" s="63">
        <f t="shared" si="362"/>
        <v>784241.37907896913</v>
      </c>
      <c r="L478" s="63">
        <f t="shared" si="362"/>
        <v>757891.84339680034</v>
      </c>
      <c r="M478" s="63">
        <f t="shared" si="362"/>
        <v>728096.48265190842</v>
      </c>
      <c r="N478" s="63">
        <f t="shared" si="362"/>
        <v>696641.64256081509</v>
      </c>
      <c r="O478" s="63">
        <f t="shared" si="362"/>
        <v>665805.77488808637</v>
      </c>
      <c r="P478" s="63">
        <f t="shared" si="362"/>
        <v>637735.24983383913</v>
      </c>
      <c r="Q478" s="63">
        <f t="shared" si="362"/>
        <v>613879.3008573663</v>
      </c>
      <c r="R478" s="63">
        <f t="shared" si="362"/>
        <v>594774.95808561263</v>
      </c>
      <c r="S478" s="63">
        <f t="shared" si="362"/>
        <v>580197.49663952412</v>
      </c>
      <c r="T478" s="63">
        <f t="shared" si="362"/>
        <v>569481.893362551</v>
      </c>
      <c r="U478" s="63">
        <f t="shared" si="362"/>
        <v>561820.39203855116</v>
      </c>
      <c r="V478" s="63">
        <f t="shared" si="362"/>
        <v>556450.81105826527</v>
      </c>
      <c r="W478" s="63">
        <f t="shared" si="362"/>
        <v>552740.10056064755</v>
      </c>
      <c r="X478" s="63">
        <f t="shared" si="362"/>
        <v>550200.67645533092</v>
      </c>
      <c r="Y478" s="63">
        <f t="shared" si="362"/>
        <v>548474.42124823271</v>
      </c>
      <c r="Z478" s="63">
        <f t="shared" si="362"/>
        <v>547306.28355832992</v>
      </c>
      <c r="AA478" s="63">
        <f t="shared" si="362"/>
        <v>546518.25665316184</v>
      </c>
      <c r="AB478" s="63">
        <f t="shared" si="362"/>
        <v>545987.76085518813</v>
      </c>
      <c r="AC478" s="63">
        <f t="shared" si="362"/>
        <v>545631.13525794924</v>
      </c>
    </row>
    <row r="479" spans="1:29" x14ac:dyDescent="0.25">
      <c r="A479" s="30" t="str">
        <f>A460</f>
        <v>Residual value (vehicle)</v>
      </c>
      <c r="B479" s="62">
        <f>((1+B463)^B470)*B463/(((1+B463)^B470)-1)*(B460)</f>
        <v>-44095.850871439077</v>
      </c>
      <c r="C479" s="62">
        <f t="shared" ref="C479:AC479" si="363">((1+C463)^C470)*C463/(((1+C463)^C470)-1)*(C460)</f>
        <v>-44311.465624091747</v>
      </c>
      <c r="D479" s="62">
        <f t="shared" si="363"/>
        <v>-44617.607664098185</v>
      </c>
      <c r="E479" s="62">
        <f t="shared" si="363"/>
        <v>-45050.310019275523</v>
      </c>
      <c r="F479" s="62">
        <f t="shared" si="363"/>
        <v>-45657.816319347374</v>
      </c>
      <c r="G479" s="62">
        <f t="shared" si="363"/>
        <v>-46502.470608063151</v>
      </c>
      <c r="H479" s="62">
        <f t="shared" si="363"/>
        <v>-47660.460039312675</v>
      </c>
      <c r="I479" s="62">
        <f t="shared" si="363"/>
        <v>-49216.673749781199</v>
      </c>
      <c r="J479" s="62">
        <f t="shared" si="363"/>
        <v>-51250.945707742365</v>
      </c>
      <c r="K479" s="62">
        <f t="shared" si="363"/>
        <v>-53812.767402205936</v>
      </c>
      <c r="L479" s="62">
        <f t="shared" si="363"/>
        <v>-56886.879898458967</v>
      </c>
      <c r="M479" s="62">
        <f t="shared" si="363"/>
        <v>-60363.005318696356</v>
      </c>
      <c r="N479" s="62">
        <f t="shared" si="363"/>
        <v>-64032.73666265724</v>
      </c>
      <c r="O479" s="62">
        <f t="shared" si="363"/>
        <v>-67630.254557808934</v>
      </c>
      <c r="P479" s="62">
        <f t="shared" si="363"/>
        <v>-70905.149147471107</v>
      </c>
      <c r="Q479" s="62">
        <f t="shared" si="363"/>
        <v>-73688.343194726258</v>
      </c>
      <c r="R479" s="62">
        <f t="shared" si="363"/>
        <v>-75917.183184764202</v>
      </c>
      <c r="S479" s="62">
        <f t="shared" si="363"/>
        <v>-77617.887020141206</v>
      </c>
      <c r="T479" s="62">
        <f t="shared" si="363"/>
        <v>-78868.040735788047</v>
      </c>
      <c r="U479" s="62">
        <f t="shared" si="363"/>
        <v>-79761.882556921351</v>
      </c>
      <c r="V479" s="62">
        <f t="shared" si="363"/>
        <v>-80388.333671288041</v>
      </c>
      <c r="W479" s="62">
        <f t="shared" si="363"/>
        <v>-80821.249896010122</v>
      </c>
      <c r="X479" s="62">
        <f t="shared" si="363"/>
        <v>-81117.516041630384</v>
      </c>
      <c r="Y479" s="62">
        <f t="shared" si="363"/>
        <v>-81318.912482458516</v>
      </c>
      <c r="Z479" s="62">
        <f t="shared" si="363"/>
        <v>-81455.19521294719</v>
      </c>
      <c r="AA479" s="62">
        <f t="shared" si="363"/>
        <v>-81547.131685216795</v>
      </c>
      <c r="AB479" s="62">
        <f t="shared" si="363"/>
        <v>-81609.022861647056</v>
      </c>
      <c r="AC479" s="62">
        <f t="shared" si="363"/>
        <v>-81650.629181324926</v>
      </c>
    </row>
    <row r="480" spans="1:29" x14ac:dyDescent="0.25">
      <c r="A480" s="30" t="str">
        <f>A461</f>
        <v>Capex costumization</v>
      </c>
      <c r="B480" s="62">
        <f>((1+B463)^B471)*B463/(((1+B463)^B471)-1)*(B461)</f>
        <v>254271.19021516517</v>
      </c>
      <c r="C480" s="62">
        <f t="shared" ref="C480:AC480" si="364">((1+C463)^C471)*C463/(((1+C463)^C471)-1)*(C461)</f>
        <v>254271.19021516517</v>
      </c>
      <c r="D480" s="62">
        <f t="shared" si="364"/>
        <v>254271.19021516517</v>
      </c>
      <c r="E480" s="62">
        <f t="shared" si="364"/>
        <v>254271.19021516517</v>
      </c>
      <c r="F480" s="62">
        <f t="shared" si="364"/>
        <v>254271.19021516517</v>
      </c>
      <c r="G480" s="62">
        <f t="shared" si="364"/>
        <v>254271.19021516517</v>
      </c>
      <c r="H480" s="62">
        <f t="shared" si="364"/>
        <v>254271.19021516517</v>
      </c>
      <c r="I480" s="62">
        <f t="shared" si="364"/>
        <v>254271.19021516517</v>
      </c>
      <c r="J480" s="62">
        <f t="shared" si="364"/>
        <v>254271.19021516517</v>
      </c>
      <c r="K480" s="62">
        <f t="shared" si="364"/>
        <v>254271.19021516517</v>
      </c>
      <c r="L480" s="62">
        <f t="shared" si="364"/>
        <v>254271.19021516517</v>
      </c>
      <c r="M480" s="62">
        <f t="shared" si="364"/>
        <v>254271.19021516517</v>
      </c>
      <c r="N480" s="62">
        <f t="shared" si="364"/>
        <v>254271.19021516517</v>
      </c>
      <c r="O480" s="62">
        <f t="shared" si="364"/>
        <v>254271.19021516517</v>
      </c>
      <c r="P480" s="62">
        <f t="shared" si="364"/>
        <v>254271.19021516517</v>
      </c>
      <c r="Q480" s="62">
        <f t="shared" si="364"/>
        <v>254271.19021516517</v>
      </c>
      <c r="R480" s="62">
        <f t="shared" si="364"/>
        <v>254271.19021516517</v>
      </c>
      <c r="S480" s="62">
        <f t="shared" si="364"/>
        <v>254271.19021516517</v>
      </c>
      <c r="T480" s="62">
        <f t="shared" si="364"/>
        <v>254271.19021516517</v>
      </c>
      <c r="U480" s="62">
        <f t="shared" si="364"/>
        <v>254271.19021516517</v>
      </c>
      <c r="V480" s="62">
        <f t="shared" si="364"/>
        <v>254271.19021516517</v>
      </c>
      <c r="W480" s="62">
        <f t="shared" si="364"/>
        <v>254271.19021516517</v>
      </c>
      <c r="X480" s="62">
        <f t="shared" si="364"/>
        <v>254271.19021516517</v>
      </c>
      <c r="Y480" s="62">
        <f t="shared" si="364"/>
        <v>254271.19021516517</v>
      </c>
      <c r="Z480" s="62">
        <f t="shared" si="364"/>
        <v>254271.19021516517</v>
      </c>
      <c r="AA480" s="62">
        <f t="shared" si="364"/>
        <v>254271.19021516517</v>
      </c>
      <c r="AB480" s="62">
        <f t="shared" si="364"/>
        <v>254271.19021516517</v>
      </c>
      <c r="AC480" s="62">
        <f t="shared" si="364"/>
        <v>254271.19021516517</v>
      </c>
    </row>
    <row r="481" spans="1:29" x14ac:dyDescent="0.25">
      <c r="A481" s="30" t="str">
        <f>A462</f>
        <v>Residual value (costumization)</v>
      </c>
      <c r="B481" s="62">
        <f>((1+B463)^B471)*B463/(((1+B463)^B471)-1)*(B462)</f>
        <v>-12713.559510758259</v>
      </c>
      <c r="C481" s="62">
        <f t="shared" ref="C481:AC481" si="365">((1+C463)^C471)*C463/(((1+C463)^C471)-1)*(C462)</f>
        <v>-12713.559510758259</v>
      </c>
      <c r="D481" s="62">
        <f t="shared" si="365"/>
        <v>-12713.559510758259</v>
      </c>
      <c r="E481" s="62">
        <f t="shared" si="365"/>
        <v>-12713.559510758259</v>
      </c>
      <c r="F481" s="62">
        <f t="shared" si="365"/>
        <v>-12713.559510758259</v>
      </c>
      <c r="G481" s="62">
        <f t="shared" si="365"/>
        <v>-12713.559510758259</v>
      </c>
      <c r="H481" s="62">
        <f t="shared" si="365"/>
        <v>-12713.559510758259</v>
      </c>
      <c r="I481" s="62">
        <f t="shared" si="365"/>
        <v>-12713.559510758259</v>
      </c>
      <c r="J481" s="62">
        <f t="shared" si="365"/>
        <v>-12713.559510758259</v>
      </c>
      <c r="K481" s="62">
        <f t="shared" si="365"/>
        <v>-12713.559510758259</v>
      </c>
      <c r="L481" s="62">
        <f t="shared" si="365"/>
        <v>-12713.559510758259</v>
      </c>
      <c r="M481" s="62">
        <f t="shared" si="365"/>
        <v>-12713.559510758259</v>
      </c>
      <c r="N481" s="62">
        <f t="shared" si="365"/>
        <v>-12713.559510758259</v>
      </c>
      <c r="O481" s="62">
        <f t="shared" si="365"/>
        <v>-12713.559510758259</v>
      </c>
      <c r="P481" s="62">
        <f t="shared" si="365"/>
        <v>-12713.559510758259</v>
      </c>
      <c r="Q481" s="62">
        <f t="shared" si="365"/>
        <v>-12713.559510758259</v>
      </c>
      <c r="R481" s="62">
        <f t="shared" si="365"/>
        <v>-12713.559510758259</v>
      </c>
      <c r="S481" s="62">
        <f t="shared" si="365"/>
        <v>-12713.559510758259</v>
      </c>
      <c r="T481" s="62">
        <f t="shared" si="365"/>
        <v>-12713.559510758259</v>
      </c>
      <c r="U481" s="62">
        <f t="shared" si="365"/>
        <v>-12713.559510758259</v>
      </c>
      <c r="V481" s="62">
        <f t="shared" si="365"/>
        <v>-12713.559510758259</v>
      </c>
      <c r="W481" s="62">
        <f t="shared" si="365"/>
        <v>-12713.559510758259</v>
      </c>
      <c r="X481" s="62">
        <f t="shared" si="365"/>
        <v>-12713.559510758259</v>
      </c>
      <c r="Y481" s="62">
        <f t="shared" si="365"/>
        <v>-12713.559510758259</v>
      </c>
      <c r="Z481" s="62">
        <f t="shared" si="365"/>
        <v>-12713.559510758259</v>
      </c>
      <c r="AA481" s="62">
        <f t="shared" si="365"/>
        <v>-12713.559510758259</v>
      </c>
      <c r="AB481" s="62">
        <f t="shared" si="365"/>
        <v>-12713.559510758259</v>
      </c>
      <c r="AC481" s="62">
        <f t="shared" si="365"/>
        <v>-12713.559510758259</v>
      </c>
    </row>
    <row r="482" spans="1:29" x14ac:dyDescent="0.25">
      <c r="A482" s="30" t="str">
        <f t="shared" ref="A482:AC482" si="366">A464</f>
        <v>Opex fix (admin, crew, insurance)</v>
      </c>
      <c r="B482" s="62">
        <f t="shared" si="366"/>
        <v>650000</v>
      </c>
      <c r="C482" s="62">
        <f t="shared" si="366"/>
        <v>650000</v>
      </c>
      <c r="D482" s="62">
        <f t="shared" si="366"/>
        <v>650000</v>
      </c>
      <c r="E482" s="62">
        <f t="shared" si="366"/>
        <v>650000</v>
      </c>
      <c r="F482" s="62">
        <f t="shared" si="366"/>
        <v>650000</v>
      </c>
      <c r="G482" s="62">
        <f t="shared" si="366"/>
        <v>650000</v>
      </c>
      <c r="H482" s="62">
        <f t="shared" si="366"/>
        <v>650000</v>
      </c>
      <c r="I482" s="62">
        <f t="shared" si="366"/>
        <v>650000</v>
      </c>
      <c r="J482" s="62">
        <f t="shared" si="366"/>
        <v>650000</v>
      </c>
      <c r="K482" s="62">
        <f t="shared" si="366"/>
        <v>650000</v>
      </c>
      <c r="L482" s="62">
        <f t="shared" si="366"/>
        <v>650000</v>
      </c>
      <c r="M482" s="62">
        <f t="shared" si="366"/>
        <v>650000</v>
      </c>
      <c r="N482" s="62">
        <f t="shared" si="366"/>
        <v>650000</v>
      </c>
      <c r="O482" s="62">
        <f t="shared" si="366"/>
        <v>650000</v>
      </c>
      <c r="P482" s="62">
        <f t="shared" si="366"/>
        <v>650000</v>
      </c>
      <c r="Q482" s="62">
        <f t="shared" si="366"/>
        <v>650000</v>
      </c>
      <c r="R482" s="62">
        <f t="shared" si="366"/>
        <v>650000</v>
      </c>
      <c r="S482" s="62">
        <f t="shared" si="366"/>
        <v>650000</v>
      </c>
      <c r="T482" s="62">
        <f t="shared" si="366"/>
        <v>650000</v>
      </c>
      <c r="U482" s="62">
        <f t="shared" si="366"/>
        <v>650000</v>
      </c>
      <c r="V482" s="62">
        <f t="shared" si="366"/>
        <v>650000</v>
      </c>
      <c r="W482" s="62">
        <f t="shared" si="366"/>
        <v>650000</v>
      </c>
      <c r="X482" s="62">
        <f t="shared" si="366"/>
        <v>650000</v>
      </c>
      <c r="Y482" s="62">
        <f t="shared" si="366"/>
        <v>650000</v>
      </c>
      <c r="Z482" s="62">
        <f t="shared" si="366"/>
        <v>650000</v>
      </c>
      <c r="AA482" s="62">
        <f t="shared" si="366"/>
        <v>650000</v>
      </c>
      <c r="AB482" s="62">
        <f t="shared" si="366"/>
        <v>650000</v>
      </c>
      <c r="AC482" s="62">
        <f t="shared" si="366"/>
        <v>650000</v>
      </c>
    </row>
    <row r="483" spans="1:29" x14ac:dyDescent="0.25">
      <c r="A483" s="30" t="str">
        <f t="shared" ref="A483:AC483" si="367">A465</f>
        <v>Opex maintenance &amp; repair</v>
      </c>
      <c r="B483" s="62">
        <f t="shared" si="367"/>
        <v>1293563.9575177333</v>
      </c>
      <c r="C483" s="62">
        <f t="shared" si="367"/>
        <v>1290808.235093934</v>
      </c>
      <c r="D483" s="62">
        <f t="shared" si="367"/>
        <v>1286895.5042898762</v>
      </c>
      <c r="E483" s="62">
        <f t="shared" si="367"/>
        <v>1281365.2352877648</v>
      </c>
      <c r="F483" s="62">
        <f t="shared" si="367"/>
        <v>1273600.837383118</v>
      </c>
      <c r="G483" s="62">
        <f t="shared" si="367"/>
        <v>1262805.5057319398</v>
      </c>
      <c r="H483" s="62">
        <f t="shared" si="367"/>
        <v>1248005.5098923349</v>
      </c>
      <c r="I483" s="62">
        <f t="shared" si="367"/>
        <v>1228115.9013873441</v>
      </c>
      <c r="J483" s="62">
        <f t="shared" si="367"/>
        <v>1202116.3406815415</v>
      </c>
      <c r="K483" s="62">
        <f t="shared" si="367"/>
        <v>1169374.2884687176</v>
      </c>
      <c r="L483" s="62">
        <f t="shared" si="367"/>
        <v>1130084.7656740851</v>
      </c>
      <c r="M483" s="62">
        <f t="shared" si="367"/>
        <v>1085657.2084191416</v>
      </c>
      <c r="N483" s="62">
        <f t="shared" si="367"/>
        <v>1038755.2185067786</v>
      </c>
      <c r="O483" s="62">
        <f t="shared" si="367"/>
        <v>992776.17202817916</v>
      </c>
      <c r="P483" s="62">
        <f t="shared" si="367"/>
        <v>950920.49960650213</v>
      </c>
      <c r="Q483" s="62">
        <f t="shared" si="367"/>
        <v>915349.13841044903</v>
      </c>
      <c r="R483" s="62">
        <f t="shared" si="367"/>
        <v>886862.84856226621</v>
      </c>
      <c r="S483" s="62">
        <f t="shared" si="367"/>
        <v>865126.54509633617</v>
      </c>
      <c r="T483" s="62">
        <f t="shared" si="367"/>
        <v>849148.61879481981</v>
      </c>
      <c r="U483" s="62">
        <f t="shared" si="367"/>
        <v>837724.6326365323</v>
      </c>
      <c r="V483" s="62">
        <f t="shared" si="367"/>
        <v>829718.10542985611</v>
      </c>
      <c r="W483" s="62">
        <f t="shared" si="367"/>
        <v>824185.10301042092</v>
      </c>
      <c r="X483" s="62">
        <f t="shared" si="367"/>
        <v>820398.59373471502</v>
      </c>
      <c r="Y483" s="62">
        <f t="shared" si="367"/>
        <v>817824.59227500285</v>
      </c>
      <c r="Z483" s="62">
        <f t="shared" si="367"/>
        <v>816082.79412917187</v>
      </c>
      <c r="AA483" s="62">
        <f t="shared" si="367"/>
        <v>814907.77528152149</v>
      </c>
      <c r="AB483" s="62">
        <f t="shared" si="367"/>
        <v>814116.75843028165</v>
      </c>
      <c r="AC483" s="62">
        <f t="shared" si="367"/>
        <v>813584.99765465059</v>
      </c>
    </row>
    <row r="484" spans="1:29" x14ac:dyDescent="0.25">
      <c r="A484" s="30" t="str">
        <f>A466</f>
        <v>Opex var (mode-fees, shunting)</v>
      </c>
      <c r="B484" s="62">
        <f>B466*B475</f>
        <v>700000</v>
      </c>
      <c r="C484" s="62">
        <f t="shared" ref="C484:AC484" si="368">C466*C475</f>
        <v>700000</v>
      </c>
      <c r="D484" s="62">
        <f t="shared" si="368"/>
        <v>700000</v>
      </c>
      <c r="E484" s="62">
        <f t="shared" si="368"/>
        <v>700000</v>
      </c>
      <c r="F484" s="62">
        <f t="shared" si="368"/>
        <v>700000</v>
      </c>
      <c r="G484" s="62">
        <f t="shared" si="368"/>
        <v>700000</v>
      </c>
      <c r="H484" s="62">
        <f t="shared" si="368"/>
        <v>700000</v>
      </c>
      <c r="I484" s="62">
        <f t="shared" si="368"/>
        <v>700000</v>
      </c>
      <c r="J484" s="62">
        <f t="shared" si="368"/>
        <v>700000</v>
      </c>
      <c r="K484" s="62">
        <f t="shared" si="368"/>
        <v>700000</v>
      </c>
      <c r="L484" s="62">
        <f t="shared" si="368"/>
        <v>700000</v>
      </c>
      <c r="M484" s="62">
        <f t="shared" si="368"/>
        <v>700000</v>
      </c>
      <c r="N484" s="62">
        <f t="shared" si="368"/>
        <v>700000</v>
      </c>
      <c r="O484" s="62">
        <f t="shared" si="368"/>
        <v>700000</v>
      </c>
      <c r="P484" s="62">
        <f t="shared" si="368"/>
        <v>700000</v>
      </c>
      <c r="Q484" s="62">
        <f t="shared" si="368"/>
        <v>700000</v>
      </c>
      <c r="R484" s="62">
        <f t="shared" si="368"/>
        <v>700000</v>
      </c>
      <c r="S484" s="62">
        <f t="shared" si="368"/>
        <v>700000</v>
      </c>
      <c r="T484" s="62">
        <f t="shared" si="368"/>
        <v>700000</v>
      </c>
      <c r="U484" s="62">
        <f t="shared" si="368"/>
        <v>700000</v>
      </c>
      <c r="V484" s="62">
        <f t="shared" si="368"/>
        <v>700000</v>
      </c>
      <c r="W484" s="62">
        <f t="shared" si="368"/>
        <v>700000</v>
      </c>
      <c r="X484" s="62">
        <f t="shared" si="368"/>
        <v>700000</v>
      </c>
      <c r="Y484" s="62">
        <f t="shared" si="368"/>
        <v>700000</v>
      </c>
      <c r="Z484" s="62">
        <f t="shared" si="368"/>
        <v>700000</v>
      </c>
      <c r="AA484" s="62">
        <f t="shared" si="368"/>
        <v>700000</v>
      </c>
      <c r="AB484" s="62">
        <f t="shared" si="368"/>
        <v>700000</v>
      </c>
      <c r="AC484" s="62">
        <f t="shared" si="368"/>
        <v>700000</v>
      </c>
    </row>
    <row r="485" spans="1:29" x14ac:dyDescent="0.25">
      <c r="A485" s="30" t="str">
        <f>A468</f>
        <v>Fuel Cost</v>
      </c>
      <c r="B485" s="62">
        <f>B467*B468*B475</f>
        <v>564609.2417724753</v>
      </c>
      <c r="C485" s="62">
        <f t="shared" ref="C485:AC485" si="369">C467*C468*C475</f>
        <v>564609.2417724753</v>
      </c>
      <c r="D485" s="62">
        <f t="shared" si="369"/>
        <v>564609.2417724753</v>
      </c>
      <c r="E485" s="62">
        <f t="shared" si="369"/>
        <v>564609.2417724753</v>
      </c>
      <c r="F485" s="62">
        <f t="shared" si="369"/>
        <v>564609.2417724753</v>
      </c>
      <c r="G485" s="62">
        <f t="shared" si="369"/>
        <v>564609.2417724753</v>
      </c>
      <c r="H485" s="62">
        <f t="shared" si="369"/>
        <v>564609.2417724753</v>
      </c>
      <c r="I485" s="62">
        <f t="shared" si="369"/>
        <v>564609.2417724753</v>
      </c>
      <c r="J485" s="62">
        <f t="shared" si="369"/>
        <v>575601.63362323598</v>
      </c>
      <c r="K485" s="62">
        <f t="shared" si="369"/>
        <v>586594.02547399676</v>
      </c>
      <c r="L485" s="62">
        <f t="shared" si="369"/>
        <v>597586.41732475744</v>
      </c>
      <c r="M485" s="62">
        <f t="shared" si="369"/>
        <v>608578.80917551811</v>
      </c>
      <c r="N485" s="62">
        <f t="shared" si="369"/>
        <v>619571.20102627878</v>
      </c>
      <c r="O485" s="62">
        <f t="shared" si="369"/>
        <v>613575.35092586384</v>
      </c>
      <c r="P485" s="62">
        <f t="shared" si="369"/>
        <v>607579.50082544889</v>
      </c>
      <c r="Q485" s="62">
        <f t="shared" si="369"/>
        <v>601583.65072503395</v>
      </c>
      <c r="R485" s="62">
        <f t="shared" si="369"/>
        <v>595587.80062461901</v>
      </c>
      <c r="S485" s="62">
        <f t="shared" si="369"/>
        <v>589591.95052420418</v>
      </c>
      <c r="T485" s="62">
        <f t="shared" si="369"/>
        <v>583596.10042378923</v>
      </c>
      <c r="U485" s="62">
        <f t="shared" si="369"/>
        <v>577600.25032337429</v>
      </c>
      <c r="V485" s="62">
        <f t="shared" si="369"/>
        <v>571604.40022295923</v>
      </c>
      <c r="W485" s="62">
        <f t="shared" si="369"/>
        <v>565608.5501225444</v>
      </c>
      <c r="X485" s="62">
        <f t="shared" si="369"/>
        <v>559612.70002212957</v>
      </c>
      <c r="Y485" s="62">
        <f t="shared" si="369"/>
        <v>553616.84992171463</v>
      </c>
      <c r="Z485" s="62">
        <f t="shared" si="369"/>
        <v>547620.99982129969</v>
      </c>
      <c r="AA485" s="62">
        <f t="shared" si="369"/>
        <v>541625.14972088463</v>
      </c>
      <c r="AB485" s="62">
        <f t="shared" si="369"/>
        <v>535629.29962046968</v>
      </c>
      <c r="AC485" s="62">
        <f t="shared" si="369"/>
        <v>529633.44952005497</v>
      </c>
    </row>
    <row r="486" spans="1:29" ht="15.75" thickBot="1" x14ac:dyDescent="0.3">
      <c r="A486" s="59" t="str">
        <f>A449</f>
        <v>Emission Cost</v>
      </c>
      <c r="B486" s="62">
        <f>B469*B475</f>
        <v>0</v>
      </c>
      <c r="C486" s="62">
        <f t="shared" ref="C486:AC486" si="370">C469*C475</f>
        <v>0</v>
      </c>
      <c r="D486" s="62">
        <f t="shared" si="370"/>
        <v>0</v>
      </c>
      <c r="E486" s="62">
        <f t="shared" si="370"/>
        <v>0</v>
      </c>
      <c r="F486" s="62">
        <f t="shared" si="370"/>
        <v>0</v>
      </c>
      <c r="G486" s="62">
        <f t="shared" si="370"/>
        <v>0</v>
      </c>
      <c r="H486" s="62">
        <f t="shared" si="370"/>
        <v>0</v>
      </c>
      <c r="I486" s="62">
        <f t="shared" si="370"/>
        <v>0</v>
      </c>
      <c r="J486" s="62">
        <f t="shared" si="370"/>
        <v>0</v>
      </c>
      <c r="K486" s="62">
        <f t="shared" si="370"/>
        <v>0</v>
      </c>
      <c r="L486" s="62">
        <f t="shared" si="370"/>
        <v>0</v>
      </c>
      <c r="M486" s="62">
        <f t="shared" si="370"/>
        <v>0</v>
      </c>
      <c r="N486" s="62">
        <f t="shared" si="370"/>
        <v>0</v>
      </c>
      <c r="O486" s="62">
        <f t="shared" si="370"/>
        <v>0</v>
      </c>
      <c r="P486" s="62">
        <f t="shared" si="370"/>
        <v>0</v>
      </c>
      <c r="Q486" s="62">
        <f t="shared" si="370"/>
        <v>0</v>
      </c>
      <c r="R486" s="62">
        <f t="shared" si="370"/>
        <v>0</v>
      </c>
      <c r="S486" s="62">
        <f t="shared" si="370"/>
        <v>0</v>
      </c>
      <c r="T486" s="62">
        <f t="shared" si="370"/>
        <v>0</v>
      </c>
      <c r="U486" s="62">
        <f t="shared" si="370"/>
        <v>0</v>
      </c>
      <c r="V486" s="62">
        <f t="shared" si="370"/>
        <v>0</v>
      </c>
      <c r="W486" s="62">
        <f t="shared" si="370"/>
        <v>0</v>
      </c>
      <c r="X486" s="62">
        <f t="shared" si="370"/>
        <v>0</v>
      </c>
      <c r="Y486" s="62">
        <f t="shared" si="370"/>
        <v>0</v>
      </c>
      <c r="Z486" s="62">
        <f t="shared" si="370"/>
        <v>0</v>
      </c>
      <c r="AA486" s="62">
        <f t="shared" si="370"/>
        <v>0</v>
      </c>
      <c r="AB486" s="62">
        <f t="shared" si="370"/>
        <v>0</v>
      </c>
      <c r="AC486" s="62">
        <f t="shared" si="370"/>
        <v>0</v>
      </c>
    </row>
    <row r="487" spans="1:29" ht="15.75" thickBot="1" x14ac:dyDescent="0.3">
      <c r="A487" s="31" t="s">
        <v>209</v>
      </c>
      <c r="B487" s="64">
        <f>B478+B479+B480+B481+B482+B483+B484+B485+B486</f>
        <v>4273164.2141801473</v>
      </c>
      <c r="C487" s="64">
        <f t="shared" ref="C487:AC487" si="371">C478+C479+C480+C481+C482+C483+C484+C485+C486</f>
        <v>4268344.750552387</v>
      </c>
      <c r="D487" s="64">
        <f t="shared" si="371"/>
        <v>4261501.8030796964</v>
      </c>
      <c r="E487" s="64">
        <f t="shared" si="371"/>
        <v>4251829.9543923158</v>
      </c>
      <c r="F487" s="64">
        <f t="shared" si="371"/>
        <v>4238250.8533298383</v>
      </c>
      <c r="G487" s="64">
        <f t="shared" si="371"/>
        <v>4219370.9734866666</v>
      </c>
      <c r="H487" s="64">
        <f t="shared" si="371"/>
        <v>4193487.364519387</v>
      </c>
      <c r="I487" s="64">
        <f t="shared" si="371"/>
        <v>4158702.5676427688</v>
      </c>
      <c r="J487" s="64">
        <f t="shared" si="371"/>
        <v>4124224.5100472411</v>
      </c>
      <c r="K487" s="64">
        <f t="shared" si="371"/>
        <v>4077954.5563238841</v>
      </c>
      <c r="L487" s="64">
        <f t="shared" si="371"/>
        <v>4020233.7772015911</v>
      </c>
      <c r="M487" s="64">
        <f t="shared" si="371"/>
        <v>3953527.1256322786</v>
      </c>
      <c r="N487" s="64">
        <f t="shared" si="371"/>
        <v>3882492.9561356222</v>
      </c>
      <c r="O487" s="64">
        <f t="shared" si="371"/>
        <v>3796084.6739887274</v>
      </c>
      <c r="P487" s="64">
        <f t="shared" si="371"/>
        <v>3716887.7318227259</v>
      </c>
      <c r="Q487" s="64">
        <f t="shared" si="371"/>
        <v>3648681.3775025299</v>
      </c>
      <c r="R487" s="64">
        <f t="shared" si="371"/>
        <v>3592866.0547921406</v>
      </c>
      <c r="S487" s="64">
        <f t="shared" si="371"/>
        <v>3548855.7359443307</v>
      </c>
      <c r="T487" s="64">
        <f t="shared" si="371"/>
        <v>3514916.2025497789</v>
      </c>
      <c r="U487" s="64">
        <f t="shared" si="371"/>
        <v>3488941.0231459434</v>
      </c>
      <c r="V487" s="64">
        <f t="shared" si="371"/>
        <v>3468942.6137441993</v>
      </c>
      <c r="W487" s="64">
        <f t="shared" si="371"/>
        <v>3453270.1345020095</v>
      </c>
      <c r="X487" s="64">
        <f t="shared" si="371"/>
        <v>3440652.0848749522</v>
      </c>
      <c r="Y487" s="64">
        <f t="shared" si="371"/>
        <v>3430154.5816668984</v>
      </c>
      <c r="Z487" s="64">
        <f t="shared" si="371"/>
        <v>3421112.513000261</v>
      </c>
      <c r="AA487" s="64">
        <f t="shared" si="371"/>
        <v>3413061.6806747578</v>
      </c>
      <c r="AB487" s="64">
        <f t="shared" si="371"/>
        <v>3405682.426748699</v>
      </c>
      <c r="AC487" s="64">
        <f t="shared" si="371"/>
        <v>3398756.5839557368</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2">A478</f>
        <v>Capex vehicle</v>
      </c>
      <c r="B490" s="65">
        <f>((1+B463)^B470)*B463/(((1+B463)^B470)-1)*(B459)/B475</f>
        <v>4.8601077594228057</v>
      </c>
      <c r="C490" s="65">
        <f t="shared" ref="C490:AC490" si="373">((1+C463)^C470)*C463/(((1+C463)^C470)-1)*(C459)/C475</f>
        <v>4.8497541098356427</v>
      </c>
      <c r="D490" s="65">
        <f t="shared" si="373"/>
        <v>4.8350534116360544</v>
      </c>
      <c r="E490" s="65">
        <f t="shared" si="373"/>
        <v>4.8142753873778386</v>
      </c>
      <c r="F490" s="65">
        <f t="shared" si="373"/>
        <v>4.7851034161859127</v>
      </c>
      <c r="G490" s="65">
        <f t="shared" si="373"/>
        <v>4.7445437864756714</v>
      </c>
      <c r="H490" s="65">
        <f t="shared" si="373"/>
        <v>4.6889380514816965</v>
      </c>
      <c r="I490" s="65">
        <f t="shared" si="373"/>
        <v>4.6142099021194625</v>
      </c>
      <c r="J490" s="65">
        <f t="shared" si="373"/>
        <v>4.5165257744862721</v>
      </c>
      <c r="K490" s="65">
        <f t="shared" si="373"/>
        <v>4.3935091264928241</v>
      </c>
      <c r="L490" s="65">
        <f t="shared" si="373"/>
        <v>4.2458926800941192</v>
      </c>
      <c r="M490" s="65">
        <f t="shared" si="373"/>
        <v>4.0789718916073303</v>
      </c>
      <c r="N490" s="65">
        <f t="shared" si="373"/>
        <v>3.9027543000605887</v>
      </c>
      <c r="O490" s="65">
        <f t="shared" si="373"/>
        <v>3.7300043411097277</v>
      </c>
      <c r="P490" s="65">
        <f t="shared" si="373"/>
        <v>3.5727464976685668</v>
      </c>
      <c r="Q490" s="65">
        <f t="shared" si="373"/>
        <v>3.4390997246911277</v>
      </c>
      <c r="R490" s="65">
        <f t="shared" si="373"/>
        <v>3.3320725943171574</v>
      </c>
      <c r="S490" s="65">
        <f t="shared" si="373"/>
        <v>3.2504061436387905</v>
      </c>
      <c r="T490" s="65">
        <f t="shared" si="373"/>
        <v>3.1903747527313779</v>
      </c>
      <c r="U490" s="65">
        <f t="shared" si="373"/>
        <v>3.147453176686561</v>
      </c>
      <c r="V490" s="65">
        <f t="shared" si="373"/>
        <v>3.1173714905224945</v>
      </c>
      <c r="W490" s="65">
        <f t="shared" si="373"/>
        <v>3.0965831964181936</v>
      </c>
      <c r="X490" s="65">
        <f t="shared" si="373"/>
        <v>3.0823567308421902</v>
      </c>
      <c r="Y490" s="65">
        <f t="shared" si="373"/>
        <v>3.0726858333234324</v>
      </c>
      <c r="Z490" s="65">
        <f t="shared" si="373"/>
        <v>3.0661416445844814</v>
      </c>
      <c r="AA490" s="65">
        <f t="shared" si="373"/>
        <v>3.0617269280289179</v>
      </c>
      <c r="AB490" s="65">
        <f t="shared" si="373"/>
        <v>3.058754962774163</v>
      </c>
      <c r="AC490" s="65">
        <f t="shared" si="373"/>
        <v>3.0567570602686231</v>
      </c>
    </row>
    <row r="491" spans="1:29" x14ac:dyDescent="0.25">
      <c r="A491" s="30" t="str">
        <f t="shared" si="372"/>
        <v>Residual value (vehicle)</v>
      </c>
      <c r="B491" s="66">
        <f>((1+B463)^B470)*B463/(((1+B463)^B470)-1)*(B460)/B475</f>
        <v>-0.24703557911170351</v>
      </c>
      <c r="C491" s="66">
        <f t="shared" ref="C491:AC491" si="374">((1+C463)^C470)*C463/(((1+C463)^C470)-1)*(C460)/C475</f>
        <v>-0.24824350489687252</v>
      </c>
      <c r="D491" s="66">
        <f t="shared" si="374"/>
        <v>-0.24995858635349122</v>
      </c>
      <c r="E491" s="66">
        <f t="shared" si="374"/>
        <v>-0.25238268918361639</v>
      </c>
      <c r="F491" s="66">
        <f t="shared" si="374"/>
        <v>-0.25578608582267437</v>
      </c>
      <c r="G491" s="66">
        <f t="shared" si="374"/>
        <v>-0.26051804262220252</v>
      </c>
      <c r="H491" s="66">
        <f t="shared" si="374"/>
        <v>-0.26700537837149957</v>
      </c>
      <c r="I491" s="66">
        <f t="shared" si="374"/>
        <v>-0.27572366246376023</v>
      </c>
      <c r="J491" s="66">
        <f t="shared" si="374"/>
        <v>-0.28712014402096564</v>
      </c>
      <c r="K491" s="66">
        <f t="shared" si="374"/>
        <v>-0.301472086286868</v>
      </c>
      <c r="L491" s="66">
        <f t="shared" si="374"/>
        <v>-0.31869400503338358</v>
      </c>
      <c r="M491" s="66">
        <f t="shared" si="374"/>
        <v>-0.33816809702350897</v>
      </c>
      <c r="N491" s="66">
        <f t="shared" si="374"/>
        <v>-0.35872681603729545</v>
      </c>
      <c r="O491" s="66">
        <f t="shared" si="374"/>
        <v>-0.378880977914896</v>
      </c>
      <c r="P491" s="66">
        <f t="shared" si="374"/>
        <v>-0.39722772631636477</v>
      </c>
      <c r="Q491" s="66">
        <f t="shared" si="374"/>
        <v>-0.41281984983039921</v>
      </c>
      <c r="R491" s="66">
        <f t="shared" si="374"/>
        <v>-0.42530634837402914</v>
      </c>
      <c r="S491" s="66">
        <f t="shared" si="374"/>
        <v>-0.43483410095317204</v>
      </c>
      <c r="T491" s="66">
        <f t="shared" si="374"/>
        <v>-0.44183776322570334</v>
      </c>
      <c r="U491" s="66">
        <f t="shared" si="374"/>
        <v>-0.44684528043093191</v>
      </c>
      <c r="V491" s="66">
        <f t="shared" si="374"/>
        <v>-0.45035481048340636</v>
      </c>
      <c r="W491" s="66">
        <f t="shared" si="374"/>
        <v>-0.45278011146224156</v>
      </c>
      <c r="X491" s="66">
        <f t="shared" si="374"/>
        <v>-0.45443986577944195</v>
      </c>
      <c r="Y491" s="66">
        <f t="shared" si="374"/>
        <v>-0.45556813715663036</v>
      </c>
      <c r="Z491" s="66">
        <f t="shared" si="374"/>
        <v>-0.45633162584284143</v>
      </c>
      <c r="AA491" s="66">
        <f t="shared" si="374"/>
        <v>-0.45684667610765711</v>
      </c>
      <c r="AB491" s="66">
        <f t="shared" si="374"/>
        <v>-0.45719340538737846</v>
      </c>
      <c r="AC491" s="66">
        <f t="shared" si="374"/>
        <v>-0.45742649401302482</v>
      </c>
    </row>
    <row r="492" spans="1:29" x14ac:dyDescent="0.25">
      <c r="A492" s="30" t="str">
        <f t="shared" si="372"/>
        <v>Capex costumization</v>
      </c>
      <c r="B492" s="66">
        <f>((1+B463)^B471)*B463/(((1+B463)^B471)-1)*(B461)/B475</f>
        <v>1.4244884605891606</v>
      </c>
      <c r="C492" s="66">
        <f t="shared" ref="C492:AC492" si="375">((1+C463)^C471)*C463/(((1+C463)^C471)-1)*(C461)/C475</f>
        <v>1.4244884605891606</v>
      </c>
      <c r="D492" s="66">
        <f t="shared" si="375"/>
        <v>1.4244884605891606</v>
      </c>
      <c r="E492" s="66">
        <f t="shared" si="375"/>
        <v>1.4244884605891606</v>
      </c>
      <c r="F492" s="66">
        <f t="shared" si="375"/>
        <v>1.4244884605891606</v>
      </c>
      <c r="G492" s="66">
        <f t="shared" si="375"/>
        <v>1.4244884605891606</v>
      </c>
      <c r="H492" s="66">
        <f t="shared" si="375"/>
        <v>1.4244884605891606</v>
      </c>
      <c r="I492" s="66">
        <f t="shared" si="375"/>
        <v>1.4244884605891606</v>
      </c>
      <c r="J492" s="66">
        <f t="shared" si="375"/>
        <v>1.4244884605891606</v>
      </c>
      <c r="K492" s="66">
        <f t="shared" si="375"/>
        <v>1.4244884605891606</v>
      </c>
      <c r="L492" s="66">
        <f t="shared" si="375"/>
        <v>1.4244884605891606</v>
      </c>
      <c r="M492" s="66">
        <f t="shared" si="375"/>
        <v>1.4244884605891606</v>
      </c>
      <c r="N492" s="66">
        <f t="shared" si="375"/>
        <v>1.4244884605891606</v>
      </c>
      <c r="O492" s="66">
        <f t="shared" si="375"/>
        <v>1.4244884605891606</v>
      </c>
      <c r="P492" s="66">
        <f t="shared" si="375"/>
        <v>1.4244884605891606</v>
      </c>
      <c r="Q492" s="66">
        <f t="shared" si="375"/>
        <v>1.4244884605891606</v>
      </c>
      <c r="R492" s="66">
        <f t="shared" si="375"/>
        <v>1.4244884605891606</v>
      </c>
      <c r="S492" s="66">
        <f t="shared" si="375"/>
        <v>1.4244884605891606</v>
      </c>
      <c r="T492" s="66">
        <f t="shared" si="375"/>
        <v>1.4244884605891606</v>
      </c>
      <c r="U492" s="66">
        <f t="shared" si="375"/>
        <v>1.4244884605891606</v>
      </c>
      <c r="V492" s="66">
        <f t="shared" si="375"/>
        <v>1.4244884605891606</v>
      </c>
      <c r="W492" s="66">
        <f t="shared" si="375"/>
        <v>1.4244884605891606</v>
      </c>
      <c r="X492" s="66">
        <f t="shared" si="375"/>
        <v>1.4244884605891606</v>
      </c>
      <c r="Y492" s="66">
        <f t="shared" si="375"/>
        <v>1.4244884605891606</v>
      </c>
      <c r="Z492" s="66">
        <f t="shared" si="375"/>
        <v>1.4244884605891606</v>
      </c>
      <c r="AA492" s="66">
        <f t="shared" si="375"/>
        <v>1.4244884605891606</v>
      </c>
      <c r="AB492" s="66">
        <f t="shared" si="375"/>
        <v>1.4244884605891606</v>
      </c>
      <c r="AC492" s="66">
        <f t="shared" si="375"/>
        <v>1.4244884605891606</v>
      </c>
    </row>
    <row r="493" spans="1:29" x14ac:dyDescent="0.25">
      <c r="A493" s="30" t="str">
        <f t="shared" si="372"/>
        <v>Residual value (costumization)</v>
      </c>
      <c r="B493" s="66">
        <f>((1+B463)^B471)*B463/(((1+B463)^B471)-1)*(B462)/B475</f>
        <v>-7.1224423029458042E-2</v>
      </c>
      <c r="C493" s="66">
        <f t="shared" ref="C493:AC493" si="376">((1+C463)^C471)*C463/(((1+C463)^C471)-1)*(C462)/C475</f>
        <v>-7.1224423029458042E-2</v>
      </c>
      <c r="D493" s="66">
        <f t="shared" si="376"/>
        <v>-7.1224423029458042E-2</v>
      </c>
      <c r="E493" s="66">
        <f t="shared" si="376"/>
        <v>-7.1224423029458042E-2</v>
      </c>
      <c r="F493" s="66">
        <f t="shared" si="376"/>
        <v>-7.1224423029458042E-2</v>
      </c>
      <c r="G493" s="66">
        <f t="shared" si="376"/>
        <v>-7.1224423029458042E-2</v>
      </c>
      <c r="H493" s="66">
        <f t="shared" si="376"/>
        <v>-7.1224423029458042E-2</v>
      </c>
      <c r="I493" s="66">
        <f t="shared" si="376"/>
        <v>-7.1224423029458042E-2</v>
      </c>
      <c r="J493" s="66">
        <f t="shared" si="376"/>
        <v>-7.1224423029458042E-2</v>
      </c>
      <c r="K493" s="66">
        <f t="shared" si="376"/>
        <v>-7.1224423029458042E-2</v>
      </c>
      <c r="L493" s="66">
        <f t="shared" si="376"/>
        <v>-7.1224423029458042E-2</v>
      </c>
      <c r="M493" s="66">
        <f t="shared" si="376"/>
        <v>-7.1224423029458042E-2</v>
      </c>
      <c r="N493" s="66">
        <f t="shared" si="376"/>
        <v>-7.1224423029458042E-2</v>
      </c>
      <c r="O493" s="66">
        <f t="shared" si="376"/>
        <v>-7.1224423029458042E-2</v>
      </c>
      <c r="P493" s="66">
        <f t="shared" si="376"/>
        <v>-7.1224423029458042E-2</v>
      </c>
      <c r="Q493" s="66">
        <f t="shared" si="376"/>
        <v>-7.1224423029458042E-2</v>
      </c>
      <c r="R493" s="66">
        <f t="shared" si="376"/>
        <v>-7.1224423029458042E-2</v>
      </c>
      <c r="S493" s="66">
        <f t="shared" si="376"/>
        <v>-7.1224423029458042E-2</v>
      </c>
      <c r="T493" s="66">
        <f t="shared" si="376"/>
        <v>-7.1224423029458042E-2</v>
      </c>
      <c r="U493" s="66">
        <f t="shared" si="376"/>
        <v>-7.1224423029458042E-2</v>
      </c>
      <c r="V493" s="66">
        <f t="shared" si="376"/>
        <v>-7.1224423029458042E-2</v>
      </c>
      <c r="W493" s="66">
        <f t="shared" si="376"/>
        <v>-7.1224423029458042E-2</v>
      </c>
      <c r="X493" s="66">
        <f t="shared" si="376"/>
        <v>-7.1224423029458042E-2</v>
      </c>
      <c r="Y493" s="66">
        <f t="shared" si="376"/>
        <v>-7.1224423029458042E-2</v>
      </c>
      <c r="Z493" s="66">
        <f t="shared" si="376"/>
        <v>-7.1224423029458042E-2</v>
      </c>
      <c r="AA493" s="66">
        <f t="shared" si="376"/>
        <v>-7.1224423029458042E-2</v>
      </c>
      <c r="AB493" s="66">
        <f t="shared" si="376"/>
        <v>-7.1224423029458042E-2</v>
      </c>
      <c r="AC493" s="66">
        <f t="shared" si="376"/>
        <v>-7.1224423029458042E-2</v>
      </c>
    </row>
    <row r="494" spans="1:29" x14ac:dyDescent="0.25">
      <c r="A494" s="30" t="str">
        <f t="shared" si="372"/>
        <v>Opex fix (admin, crew, insurance)</v>
      </c>
      <c r="B494" s="66">
        <f>B464/B475</f>
        <v>3.6414565826330532</v>
      </c>
      <c r="C494" s="66">
        <f t="shared" ref="C494:AC494" si="377">C464/C475</f>
        <v>3.6414565826330532</v>
      </c>
      <c r="D494" s="66">
        <f t="shared" si="377"/>
        <v>3.6414565826330532</v>
      </c>
      <c r="E494" s="66">
        <f t="shared" si="377"/>
        <v>3.6414565826330532</v>
      </c>
      <c r="F494" s="66">
        <f t="shared" si="377"/>
        <v>3.6414565826330532</v>
      </c>
      <c r="G494" s="66">
        <f t="shared" si="377"/>
        <v>3.6414565826330532</v>
      </c>
      <c r="H494" s="66">
        <f t="shared" si="377"/>
        <v>3.6414565826330532</v>
      </c>
      <c r="I494" s="66">
        <f t="shared" si="377"/>
        <v>3.6414565826330532</v>
      </c>
      <c r="J494" s="66">
        <f t="shared" si="377"/>
        <v>3.6414565826330532</v>
      </c>
      <c r="K494" s="66">
        <f t="shared" si="377"/>
        <v>3.6414565826330532</v>
      </c>
      <c r="L494" s="66">
        <f t="shared" si="377"/>
        <v>3.6414565826330532</v>
      </c>
      <c r="M494" s="66">
        <f t="shared" si="377"/>
        <v>3.6414565826330532</v>
      </c>
      <c r="N494" s="66">
        <f t="shared" si="377"/>
        <v>3.6414565826330532</v>
      </c>
      <c r="O494" s="66">
        <f t="shared" si="377"/>
        <v>3.6414565826330532</v>
      </c>
      <c r="P494" s="66">
        <f t="shared" si="377"/>
        <v>3.6414565826330532</v>
      </c>
      <c r="Q494" s="66">
        <f t="shared" si="377"/>
        <v>3.6414565826330532</v>
      </c>
      <c r="R494" s="66">
        <f t="shared" si="377"/>
        <v>3.6414565826330532</v>
      </c>
      <c r="S494" s="66">
        <f t="shared" si="377"/>
        <v>3.6414565826330532</v>
      </c>
      <c r="T494" s="66">
        <f t="shared" si="377"/>
        <v>3.6414565826330532</v>
      </c>
      <c r="U494" s="66">
        <f t="shared" si="377"/>
        <v>3.6414565826330532</v>
      </c>
      <c r="V494" s="66">
        <f t="shared" si="377"/>
        <v>3.6414565826330532</v>
      </c>
      <c r="W494" s="66">
        <f t="shared" si="377"/>
        <v>3.6414565826330532</v>
      </c>
      <c r="X494" s="66">
        <f t="shared" si="377"/>
        <v>3.6414565826330532</v>
      </c>
      <c r="Y494" s="66">
        <f t="shared" si="377"/>
        <v>3.6414565826330532</v>
      </c>
      <c r="Z494" s="66">
        <f t="shared" si="377"/>
        <v>3.6414565826330532</v>
      </c>
      <c r="AA494" s="66">
        <f t="shared" si="377"/>
        <v>3.6414565826330532</v>
      </c>
      <c r="AB494" s="66">
        <f t="shared" si="377"/>
        <v>3.6414565826330532</v>
      </c>
      <c r="AC494" s="66">
        <f t="shared" si="377"/>
        <v>3.6414565826330532</v>
      </c>
    </row>
    <row r="495" spans="1:29" x14ac:dyDescent="0.25">
      <c r="A495" s="30" t="str">
        <f t="shared" si="372"/>
        <v>Opex maintenance &amp; repair</v>
      </c>
      <c r="B495" s="66">
        <f>B465/B475</f>
        <v>7.246856904861251</v>
      </c>
      <c r="C495" s="66">
        <f t="shared" ref="C495:AC495" si="378">C465/C475</f>
        <v>7.2314186839996299</v>
      </c>
      <c r="D495" s="66">
        <f t="shared" si="378"/>
        <v>7.2094986234726957</v>
      </c>
      <c r="E495" s="66">
        <f t="shared" si="378"/>
        <v>7.1785167243012031</v>
      </c>
      <c r="F495" s="66">
        <f t="shared" si="378"/>
        <v>7.1350186968241909</v>
      </c>
      <c r="G495" s="66">
        <f t="shared" si="378"/>
        <v>7.0745406483582061</v>
      </c>
      <c r="H495" s="66">
        <f t="shared" si="378"/>
        <v>6.9916275063996354</v>
      </c>
      <c r="I495" s="66">
        <f t="shared" si="378"/>
        <v>6.8802011282204152</v>
      </c>
      <c r="J495" s="66">
        <f t="shared" si="378"/>
        <v>6.7345453259470114</v>
      </c>
      <c r="K495" s="66">
        <f t="shared" si="378"/>
        <v>6.5511164620096221</v>
      </c>
      <c r="L495" s="66">
        <f t="shared" si="378"/>
        <v>6.3310070906111209</v>
      </c>
      <c r="M495" s="66">
        <f t="shared" si="378"/>
        <v>6.0821132124321657</v>
      </c>
      <c r="N495" s="66">
        <f t="shared" si="378"/>
        <v>5.8193569664245297</v>
      </c>
      <c r="O495" s="66">
        <f t="shared" si="378"/>
        <v>5.56177127186655</v>
      </c>
      <c r="P495" s="66">
        <f t="shared" si="378"/>
        <v>5.3272857120812445</v>
      </c>
      <c r="Q495" s="66">
        <f t="shared" si="378"/>
        <v>5.1280063776495748</v>
      </c>
      <c r="R495" s="66">
        <f t="shared" si="378"/>
        <v>4.9684193196765616</v>
      </c>
      <c r="S495" s="66">
        <f t="shared" si="378"/>
        <v>4.8466473114640678</v>
      </c>
      <c r="T495" s="66">
        <f t="shared" si="378"/>
        <v>4.7571351192987104</v>
      </c>
      <c r="U495" s="66">
        <f t="shared" si="378"/>
        <v>4.6931351968433184</v>
      </c>
      <c r="V495" s="66">
        <f t="shared" si="378"/>
        <v>4.6482807026882691</v>
      </c>
      <c r="W495" s="66">
        <f t="shared" si="378"/>
        <v>4.6172834902544588</v>
      </c>
      <c r="X495" s="66">
        <f t="shared" si="378"/>
        <v>4.5960705531356583</v>
      </c>
      <c r="Y495" s="66">
        <f t="shared" si="378"/>
        <v>4.5816503768907726</v>
      </c>
      <c r="Z495" s="66">
        <f t="shared" si="378"/>
        <v>4.5718924040849966</v>
      </c>
      <c r="AA495" s="66">
        <f t="shared" si="378"/>
        <v>4.5653096654426975</v>
      </c>
      <c r="AB495" s="66">
        <f t="shared" si="378"/>
        <v>4.5608781984889726</v>
      </c>
      <c r="AC495" s="66">
        <f t="shared" si="378"/>
        <v>4.5578991465246528</v>
      </c>
    </row>
    <row r="496" spans="1:29" x14ac:dyDescent="0.25">
      <c r="A496" s="30" t="str">
        <f t="shared" si="372"/>
        <v>Opex var (mode-fees, shunting)</v>
      </c>
      <c r="B496" s="66">
        <f>B466*B475/B475</f>
        <v>3.9215686274509802</v>
      </c>
      <c r="C496" s="66">
        <f t="shared" ref="C496:AC496" si="379">C466*C475/C475</f>
        <v>3.9215686274509802</v>
      </c>
      <c r="D496" s="66">
        <f t="shared" si="379"/>
        <v>3.9215686274509802</v>
      </c>
      <c r="E496" s="66">
        <f t="shared" si="379"/>
        <v>3.9215686274509802</v>
      </c>
      <c r="F496" s="66">
        <f t="shared" si="379"/>
        <v>3.9215686274509802</v>
      </c>
      <c r="G496" s="66">
        <f t="shared" si="379"/>
        <v>3.9215686274509802</v>
      </c>
      <c r="H496" s="66">
        <f t="shared" si="379"/>
        <v>3.9215686274509802</v>
      </c>
      <c r="I496" s="66">
        <f t="shared" si="379"/>
        <v>3.9215686274509802</v>
      </c>
      <c r="J496" s="66">
        <f t="shared" si="379"/>
        <v>3.9215686274509802</v>
      </c>
      <c r="K496" s="66">
        <f t="shared" si="379"/>
        <v>3.9215686274509802</v>
      </c>
      <c r="L496" s="66">
        <f t="shared" si="379"/>
        <v>3.9215686274509802</v>
      </c>
      <c r="M496" s="66">
        <f t="shared" si="379"/>
        <v>3.9215686274509802</v>
      </c>
      <c r="N496" s="66">
        <f t="shared" si="379"/>
        <v>3.9215686274509802</v>
      </c>
      <c r="O496" s="66">
        <f t="shared" si="379"/>
        <v>3.9215686274509802</v>
      </c>
      <c r="P496" s="66">
        <f t="shared" si="379"/>
        <v>3.9215686274509802</v>
      </c>
      <c r="Q496" s="66">
        <f t="shared" si="379"/>
        <v>3.9215686274509802</v>
      </c>
      <c r="R496" s="66">
        <f t="shared" si="379"/>
        <v>3.9215686274509802</v>
      </c>
      <c r="S496" s="66">
        <f t="shared" si="379"/>
        <v>3.9215686274509802</v>
      </c>
      <c r="T496" s="66">
        <f t="shared" si="379"/>
        <v>3.9215686274509802</v>
      </c>
      <c r="U496" s="66">
        <f t="shared" si="379"/>
        <v>3.9215686274509802</v>
      </c>
      <c r="V496" s="66">
        <f t="shared" si="379"/>
        <v>3.9215686274509802</v>
      </c>
      <c r="W496" s="66">
        <f t="shared" si="379"/>
        <v>3.9215686274509802</v>
      </c>
      <c r="X496" s="66">
        <f t="shared" si="379"/>
        <v>3.9215686274509802</v>
      </c>
      <c r="Y496" s="66">
        <f t="shared" si="379"/>
        <v>3.9215686274509802</v>
      </c>
      <c r="Z496" s="66">
        <f t="shared" si="379"/>
        <v>3.9215686274509802</v>
      </c>
      <c r="AA496" s="66">
        <f t="shared" si="379"/>
        <v>3.9215686274509802</v>
      </c>
      <c r="AB496" s="66">
        <f t="shared" si="379"/>
        <v>3.9215686274509802</v>
      </c>
      <c r="AC496" s="66">
        <f t="shared" si="379"/>
        <v>3.9215686274509802</v>
      </c>
    </row>
    <row r="497" spans="1:29" x14ac:dyDescent="0.25">
      <c r="A497" s="30" t="str">
        <f t="shared" si="372"/>
        <v>Fuel Cost</v>
      </c>
      <c r="B497" s="66">
        <f>B467*B468*B475/B475</f>
        <v>3.1630769847197495</v>
      </c>
      <c r="C497" s="66">
        <f t="shared" ref="C497:AC497" si="380">C467*C468*C475/C475</f>
        <v>3.1630769847197495</v>
      </c>
      <c r="D497" s="66">
        <f t="shared" si="380"/>
        <v>3.1630769847197495</v>
      </c>
      <c r="E497" s="66">
        <f t="shared" si="380"/>
        <v>3.1630769847197495</v>
      </c>
      <c r="F497" s="66">
        <f t="shared" si="380"/>
        <v>3.1630769847197495</v>
      </c>
      <c r="G497" s="66">
        <f t="shared" si="380"/>
        <v>3.1630769847197495</v>
      </c>
      <c r="H497" s="66">
        <f t="shared" si="380"/>
        <v>3.1630769847197495</v>
      </c>
      <c r="I497" s="66">
        <f t="shared" si="380"/>
        <v>3.1630769847197495</v>
      </c>
      <c r="J497" s="66">
        <f t="shared" si="380"/>
        <v>3.2246590118948792</v>
      </c>
      <c r="K497" s="66">
        <f t="shared" si="380"/>
        <v>3.2862410390700099</v>
      </c>
      <c r="L497" s="66">
        <f t="shared" si="380"/>
        <v>3.3478230662451396</v>
      </c>
      <c r="M497" s="66">
        <f t="shared" si="380"/>
        <v>3.4094050934202693</v>
      </c>
      <c r="N497" s="66">
        <f t="shared" si="380"/>
        <v>3.4709871205953995</v>
      </c>
      <c r="O497" s="66">
        <f t="shared" si="380"/>
        <v>3.4373969239544193</v>
      </c>
      <c r="P497" s="66">
        <f t="shared" si="380"/>
        <v>3.4038067273134391</v>
      </c>
      <c r="Q497" s="66">
        <f t="shared" si="380"/>
        <v>3.370216530672459</v>
      </c>
      <c r="R497" s="66">
        <f t="shared" si="380"/>
        <v>3.3366263340314792</v>
      </c>
      <c r="S497" s="66">
        <f t="shared" si="380"/>
        <v>3.3030361373904995</v>
      </c>
      <c r="T497" s="66">
        <f t="shared" si="380"/>
        <v>3.2694459407495193</v>
      </c>
      <c r="U497" s="66">
        <f t="shared" si="380"/>
        <v>3.2358557441085396</v>
      </c>
      <c r="V497" s="66">
        <f t="shared" si="380"/>
        <v>3.2022655474675585</v>
      </c>
      <c r="W497" s="66">
        <f t="shared" si="380"/>
        <v>3.1686753508265793</v>
      </c>
      <c r="X497" s="66">
        <f t="shared" si="380"/>
        <v>3.1350851541856</v>
      </c>
      <c r="Y497" s="66">
        <f t="shared" si="380"/>
        <v>3.1014949575446198</v>
      </c>
      <c r="Z497" s="66">
        <f t="shared" si="380"/>
        <v>3.0679047609036396</v>
      </c>
      <c r="AA497" s="66">
        <f t="shared" si="380"/>
        <v>3.034314564262659</v>
      </c>
      <c r="AB497" s="66">
        <f t="shared" si="380"/>
        <v>3.0007243676216788</v>
      </c>
      <c r="AC497" s="66">
        <f t="shared" si="380"/>
        <v>2.9671341709807</v>
      </c>
    </row>
    <row r="498" spans="1:29" ht="15.75" thickBot="1" x14ac:dyDescent="0.3">
      <c r="A498" s="59" t="str">
        <f t="shared" ref="A498" si="381">A486</f>
        <v>Emission Cost</v>
      </c>
      <c r="B498" s="66">
        <f>B469</f>
        <v>0</v>
      </c>
      <c r="C498" s="66">
        <f t="shared" ref="C498:AC498" si="382">C469</f>
        <v>0</v>
      </c>
      <c r="D498" s="66">
        <f t="shared" si="382"/>
        <v>0</v>
      </c>
      <c r="E498" s="66">
        <f t="shared" si="382"/>
        <v>0</v>
      </c>
      <c r="F498" s="66">
        <f t="shared" si="382"/>
        <v>0</v>
      </c>
      <c r="G498" s="66">
        <f t="shared" si="382"/>
        <v>0</v>
      </c>
      <c r="H498" s="66">
        <f t="shared" si="382"/>
        <v>0</v>
      </c>
      <c r="I498" s="66">
        <f t="shared" si="382"/>
        <v>0</v>
      </c>
      <c r="J498" s="66">
        <f t="shared" si="382"/>
        <v>0</v>
      </c>
      <c r="K498" s="66">
        <f t="shared" si="382"/>
        <v>0</v>
      </c>
      <c r="L498" s="66">
        <f t="shared" si="382"/>
        <v>0</v>
      </c>
      <c r="M498" s="66">
        <f t="shared" si="382"/>
        <v>0</v>
      </c>
      <c r="N498" s="66">
        <f t="shared" si="382"/>
        <v>0</v>
      </c>
      <c r="O498" s="66">
        <f t="shared" si="382"/>
        <v>0</v>
      </c>
      <c r="P498" s="66">
        <f t="shared" si="382"/>
        <v>0</v>
      </c>
      <c r="Q498" s="66">
        <f t="shared" si="382"/>
        <v>0</v>
      </c>
      <c r="R498" s="66">
        <f t="shared" si="382"/>
        <v>0</v>
      </c>
      <c r="S498" s="66">
        <f t="shared" si="382"/>
        <v>0</v>
      </c>
      <c r="T498" s="66">
        <f t="shared" si="382"/>
        <v>0</v>
      </c>
      <c r="U498" s="66">
        <f t="shared" si="382"/>
        <v>0</v>
      </c>
      <c r="V498" s="66">
        <f t="shared" si="382"/>
        <v>0</v>
      </c>
      <c r="W498" s="66">
        <f t="shared" si="382"/>
        <v>0</v>
      </c>
      <c r="X498" s="66">
        <f t="shared" si="382"/>
        <v>0</v>
      </c>
      <c r="Y498" s="66">
        <f t="shared" si="382"/>
        <v>0</v>
      </c>
      <c r="Z498" s="66">
        <f t="shared" si="382"/>
        <v>0</v>
      </c>
      <c r="AA498" s="66">
        <f t="shared" si="382"/>
        <v>0</v>
      </c>
      <c r="AB498" s="66">
        <f t="shared" si="382"/>
        <v>0</v>
      </c>
      <c r="AC498" s="66">
        <f t="shared" si="382"/>
        <v>0</v>
      </c>
    </row>
    <row r="499" spans="1:29" ht="15.75" thickBot="1" x14ac:dyDescent="0.3">
      <c r="A499" s="31" t="s">
        <v>63</v>
      </c>
      <c r="B499" s="76">
        <f>B490+B491+B492-B493+B494+B495+B496+B497+B498</f>
        <v>24.081744163594756</v>
      </c>
      <c r="C499" s="76">
        <f t="shared" ref="C499:AC499" si="383">C490+C491+C492-C493+C494+C495+C496+C497+C498</f>
        <v>24.054744367360804</v>
      </c>
      <c r="D499" s="76">
        <f t="shared" si="383"/>
        <v>24.01640852717766</v>
      </c>
      <c r="E499" s="76">
        <f t="shared" si="383"/>
        <v>23.962224500917827</v>
      </c>
      <c r="F499" s="76">
        <f t="shared" si="383"/>
        <v>23.886151105609834</v>
      </c>
      <c r="G499" s="76">
        <f t="shared" si="383"/>
        <v>23.780381470634076</v>
      </c>
      <c r="H499" s="76">
        <f t="shared" si="383"/>
        <v>23.635375257932232</v>
      </c>
      <c r="I499" s="76">
        <f t="shared" si="383"/>
        <v>23.440502446298517</v>
      </c>
      <c r="J499" s="76">
        <f t="shared" si="383"/>
        <v>23.247348062009848</v>
      </c>
      <c r="K499" s="76">
        <f t="shared" si="383"/>
        <v>22.98813263498824</v>
      </c>
      <c r="L499" s="76">
        <f t="shared" si="383"/>
        <v>22.664766925619649</v>
      </c>
      <c r="M499" s="76">
        <f t="shared" si="383"/>
        <v>22.291060194138907</v>
      </c>
      <c r="N499" s="76">
        <f t="shared" si="383"/>
        <v>21.893109664745875</v>
      </c>
      <c r="O499" s="76">
        <f t="shared" si="383"/>
        <v>21.409029652718456</v>
      </c>
      <c r="P499" s="76">
        <f t="shared" si="383"/>
        <v>20.965349304449539</v>
      </c>
      <c r="Q499" s="76">
        <f t="shared" si="383"/>
        <v>20.583240876885412</v>
      </c>
      <c r="R499" s="76">
        <f t="shared" si="383"/>
        <v>20.270549993353821</v>
      </c>
      <c r="S499" s="76">
        <f t="shared" si="383"/>
        <v>20.023993585242838</v>
      </c>
      <c r="T499" s="76">
        <f t="shared" si="383"/>
        <v>19.833856143256558</v>
      </c>
      <c r="U499" s="76">
        <f t="shared" si="383"/>
        <v>19.68833693091014</v>
      </c>
      <c r="V499" s="76">
        <f t="shared" si="383"/>
        <v>19.576301023897567</v>
      </c>
      <c r="W499" s="76">
        <f t="shared" si="383"/>
        <v>19.488500019739643</v>
      </c>
      <c r="X499" s="76">
        <f t="shared" si="383"/>
        <v>19.417810666086659</v>
      </c>
      <c r="Y499" s="76">
        <f t="shared" si="383"/>
        <v>19.359001124304847</v>
      </c>
      <c r="Z499" s="76">
        <f t="shared" si="383"/>
        <v>19.308345277432927</v>
      </c>
      <c r="AA499" s="76">
        <f t="shared" si="383"/>
        <v>19.263242575329269</v>
      </c>
      <c r="AB499" s="76">
        <f t="shared" si="383"/>
        <v>19.221902217200089</v>
      </c>
      <c r="AC499" s="76">
        <f t="shared" si="383"/>
        <v>19.1831019774636</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4">A478</f>
        <v>Capex vehicle</v>
      </c>
      <c r="B502" s="65">
        <f>((1+B463)^B470)*B463/(((1+B463)^B470)-1)*(B459)/B475/(B472)</f>
        <v>1.7357527712224307E-3</v>
      </c>
      <c r="C502" s="65">
        <f t="shared" ref="C502:AC502" si="385">((1+C463)^C470)*C463/(((1+C463)^C470)-1)*(C459)/C475/(C472)</f>
        <v>1.7320550392270152E-3</v>
      </c>
      <c r="D502" s="65">
        <f t="shared" si="385"/>
        <v>1.7268047898700194E-3</v>
      </c>
      <c r="E502" s="65">
        <f t="shared" si="385"/>
        <v>1.7193840669206565E-3</v>
      </c>
      <c r="F502" s="65">
        <f t="shared" si="385"/>
        <v>1.7089655057806832E-3</v>
      </c>
      <c r="G502" s="65">
        <f t="shared" si="385"/>
        <v>1.6944799237413111E-3</v>
      </c>
      <c r="H502" s="65">
        <f t="shared" si="385"/>
        <v>1.6746207326720345E-3</v>
      </c>
      <c r="I502" s="65">
        <f t="shared" si="385"/>
        <v>1.647932107899808E-3</v>
      </c>
      <c r="J502" s="65">
        <f t="shared" si="385"/>
        <v>1.6130449194593829E-3</v>
      </c>
      <c r="K502" s="65">
        <f t="shared" si="385"/>
        <v>1.5691104023188658E-3</v>
      </c>
      <c r="L502" s="65">
        <f t="shared" si="385"/>
        <v>1.5163902428907568E-3</v>
      </c>
      <c r="M502" s="65">
        <f t="shared" si="385"/>
        <v>1.4567756755740466E-3</v>
      </c>
      <c r="N502" s="65">
        <f t="shared" si="385"/>
        <v>1.3938408214502103E-3</v>
      </c>
      <c r="O502" s="65">
        <f t="shared" si="385"/>
        <v>1.3321444075391885E-3</v>
      </c>
      <c r="P502" s="65">
        <f t="shared" si="385"/>
        <v>1.275980892024488E-3</v>
      </c>
      <c r="Q502" s="65">
        <f t="shared" si="385"/>
        <v>1.2282499016754028E-3</v>
      </c>
      <c r="R502" s="65">
        <f t="shared" si="385"/>
        <v>1.1900259265418419E-3</v>
      </c>
      <c r="S502" s="65">
        <f t="shared" si="385"/>
        <v>1.1608593370138539E-3</v>
      </c>
      <c r="T502" s="65">
        <f t="shared" si="385"/>
        <v>1.1394195545469208E-3</v>
      </c>
      <c r="U502" s="65">
        <f t="shared" si="385"/>
        <v>1.1240904202452003E-3</v>
      </c>
      <c r="V502" s="65">
        <f t="shared" si="385"/>
        <v>1.1133469609008908E-3</v>
      </c>
      <c r="W502" s="65">
        <f t="shared" si="385"/>
        <v>1.1059225701493549E-3</v>
      </c>
      <c r="X502" s="65">
        <f t="shared" si="385"/>
        <v>1.1008416895864966E-3</v>
      </c>
      <c r="Y502" s="65">
        <f t="shared" si="385"/>
        <v>1.0973877976155116E-3</v>
      </c>
      <c r="Z502" s="65">
        <f t="shared" si="385"/>
        <v>1.0950505873516005E-3</v>
      </c>
      <c r="AA502" s="65">
        <f t="shared" si="385"/>
        <v>1.0934739028674706E-3</v>
      </c>
      <c r="AB502" s="65">
        <f t="shared" si="385"/>
        <v>1.0924124867050583E-3</v>
      </c>
      <c r="AC502" s="65">
        <f t="shared" si="385"/>
        <v>1.0916989500959369E-3</v>
      </c>
    </row>
    <row r="503" spans="1:29" x14ac:dyDescent="0.25">
      <c r="A503" s="30" t="str">
        <f t="shared" si="384"/>
        <v>Residual value (vehicle)</v>
      </c>
      <c r="B503" s="68">
        <f>((1+B463)^B470)*B463/(((1+B463)^B470)-1)*(B460)/B475/(B472)</f>
        <v>-8.822699253989411E-5</v>
      </c>
      <c r="C503" s="68">
        <f t="shared" ref="C503:AC503" si="386">((1+C463)^C470)*C463/(((1+C463)^C470)-1)*(C460)/C475/(C472)</f>
        <v>-8.8658394606025906E-5</v>
      </c>
      <c r="D503" s="68">
        <f t="shared" si="386"/>
        <v>-8.927092369767544E-5</v>
      </c>
      <c r="E503" s="68">
        <f t="shared" si="386"/>
        <v>-9.0136674708434433E-5</v>
      </c>
      <c r="F503" s="68">
        <f t="shared" si="386"/>
        <v>-9.1352173508097987E-5</v>
      </c>
      <c r="G503" s="68">
        <f t="shared" si="386"/>
        <v>-9.3042158079358043E-5</v>
      </c>
      <c r="H503" s="68">
        <f t="shared" si="386"/>
        <v>-9.5359063704106992E-5</v>
      </c>
      <c r="I503" s="68">
        <f t="shared" si="386"/>
        <v>-9.8472736594200079E-5</v>
      </c>
      <c r="J503" s="68">
        <f t="shared" si="386"/>
        <v>-1.0254290857891629E-4</v>
      </c>
      <c r="K503" s="68">
        <f t="shared" si="386"/>
        <v>-1.0766860224531E-4</v>
      </c>
      <c r="L503" s="68">
        <f t="shared" si="386"/>
        <v>-1.1381928751192271E-4</v>
      </c>
      <c r="M503" s="68">
        <f t="shared" si="386"/>
        <v>-1.2077432036553891E-4</v>
      </c>
      <c r="N503" s="68">
        <f t="shared" si="386"/>
        <v>-1.281167200133198E-4</v>
      </c>
      <c r="O503" s="68">
        <f t="shared" si="386"/>
        <v>-1.3531463496960572E-4</v>
      </c>
      <c r="P503" s="68">
        <f t="shared" si="386"/>
        <v>-1.4186704511298743E-4</v>
      </c>
      <c r="Q503" s="68">
        <f t="shared" si="386"/>
        <v>-1.4743566065371401E-4</v>
      </c>
      <c r="R503" s="68">
        <f t="shared" si="386"/>
        <v>-1.5189512441929611E-4</v>
      </c>
      <c r="S503" s="68">
        <f t="shared" si="386"/>
        <v>-1.5529789319756145E-4</v>
      </c>
      <c r="T503" s="68">
        <f t="shared" si="386"/>
        <v>-1.5779920115203692E-4</v>
      </c>
      <c r="U503" s="68">
        <f t="shared" si="386"/>
        <v>-1.5958760015390426E-4</v>
      </c>
      <c r="V503" s="68">
        <f t="shared" si="386"/>
        <v>-1.6084100374407371E-4</v>
      </c>
      <c r="W503" s="68">
        <f t="shared" si="386"/>
        <v>-1.6170718266508627E-4</v>
      </c>
      <c r="X503" s="68">
        <f t="shared" si="386"/>
        <v>-1.6229995206408642E-4</v>
      </c>
      <c r="Y503" s="68">
        <f t="shared" si="386"/>
        <v>-1.6270290612736799E-4</v>
      </c>
      <c r="Z503" s="68">
        <f t="shared" si="386"/>
        <v>-1.6297558065815764E-4</v>
      </c>
      <c r="AA503" s="68">
        <f t="shared" si="386"/>
        <v>-1.6315952718130611E-4</v>
      </c>
      <c r="AB503" s="68">
        <f t="shared" si="386"/>
        <v>-1.6328335906692088E-4</v>
      </c>
      <c r="AC503" s="68">
        <f t="shared" si="386"/>
        <v>-1.6336660500465173E-4</v>
      </c>
    </row>
    <row r="504" spans="1:29" x14ac:dyDescent="0.25">
      <c r="A504" s="30" t="str">
        <f t="shared" si="384"/>
        <v>Capex costumization</v>
      </c>
      <c r="B504" s="66">
        <f>((1+B463)^B471)*B463/(((1+B463)^B471)-1)*(B461)/B475/(B472)</f>
        <v>5.0874587878184309E-4</v>
      </c>
      <c r="C504" s="66">
        <f t="shared" ref="C504:AC504" si="387">((1+C463)^C471)*C463/(((1+C463)^C471)-1)*(C461)/C475/(C472)</f>
        <v>5.0874587878184309E-4</v>
      </c>
      <c r="D504" s="66">
        <f t="shared" si="387"/>
        <v>5.0874587878184309E-4</v>
      </c>
      <c r="E504" s="66">
        <f t="shared" si="387"/>
        <v>5.0874587878184309E-4</v>
      </c>
      <c r="F504" s="66">
        <f t="shared" si="387"/>
        <v>5.0874587878184309E-4</v>
      </c>
      <c r="G504" s="66">
        <f t="shared" si="387"/>
        <v>5.0874587878184309E-4</v>
      </c>
      <c r="H504" s="66">
        <f t="shared" si="387"/>
        <v>5.0874587878184309E-4</v>
      </c>
      <c r="I504" s="66">
        <f t="shared" si="387"/>
        <v>5.0874587878184309E-4</v>
      </c>
      <c r="J504" s="66">
        <f t="shared" si="387"/>
        <v>5.0874587878184309E-4</v>
      </c>
      <c r="K504" s="66">
        <f t="shared" si="387"/>
        <v>5.0874587878184309E-4</v>
      </c>
      <c r="L504" s="66">
        <f t="shared" si="387"/>
        <v>5.0874587878184309E-4</v>
      </c>
      <c r="M504" s="66">
        <f t="shared" si="387"/>
        <v>5.0874587878184309E-4</v>
      </c>
      <c r="N504" s="66">
        <f t="shared" si="387"/>
        <v>5.0874587878184309E-4</v>
      </c>
      <c r="O504" s="66">
        <f t="shared" si="387"/>
        <v>5.0874587878184309E-4</v>
      </c>
      <c r="P504" s="66">
        <f t="shared" si="387"/>
        <v>5.0874587878184309E-4</v>
      </c>
      <c r="Q504" s="66">
        <f t="shared" si="387"/>
        <v>5.0874587878184309E-4</v>
      </c>
      <c r="R504" s="66">
        <f t="shared" si="387"/>
        <v>5.0874587878184309E-4</v>
      </c>
      <c r="S504" s="66">
        <f t="shared" si="387"/>
        <v>5.0874587878184309E-4</v>
      </c>
      <c r="T504" s="66">
        <f t="shared" si="387"/>
        <v>5.0874587878184309E-4</v>
      </c>
      <c r="U504" s="66">
        <f t="shared" si="387"/>
        <v>5.0874587878184309E-4</v>
      </c>
      <c r="V504" s="66">
        <f t="shared" si="387"/>
        <v>5.0874587878184309E-4</v>
      </c>
      <c r="W504" s="66">
        <f t="shared" si="387"/>
        <v>5.0874587878184309E-4</v>
      </c>
      <c r="X504" s="66">
        <f t="shared" si="387"/>
        <v>5.0874587878184309E-4</v>
      </c>
      <c r="Y504" s="66">
        <f t="shared" si="387"/>
        <v>5.0874587878184309E-4</v>
      </c>
      <c r="Z504" s="66">
        <f t="shared" si="387"/>
        <v>5.0874587878184309E-4</v>
      </c>
      <c r="AA504" s="66">
        <f t="shared" si="387"/>
        <v>5.0874587878184309E-4</v>
      </c>
      <c r="AB504" s="66">
        <f t="shared" si="387"/>
        <v>5.0874587878184309E-4</v>
      </c>
      <c r="AC504" s="66">
        <f t="shared" si="387"/>
        <v>5.0874587878184309E-4</v>
      </c>
    </row>
    <row r="505" spans="1:29" x14ac:dyDescent="0.25">
      <c r="A505" s="30" t="str">
        <f t="shared" si="384"/>
        <v>Residual value (costumization)</v>
      </c>
      <c r="B505" s="69">
        <f>((1+B463)^B471)*B463/(((1+B463)^B471)-1)*(B462)/B475/(B472)</f>
        <v>-2.5437293939092159E-5</v>
      </c>
      <c r="C505" s="69">
        <f t="shared" ref="C505:AC505" si="388">((1+C463)^C471)*C463/(((1+C463)^C471)-1)*(C462)/C475/(C472)</f>
        <v>-2.5437293939092159E-5</v>
      </c>
      <c r="D505" s="69">
        <f t="shared" si="388"/>
        <v>-2.5437293939092159E-5</v>
      </c>
      <c r="E505" s="69">
        <f t="shared" si="388"/>
        <v>-2.5437293939092159E-5</v>
      </c>
      <c r="F505" s="69">
        <f t="shared" si="388"/>
        <v>-2.5437293939092159E-5</v>
      </c>
      <c r="G505" s="69">
        <f t="shared" si="388"/>
        <v>-2.5437293939092159E-5</v>
      </c>
      <c r="H505" s="69">
        <f t="shared" si="388"/>
        <v>-2.5437293939092159E-5</v>
      </c>
      <c r="I505" s="69">
        <f t="shared" si="388"/>
        <v>-2.5437293939092159E-5</v>
      </c>
      <c r="J505" s="69">
        <f t="shared" si="388"/>
        <v>-2.5437293939092159E-5</v>
      </c>
      <c r="K505" s="69">
        <f t="shared" si="388"/>
        <v>-2.5437293939092159E-5</v>
      </c>
      <c r="L505" s="69">
        <f t="shared" si="388"/>
        <v>-2.5437293939092159E-5</v>
      </c>
      <c r="M505" s="69">
        <f t="shared" si="388"/>
        <v>-2.5437293939092159E-5</v>
      </c>
      <c r="N505" s="69">
        <f t="shared" si="388"/>
        <v>-2.5437293939092159E-5</v>
      </c>
      <c r="O505" s="69">
        <f t="shared" si="388"/>
        <v>-2.5437293939092159E-5</v>
      </c>
      <c r="P505" s="69">
        <f t="shared" si="388"/>
        <v>-2.5437293939092159E-5</v>
      </c>
      <c r="Q505" s="69">
        <f t="shared" si="388"/>
        <v>-2.5437293939092159E-5</v>
      </c>
      <c r="R505" s="69">
        <f t="shared" si="388"/>
        <v>-2.5437293939092159E-5</v>
      </c>
      <c r="S505" s="69">
        <f t="shared" si="388"/>
        <v>-2.5437293939092159E-5</v>
      </c>
      <c r="T505" s="69">
        <f t="shared" si="388"/>
        <v>-2.5437293939092159E-5</v>
      </c>
      <c r="U505" s="69">
        <f t="shared" si="388"/>
        <v>-2.5437293939092159E-5</v>
      </c>
      <c r="V505" s="69">
        <f t="shared" si="388"/>
        <v>-2.5437293939092159E-5</v>
      </c>
      <c r="W505" s="69">
        <f t="shared" si="388"/>
        <v>-2.5437293939092159E-5</v>
      </c>
      <c r="X505" s="69">
        <f t="shared" si="388"/>
        <v>-2.5437293939092159E-5</v>
      </c>
      <c r="Y505" s="69">
        <f t="shared" si="388"/>
        <v>-2.5437293939092159E-5</v>
      </c>
      <c r="Z505" s="69">
        <f t="shared" si="388"/>
        <v>-2.5437293939092159E-5</v>
      </c>
      <c r="AA505" s="69">
        <f t="shared" si="388"/>
        <v>-2.5437293939092159E-5</v>
      </c>
      <c r="AB505" s="69">
        <f t="shared" si="388"/>
        <v>-2.5437293939092159E-5</v>
      </c>
      <c r="AC505" s="69">
        <f t="shared" si="388"/>
        <v>-2.5437293939092159E-5</v>
      </c>
    </row>
    <row r="506" spans="1:29" x14ac:dyDescent="0.25">
      <c r="A506" s="30" t="str">
        <f t="shared" si="384"/>
        <v>Opex fix (admin, crew, insurance)</v>
      </c>
      <c r="B506" s="66">
        <f>B464/B475/(B472)</f>
        <v>1.3005202080832333E-3</v>
      </c>
      <c r="C506" s="66">
        <f t="shared" ref="C506:AC506" si="389">C464/C475/(C472)</f>
        <v>1.3005202080832333E-3</v>
      </c>
      <c r="D506" s="66">
        <f t="shared" si="389"/>
        <v>1.3005202080832333E-3</v>
      </c>
      <c r="E506" s="66">
        <f t="shared" si="389"/>
        <v>1.3005202080832333E-3</v>
      </c>
      <c r="F506" s="66">
        <f t="shared" si="389"/>
        <v>1.3005202080832333E-3</v>
      </c>
      <c r="G506" s="66">
        <f t="shared" si="389"/>
        <v>1.3005202080832333E-3</v>
      </c>
      <c r="H506" s="66">
        <f t="shared" si="389"/>
        <v>1.3005202080832333E-3</v>
      </c>
      <c r="I506" s="66">
        <f t="shared" si="389"/>
        <v>1.3005202080832333E-3</v>
      </c>
      <c r="J506" s="66">
        <f t="shared" si="389"/>
        <v>1.3005202080832333E-3</v>
      </c>
      <c r="K506" s="66">
        <f t="shared" si="389"/>
        <v>1.3005202080832333E-3</v>
      </c>
      <c r="L506" s="66">
        <f t="shared" si="389"/>
        <v>1.3005202080832333E-3</v>
      </c>
      <c r="M506" s="66">
        <f t="shared" si="389"/>
        <v>1.3005202080832333E-3</v>
      </c>
      <c r="N506" s="66">
        <f t="shared" si="389"/>
        <v>1.3005202080832333E-3</v>
      </c>
      <c r="O506" s="66">
        <f t="shared" si="389"/>
        <v>1.3005202080832333E-3</v>
      </c>
      <c r="P506" s="66">
        <f t="shared" si="389"/>
        <v>1.3005202080832333E-3</v>
      </c>
      <c r="Q506" s="66">
        <f t="shared" si="389"/>
        <v>1.3005202080832333E-3</v>
      </c>
      <c r="R506" s="66">
        <f t="shared" si="389"/>
        <v>1.3005202080832333E-3</v>
      </c>
      <c r="S506" s="66">
        <f t="shared" si="389"/>
        <v>1.3005202080832333E-3</v>
      </c>
      <c r="T506" s="66">
        <f t="shared" si="389"/>
        <v>1.3005202080832333E-3</v>
      </c>
      <c r="U506" s="66">
        <f t="shared" si="389"/>
        <v>1.3005202080832333E-3</v>
      </c>
      <c r="V506" s="66">
        <f t="shared" si="389"/>
        <v>1.3005202080832333E-3</v>
      </c>
      <c r="W506" s="66">
        <f t="shared" si="389"/>
        <v>1.3005202080832333E-3</v>
      </c>
      <c r="X506" s="66">
        <f t="shared" si="389"/>
        <v>1.3005202080832333E-3</v>
      </c>
      <c r="Y506" s="66">
        <f t="shared" si="389"/>
        <v>1.3005202080832333E-3</v>
      </c>
      <c r="Z506" s="66">
        <f t="shared" si="389"/>
        <v>1.3005202080832333E-3</v>
      </c>
      <c r="AA506" s="66">
        <f t="shared" si="389"/>
        <v>1.3005202080832333E-3</v>
      </c>
      <c r="AB506" s="66">
        <f t="shared" si="389"/>
        <v>1.3005202080832333E-3</v>
      </c>
      <c r="AC506" s="66">
        <f t="shared" si="389"/>
        <v>1.3005202080832333E-3</v>
      </c>
    </row>
    <row r="507" spans="1:29" x14ac:dyDescent="0.25">
      <c r="A507" s="30" t="str">
        <f t="shared" si="384"/>
        <v>Opex maintenance &amp; repair</v>
      </c>
      <c r="B507" s="66">
        <f>B465/B475/(B472)</f>
        <v>2.5881631803075897E-3</v>
      </c>
      <c r="C507" s="66">
        <f t="shared" ref="C507:AC507" si="390">C465/C475/(C472)</f>
        <v>2.582649529999868E-3</v>
      </c>
      <c r="D507" s="66">
        <f t="shared" si="390"/>
        <v>2.5748209369545342E-3</v>
      </c>
      <c r="E507" s="66">
        <f t="shared" si="390"/>
        <v>2.5637559729647153E-3</v>
      </c>
      <c r="F507" s="66">
        <f t="shared" si="390"/>
        <v>2.5482209631514968E-3</v>
      </c>
      <c r="G507" s="66">
        <f t="shared" si="390"/>
        <v>2.5266216601279308E-3</v>
      </c>
      <c r="H507" s="66">
        <f t="shared" si="390"/>
        <v>2.4970098237141556E-3</v>
      </c>
      <c r="I507" s="66">
        <f t="shared" si="390"/>
        <v>2.4572146886501483E-3</v>
      </c>
      <c r="J507" s="66">
        <f t="shared" si="390"/>
        <v>2.4051947592667899E-3</v>
      </c>
      <c r="K507" s="66">
        <f t="shared" si="390"/>
        <v>2.3396844507177221E-3</v>
      </c>
      <c r="L507" s="66">
        <f t="shared" si="390"/>
        <v>2.2610739609325433E-3</v>
      </c>
      <c r="M507" s="66">
        <f t="shared" si="390"/>
        <v>2.1721832901543448E-3</v>
      </c>
      <c r="N507" s="66">
        <f t="shared" si="390"/>
        <v>2.0783417737230462E-3</v>
      </c>
      <c r="O507" s="66">
        <f t="shared" si="390"/>
        <v>1.9863468828094821E-3</v>
      </c>
      <c r="P507" s="66">
        <f t="shared" si="390"/>
        <v>1.9026020400290159E-3</v>
      </c>
      <c r="Q507" s="66">
        <f t="shared" si="390"/>
        <v>1.8314308491605624E-3</v>
      </c>
      <c r="R507" s="66">
        <f t="shared" si="390"/>
        <v>1.7744354713130578E-3</v>
      </c>
      <c r="S507" s="66">
        <f t="shared" si="390"/>
        <v>1.7309454683800242E-3</v>
      </c>
      <c r="T507" s="66">
        <f t="shared" si="390"/>
        <v>1.6989768283209681E-3</v>
      </c>
      <c r="U507" s="66">
        <f t="shared" si="390"/>
        <v>1.676119713158328E-3</v>
      </c>
      <c r="V507" s="66">
        <f t="shared" si="390"/>
        <v>1.6601002509600961E-3</v>
      </c>
      <c r="W507" s="66">
        <f t="shared" si="390"/>
        <v>1.6490298179480209E-3</v>
      </c>
      <c r="X507" s="66">
        <f t="shared" si="390"/>
        <v>1.6414537689770209E-3</v>
      </c>
      <c r="Y507" s="66">
        <f t="shared" si="390"/>
        <v>1.6363037060324187E-3</v>
      </c>
      <c r="Z507" s="66">
        <f t="shared" si="390"/>
        <v>1.6328187157446416E-3</v>
      </c>
      <c r="AA507" s="66">
        <f t="shared" si="390"/>
        <v>1.6304677376581063E-3</v>
      </c>
      <c r="AB507" s="66">
        <f t="shared" si="390"/>
        <v>1.6288850708889187E-3</v>
      </c>
      <c r="AC507" s="66">
        <f t="shared" si="390"/>
        <v>1.6278211237588046E-3</v>
      </c>
    </row>
    <row r="508" spans="1:29" x14ac:dyDescent="0.25">
      <c r="A508" s="30" t="str">
        <f t="shared" si="384"/>
        <v>Opex var (mode-fees, shunting)</v>
      </c>
      <c r="B508" s="66">
        <f>B466*B475/B475/(B472)</f>
        <v>1.4005602240896359E-3</v>
      </c>
      <c r="C508" s="66">
        <f t="shared" ref="C508:AC508" si="391">C466*C475/C475/(C472)</f>
        <v>1.4005602240896359E-3</v>
      </c>
      <c r="D508" s="66">
        <f t="shared" si="391"/>
        <v>1.4005602240896359E-3</v>
      </c>
      <c r="E508" s="66">
        <f t="shared" si="391"/>
        <v>1.4005602240896359E-3</v>
      </c>
      <c r="F508" s="66">
        <f t="shared" si="391"/>
        <v>1.4005602240896359E-3</v>
      </c>
      <c r="G508" s="66">
        <f t="shared" si="391"/>
        <v>1.4005602240896359E-3</v>
      </c>
      <c r="H508" s="66">
        <f t="shared" si="391"/>
        <v>1.4005602240896359E-3</v>
      </c>
      <c r="I508" s="66">
        <f t="shared" si="391"/>
        <v>1.4005602240896359E-3</v>
      </c>
      <c r="J508" s="66">
        <f t="shared" si="391"/>
        <v>1.4005602240896359E-3</v>
      </c>
      <c r="K508" s="66">
        <f t="shared" si="391"/>
        <v>1.4005602240896359E-3</v>
      </c>
      <c r="L508" s="66">
        <f t="shared" si="391"/>
        <v>1.4005602240896359E-3</v>
      </c>
      <c r="M508" s="66">
        <f t="shared" si="391"/>
        <v>1.4005602240896359E-3</v>
      </c>
      <c r="N508" s="66">
        <f t="shared" si="391"/>
        <v>1.4005602240896359E-3</v>
      </c>
      <c r="O508" s="66">
        <f t="shared" si="391"/>
        <v>1.4005602240896359E-3</v>
      </c>
      <c r="P508" s="66">
        <f t="shared" si="391"/>
        <v>1.4005602240896359E-3</v>
      </c>
      <c r="Q508" s="66">
        <f t="shared" si="391"/>
        <v>1.4005602240896359E-3</v>
      </c>
      <c r="R508" s="66">
        <f t="shared" si="391"/>
        <v>1.4005602240896359E-3</v>
      </c>
      <c r="S508" s="66">
        <f t="shared" si="391"/>
        <v>1.4005602240896359E-3</v>
      </c>
      <c r="T508" s="66">
        <f t="shared" si="391"/>
        <v>1.4005602240896359E-3</v>
      </c>
      <c r="U508" s="66">
        <f t="shared" si="391"/>
        <v>1.4005602240896359E-3</v>
      </c>
      <c r="V508" s="66">
        <f t="shared" si="391"/>
        <v>1.4005602240896359E-3</v>
      </c>
      <c r="W508" s="66">
        <f t="shared" si="391"/>
        <v>1.4005602240896359E-3</v>
      </c>
      <c r="X508" s="66">
        <f t="shared" si="391"/>
        <v>1.4005602240896359E-3</v>
      </c>
      <c r="Y508" s="66">
        <f t="shared" si="391"/>
        <v>1.4005602240896359E-3</v>
      </c>
      <c r="Z508" s="66">
        <f t="shared" si="391"/>
        <v>1.4005602240896359E-3</v>
      </c>
      <c r="AA508" s="66">
        <f t="shared" si="391"/>
        <v>1.4005602240896359E-3</v>
      </c>
      <c r="AB508" s="66">
        <f t="shared" si="391"/>
        <v>1.4005602240896359E-3</v>
      </c>
      <c r="AC508" s="66">
        <f t="shared" si="391"/>
        <v>1.4005602240896359E-3</v>
      </c>
    </row>
    <row r="509" spans="1:29" x14ac:dyDescent="0.25">
      <c r="A509" s="30" t="str">
        <f t="shared" si="384"/>
        <v>Fuel Cost</v>
      </c>
      <c r="B509" s="66">
        <f>B467*B468*B475/B475/(B472)</f>
        <v>1.1296703516856248E-3</v>
      </c>
      <c r="C509" s="66">
        <f t="shared" ref="C509:AC509" si="392">C467*C468*C475/C475/(C472)</f>
        <v>1.1296703516856248E-3</v>
      </c>
      <c r="D509" s="66">
        <f t="shared" si="392"/>
        <v>1.1296703516856248E-3</v>
      </c>
      <c r="E509" s="66">
        <f t="shared" si="392"/>
        <v>1.1296703516856248E-3</v>
      </c>
      <c r="F509" s="66">
        <f t="shared" si="392"/>
        <v>1.1296703516856248E-3</v>
      </c>
      <c r="G509" s="66">
        <f t="shared" si="392"/>
        <v>1.1296703516856248E-3</v>
      </c>
      <c r="H509" s="66">
        <f t="shared" si="392"/>
        <v>1.1296703516856248E-3</v>
      </c>
      <c r="I509" s="66">
        <f t="shared" si="392"/>
        <v>1.1296703516856248E-3</v>
      </c>
      <c r="J509" s="66">
        <f t="shared" si="392"/>
        <v>1.1516639328195998E-3</v>
      </c>
      <c r="K509" s="66">
        <f t="shared" si="392"/>
        <v>1.1736575139535751E-3</v>
      </c>
      <c r="L509" s="66">
        <f t="shared" si="392"/>
        <v>1.1956510950875499E-3</v>
      </c>
      <c r="M509" s="66">
        <f t="shared" si="392"/>
        <v>1.2176446762215247E-3</v>
      </c>
      <c r="N509" s="66">
        <f t="shared" si="392"/>
        <v>1.2396382573554999E-3</v>
      </c>
      <c r="O509" s="66">
        <f t="shared" si="392"/>
        <v>1.2276417585551497E-3</v>
      </c>
      <c r="P509" s="66">
        <f t="shared" si="392"/>
        <v>1.2156452597547997E-3</v>
      </c>
      <c r="Q509" s="66">
        <f t="shared" si="392"/>
        <v>1.2036487609544497E-3</v>
      </c>
      <c r="R509" s="66">
        <f t="shared" si="392"/>
        <v>1.1916522621540997E-3</v>
      </c>
      <c r="S509" s="66">
        <f t="shared" si="392"/>
        <v>1.1796557633537497E-3</v>
      </c>
      <c r="T509" s="66">
        <f t="shared" si="392"/>
        <v>1.1676592645533997E-3</v>
      </c>
      <c r="U509" s="66">
        <f t="shared" si="392"/>
        <v>1.15566276575305E-3</v>
      </c>
      <c r="V509" s="66">
        <f t="shared" si="392"/>
        <v>1.1436662669526995E-3</v>
      </c>
      <c r="W509" s="66">
        <f t="shared" si="392"/>
        <v>1.1316697681523497E-3</v>
      </c>
      <c r="X509" s="66">
        <f t="shared" si="392"/>
        <v>1.119673269352E-3</v>
      </c>
      <c r="Y509" s="66">
        <f t="shared" si="392"/>
        <v>1.10767677055165E-3</v>
      </c>
      <c r="Z509" s="66">
        <f t="shared" si="392"/>
        <v>1.0956802717512998E-3</v>
      </c>
      <c r="AA509" s="66">
        <f t="shared" si="392"/>
        <v>1.0836837729509496E-3</v>
      </c>
      <c r="AB509" s="66">
        <f t="shared" si="392"/>
        <v>1.0716872741505996E-3</v>
      </c>
      <c r="AC509" s="66">
        <f t="shared" si="392"/>
        <v>1.05969077535025E-3</v>
      </c>
    </row>
    <row r="510" spans="1:29" x14ac:dyDescent="0.25">
      <c r="A510" s="59" t="str">
        <f>A473</f>
        <v>Market failure (av. utilization)</v>
      </c>
      <c r="B510" s="66">
        <f t="shared" ref="B510:AC510" si="393">B499/B473-B499/B472</f>
        <v>1.6596514532388126E-2</v>
      </c>
      <c r="C510" s="66">
        <f t="shared" si="393"/>
        <v>1.6577906971925557E-2</v>
      </c>
      <c r="D510" s="66">
        <f t="shared" si="393"/>
        <v>1.6551486903495765E-2</v>
      </c>
      <c r="E510" s="66">
        <f t="shared" si="393"/>
        <v>1.6514144675576738E-2</v>
      </c>
      <c r="F510" s="66">
        <f t="shared" si="393"/>
        <v>1.6461716861288025E-2</v>
      </c>
      <c r="G510" s="66">
        <f t="shared" si="393"/>
        <v>1.6388823167540784E-2</v>
      </c>
      <c r="H510" s="66">
        <f t="shared" si="393"/>
        <v>1.6288888640371819E-2</v>
      </c>
      <c r="I510" s="66">
        <f t="shared" si="393"/>
        <v>1.6154587344407736E-2</v>
      </c>
      <c r="J510" s="66">
        <f t="shared" si="393"/>
        <v>1.6021470344074869E-2</v>
      </c>
      <c r="K510" s="66">
        <f t="shared" si="393"/>
        <v>1.58428257835996E-2</v>
      </c>
      <c r="L510" s="66">
        <f t="shared" si="393"/>
        <v>1.5619970509564882E-2</v>
      </c>
      <c r="M510" s="66">
        <f t="shared" si="393"/>
        <v>1.5362421506563365E-2</v>
      </c>
      <c r="N510" s="66">
        <f t="shared" si="393"/>
        <v>1.5088164305781894E-2</v>
      </c>
      <c r="O510" s="66">
        <f t="shared" si="393"/>
        <v>1.4754548895707192E-2</v>
      </c>
      <c r="P510" s="66">
        <f t="shared" si="393"/>
        <v>1.4448775887832133E-2</v>
      </c>
      <c r="Q510" s="66">
        <f t="shared" si="393"/>
        <v>1.4185436653433862E-2</v>
      </c>
      <c r="R510" s="66">
        <f t="shared" si="393"/>
        <v>1.3969938192964267E-2</v>
      </c>
      <c r="S510" s="66">
        <f t="shared" si="393"/>
        <v>1.3800017900544029E-2</v>
      </c>
      <c r="T510" s="66">
        <f t="shared" si="393"/>
        <v>1.366898009872871E-2</v>
      </c>
      <c r="U510" s="66">
        <f t="shared" si="393"/>
        <v>1.3568692025487735E-2</v>
      </c>
      <c r="V510" s="66">
        <f t="shared" si="393"/>
        <v>1.3491479779304406E-2</v>
      </c>
      <c r="W510" s="66">
        <f t="shared" si="393"/>
        <v>1.3430969600657622E-2</v>
      </c>
      <c r="X510" s="66">
        <f t="shared" si="393"/>
        <v>1.3382252328469322E-2</v>
      </c>
      <c r="Y510" s="66">
        <f t="shared" si="393"/>
        <v>1.3341722315020361E-2</v>
      </c>
      <c r="Z510" s="66">
        <f t="shared" si="393"/>
        <v>1.330681161698084E-2</v>
      </c>
      <c r="AA510" s="66">
        <f t="shared" si="393"/>
        <v>1.3275728002528821E-2</v>
      </c>
      <c r="AB510" s="66">
        <f t="shared" si="393"/>
        <v>1.3247237298126179E-2</v>
      </c>
      <c r="AC510" s="66">
        <f t="shared" si="393"/>
        <v>1.3220497177548854E-2</v>
      </c>
    </row>
    <row r="511" spans="1:29" x14ac:dyDescent="0.25">
      <c r="A511" s="59" t="str">
        <f>A474</f>
        <v>Payload loss (fuel)</v>
      </c>
      <c r="B511" s="66">
        <f>B499/(B472-B474)-B499/B472</f>
        <v>2.5124091616929127E-4</v>
      </c>
      <c r="C511" s="66">
        <f t="shared" ref="C511:AC511" si="394">C499/(C472-C474)-C499/C472</f>
        <v>2.5022441490938317E-4</v>
      </c>
      <c r="D511" s="66">
        <f t="shared" si="394"/>
        <v>2.487841721219089E-4</v>
      </c>
      <c r="E511" s="66">
        <f t="shared" si="394"/>
        <v>2.4675461617150798E-4</v>
      </c>
      <c r="F511" s="66">
        <f t="shared" si="394"/>
        <v>2.4391718545785368E-4</v>
      </c>
      <c r="G511" s="66">
        <f t="shared" si="394"/>
        <v>2.3999545835387028E-4</v>
      </c>
      <c r="H511" s="66">
        <f t="shared" si="394"/>
        <v>2.3466298514455107E-4</v>
      </c>
      <c r="I511" s="66">
        <f t="shared" si="394"/>
        <v>2.2757686762956385E-4</v>
      </c>
      <c r="J511" s="66">
        <f t="shared" si="394"/>
        <v>2.1903251122942606E-4</v>
      </c>
      <c r="K511" s="66">
        <f t="shared" si="394"/>
        <v>2.0829995704170837E-4</v>
      </c>
      <c r="L511" s="66">
        <f t="shared" si="394"/>
        <v>1.9558292949090061E-4</v>
      </c>
      <c r="M511" s="66">
        <f t="shared" si="394"/>
        <v>1.8150103418036918E-4</v>
      </c>
      <c r="N511" s="66">
        <f t="shared" si="394"/>
        <v>1.6703445389150071E-4</v>
      </c>
      <c r="O511" s="66">
        <f t="shared" si="394"/>
        <v>1.526089375436376E-4</v>
      </c>
      <c r="P511" s="66">
        <f t="shared" si="394"/>
        <v>1.3990407782176872E-4</v>
      </c>
      <c r="Q511" s="66">
        <f t="shared" si="394"/>
        <v>1.2941090361724521E-4</v>
      </c>
      <c r="R511" s="66">
        <f t="shared" si="394"/>
        <v>1.2119236766261216E-4</v>
      </c>
      <c r="S511" s="66">
        <f t="shared" si="394"/>
        <v>1.1501234847747545E-4</v>
      </c>
      <c r="T511" s="66">
        <f t="shared" si="394"/>
        <v>1.1049771355196338E-4</v>
      </c>
      <c r="U511" s="66">
        <f t="shared" si="394"/>
        <v>1.0725987125872246E-4</v>
      </c>
      <c r="V511" s="66">
        <f t="shared" si="394"/>
        <v>1.0495910936706137E-4</v>
      </c>
      <c r="W511" s="66">
        <f t="shared" si="394"/>
        <v>1.0332589622920156E-4</v>
      </c>
      <c r="X511" s="66">
        <f t="shared" si="394"/>
        <v>1.0215868179830681E-4</v>
      </c>
      <c r="Y511" s="66">
        <f t="shared" si="394"/>
        <v>1.0131233516157481E-4</v>
      </c>
      <c r="Z511" s="66">
        <f t="shared" si="394"/>
        <v>1.0068488827187985E-4</v>
      </c>
      <c r="AA511" s="66">
        <f t="shared" si="394"/>
        <v>1.0020584891068472E-4</v>
      </c>
      <c r="AB511" s="66">
        <f t="shared" si="394"/>
        <v>9.9827004433439108E-5</v>
      </c>
      <c r="AC511" s="66">
        <f t="shared" si="394"/>
        <v>9.9515614614340865E-5</v>
      </c>
    </row>
    <row r="512" spans="1:29" ht="15.75" thickBot="1" x14ac:dyDescent="0.3">
      <c r="A512" s="59" t="str">
        <f>A449</f>
        <v>Emission Cost</v>
      </c>
      <c r="B512" s="68">
        <f>B469*B475/B475/(B472)</f>
        <v>0</v>
      </c>
      <c r="C512" s="68">
        <f t="shared" ref="C512:AC512" si="395">C469*C475/C475/(C472)</f>
        <v>0</v>
      </c>
      <c r="D512" s="68">
        <f t="shared" si="395"/>
        <v>0</v>
      </c>
      <c r="E512" s="68">
        <f t="shared" si="395"/>
        <v>0</v>
      </c>
      <c r="F512" s="68">
        <f t="shared" si="395"/>
        <v>0</v>
      </c>
      <c r="G512" s="68">
        <f t="shared" si="395"/>
        <v>0</v>
      </c>
      <c r="H512" s="68">
        <f t="shared" si="395"/>
        <v>0</v>
      </c>
      <c r="I512" s="68">
        <f t="shared" si="395"/>
        <v>0</v>
      </c>
      <c r="J512" s="68">
        <f t="shared" si="395"/>
        <v>0</v>
      </c>
      <c r="K512" s="68">
        <f t="shared" si="395"/>
        <v>0</v>
      </c>
      <c r="L512" s="68">
        <f t="shared" si="395"/>
        <v>0</v>
      </c>
      <c r="M512" s="68">
        <f t="shared" si="395"/>
        <v>0</v>
      </c>
      <c r="N512" s="68">
        <f t="shared" si="395"/>
        <v>0</v>
      </c>
      <c r="O512" s="68">
        <f t="shared" si="395"/>
        <v>0</v>
      </c>
      <c r="P512" s="68">
        <f t="shared" si="395"/>
        <v>0</v>
      </c>
      <c r="Q512" s="68">
        <f t="shared" si="395"/>
        <v>0</v>
      </c>
      <c r="R512" s="68">
        <f t="shared" si="395"/>
        <v>0</v>
      </c>
      <c r="S512" s="68">
        <f t="shared" si="395"/>
        <v>0</v>
      </c>
      <c r="T512" s="68">
        <f t="shared" si="395"/>
        <v>0</v>
      </c>
      <c r="U512" s="68">
        <f t="shared" si="395"/>
        <v>0</v>
      </c>
      <c r="V512" s="68">
        <f t="shared" si="395"/>
        <v>0</v>
      </c>
      <c r="W512" s="68">
        <f t="shared" si="395"/>
        <v>0</v>
      </c>
      <c r="X512" s="68">
        <f t="shared" si="395"/>
        <v>0</v>
      </c>
      <c r="Y512" s="68">
        <f t="shared" si="395"/>
        <v>0</v>
      </c>
      <c r="Z512" s="68">
        <f t="shared" si="395"/>
        <v>0</v>
      </c>
      <c r="AA512" s="68">
        <f t="shared" si="395"/>
        <v>0</v>
      </c>
      <c r="AB512" s="68">
        <f t="shared" si="395"/>
        <v>0</v>
      </c>
      <c r="AC512" s="68">
        <f t="shared" si="395"/>
        <v>0</v>
      </c>
    </row>
    <row r="513" spans="1:29" ht="15.75" thickBot="1" x14ac:dyDescent="0.3">
      <c r="A513" s="31" t="s">
        <v>210</v>
      </c>
      <c r="B513" s="67">
        <f>B502+B503+B504+B505+B506+B507+B508+B509+B510+B511+B512</f>
        <v>2.5397503776248789E-2</v>
      </c>
      <c r="C513" s="67">
        <f t="shared" ref="C513:AC513" si="396">C502+C503+C504+C505+C506+C507+C508+C509+C510+C511+C512</f>
        <v>2.5368236930157044E-2</v>
      </c>
      <c r="D513" s="67">
        <f t="shared" si="396"/>
        <v>2.5326685247445795E-2</v>
      </c>
      <c r="E513" s="67">
        <f t="shared" si="396"/>
        <v>2.5267962025626426E-2</v>
      </c>
      <c r="F513" s="67">
        <f t="shared" si="396"/>
        <v>2.5185527710871205E-2</v>
      </c>
      <c r="G513" s="67">
        <f t="shared" si="396"/>
        <v>2.5070937420385783E-2</v>
      </c>
      <c r="H513" s="67">
        <f t="shared" si="396"/>
        <v>2.4913882486899699E-2</v>
      </c>
      <c r="I513" s="67">
        <f t="shared" si="396"/>
        <v>2.4702897640694305E-2</v>
      </c>
      <c r="J513" s="67">
        <f t="shared" si="396"/>
        <v>2.4492252575286769E-2</v>
      </c>
      <c r="K513" s="67">
        <f t="shared" si="396"/>
        <v>2.4210298522401783E-2</v>
      </c>
      <c r="L513" s="67">
        <f t="shared" si="396"/>
        <v>2.3859238467470331E-2</v>
      </c>
      <c r="M513" s="67">
        <f t="shared" si="396"/>
        <v>2.3454140879343735E-2</v>
      </c>
      <c r="N513" s="67">
        <f t="shared" si="396"/>
        <v>2.3023291909204453E-2</v>
      </c>
      <c r="O513" s="67">
        <f t="shared" si="396"/>
        <v>2.2502365264200665E-2</v>
      </c>
      <c r="P513" s="67">
        <f t="shared" si="396"/>
        <v>2.202543012936484E-2</v>
      </c>
      <c r="Q513" s="67">
        <f t="shared" si="396"/>
        <v>2.1615130425203431E-2</v>
      </c>
      <c r="R513" s="67">
        <f t="shared" si="396"/>
        <v>2.1279738113232204E-2</v>
      </c>
      <c r="S513" s="67">
        <f t="shared" si="396"/>
        <v>2.1015581941587189E-2</v>
      </c>
      <c r="T513" s="67">
        <f t="shared" si="396"/>
        <v>2.0812123275565544E-2</v>
      </c>
      <c r="U513" s="67">
        <f t="shared" si="396"/>
        <v>2.0656626212764755E-2</v>
      </c>
      <c r="V513" s="67">
        <f t="shared" si="396"/>
        <v>2.0537100380756703E-2</v>
      </c>
      <c r="W513" s="67">
        <f t="shared" si="396"/>
        <v>2.0443599487487085E-2</v>
      </c>
      <c r="X513" s="67">
        <f t="shared" si="396"/>
        <v>2.0368468803134681E-2</v>
      </c>
      <c r="Y513" s="67">
        <f t="shared" si="396"/>
        <v>2.0306089035269769E-2</v>
      </c>
      <c r="Z513" s="67">
        <f t="shared" si="396"/>
        <v>2.0252459516457724E-2</v>
      </c>
      <c r="AA513" s="67">
        <f t="shared" si="396"/>
        <v>2.0204788754750347E-2</v>
      </c>
      <c r="AB513" s="67">
        <f t="shared" si="396"/>
        <v>2.0161154792252896E-2</v>
      </c>
      <c r="AC513" s="67">
        <f t="shared" si="396"/>
        <v>2.0120246053379153E-2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99"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Input'!$L$183</f>
        <v>10000000</v>
      </c>
      <c r="C11" s="42">
        <f>'Parameter Input'!$M$183</f>
        <v>4000000</v>
      </c>
      <c r="D11" s="1" t="s">
        <v>15</v>
      </c>
      <c r="L11" s="51">
        <f>'Parameter Input'!$O$183</f>
        <v>12</v>
      </c>
      <c r="M11" s="52">
        <v>0</v>
      </c>
      <c r="N11" s="52">
        <v>1</v>
      </c>
      <c r="O11" s="52">
        <f>'Parameter Input'!$P$183</f>
        <v>0.9</v>
      </c>
      <c r="P11" s="53">
        <f>'Parameter Input'!$Q$183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Input'!$L$184</f>
        <v>-500000</v>
      </c>
      <c r="C12" s="61">
        <f>'Parameter Input'!$M$184</f>
        <v>-600000</v>
      </c>
      <c r="D12" s="1" t="s">
        <v>15</v>
      </c>
      <c r="L12" s="54">
        <f>'Parameter Input'!$O$184</f>
        <v>12</v>
      </c>
      <c r="M12" s="37">
        <v>0</v>
      </c>
      <c r="N12" s="37">
        <v>1</v>
      </c>
      <c r="O12" s="37">
        <f>'Parameter Input'!$P$184</f>
        <v>0.9</v>
      </c>
      <c r="P12" s="55">
        <f>'Parameter Input'!$Q$184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Input'!$L$190</f>
        <v>0.06</v>
      </c>
      <c r="C15" s="46">
        <f>'Parameter Input'!$M$190</f>
        <v>0.06</v>
      </c>
      <c r="D15" s="1" t="s">
        <v>57</v>
      </c>
      <c r="L15" s="54">
        <f>'Parameter Input'!$O$190</f>
        <v>12</v>
      </c>
      <c r="M15" s="37">
        <v>0</v>
      </c>
      <c r="N15" s="37">
        <v>1</v>
      </c>
      <c r="O15" s="37">
        <f>'Parameter Input'!$P$190</f>
        <v>0.9</v>
      </c>
      <c r="P15" s="55">
        <f>'Parameter Input'!$Q$190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Input'!$L$186</f>
        <v>1400000.0000000002</v>
      </c>
      <c r="C17" s="44">
        <f>'Parameter Input'!$M$186</f>
        <v>560000</v>
      </c>
      <c r="D17" s="1" t="s">
        <v>38</v>
      </c>
      <c r="L17" s="54">
        <f>'Parameter Input'!$O$186</f>
        <v>12</v>
      </c>
      <c r="M17" s="37">
        <v>0</v>
      </c>
      <c r="N17" s="37">
        <v>1</v>
      </c>
      <c r="O17" s="37">
        <f>'Parameter Input'!$P$186</f>
        <v>0.9</v>
      </c>
      <c r="P17" s="55">
        <f>'Parameter Input'!$Q$186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Input'!$L$187</f>
        <v>48.858472727272719</v>
      </c>
      <c r="C19" s="48">
        <f>'Parameter Input'!$M$187</f>
        <v>41.341784615384611</v>
      </c>
      <c r="D19" s="1" t="s">
        <v>60</v>
      </c>
      <c r="L19" s="54">
        <f>'Parameter Input'!$O$187</f>
        <v>12</v>
      </c>
      <c r="M19" s="37">
        <v>0</v>
      </c>
      <c r="N19" s="37">
        <v>1</v>
      </c>
      <c r="O19" s="37">
        <f>'Parameter Input'!$P$187</f>
        <v>0.9</v>
      </c>
      <c r="P19" s="55">
        <f>'Parameter Input'!$Q$187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Input'!$L$188</f>
        <v>0.2544561408768215</v>
      </c>
      <c r="C20" s="46">
        <f>'Parameter Input'!$M$188</f>
        <v>0.10949010032952979</v>
      </c>
      <c r="D20" s="1" t="s">
        <v>68</v>
      </c>
      <c r="L20" s="54">
        <f>'Parameter Input'!$O$188</f>
        <v>12</v>
      </c>
      <c r="M20" s="37">
        <v>0</v>
      </c>
      <c r="N20" s="37">
        <v>1</v>
      </c>
      <c r="O20" s="37">
        <f>'Parameter Input'!$P$188</f>
        <v>0.9</v>
      </c>
      <c r="P20" s="55">
        <f>'Parameter Input'!$Q$188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Input'!$L$191</f>
        <v>0</v>
      </c>
      <c r="C21" s="116">
        <f>'Parameter Input'!$M$191</f>
        <v>0</v>
      </c>
      <c r="D21" s="1" t="s">
        <v>76</v>
      </c>
      <c r="L21" s="54">
        <f>'Parameter Input'!$O$191</f>
        <v>17</v>
      </c>
      <c r="M21" s="37">
        <v>0</v>
      </c>
      <c r="N21" s="37">
        <v>1</v>
      </c>
      <c r="O21" s="37">
        <f>'Parameter Input'!$P$191</f>
        <v>0.9</v>
      </c>
      <c r="P21" s="55">
        <f>'Parameter Input'!$Q$191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Input'!$L$185</f>
        <v>20</v>
      </c>
      <c r="C22" s="44">
        <f>'Parameter Input'!$M$185</f>
        <v>20</v>
      </c>
      <c r="D22" s="1" t="s">
        <v>42</v>
      </c>
      <c r="L22" s="54">
        <f>'Parameter Input'!$O$185</f>
        <v>12</v>
      </c>
      <c r="M22" s="37">
        <v>0</v>
      </c>
      <c r="N22" s="37">
        <v>1</v>
      </c>
      <c r="O22" s="37">
        <f>'Parameter Input'!$P$185</f>
        <v>0.9</v>
      </c>
      <c r="P22" s="55">
        <f>'Parameter Input'!$Q$185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Input'!$L$189</f>
        <v>1.7857142857142856E-2</v>
      </c>
      <c r="C26" s="73">
        <f>'Parameter Input'!$M$189</f>
        <v>1.7857142857142856E-2</v>
      </c>
      <c r="D26" s="1" t="s">
        <v>57</v>
      </c>
      <c r="L26" s="54">
        <f>'Parameter Input'!$O$189</f>
        <v>12</v>
      </c>
      <c r="M26" s="37">
        <v>0</v>
      </c>
      <c r="N26" s="37">
        <v>1</v>
      </c>
      <c r="O26" s="37">
        <f>'Parameter Input'!$P$189</f>
        <v>0.9</v>
      </c>
      <c r="P26" s="55">
        <f>'Parameter Input'!$Q$189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53" x14ac:dyDescent="0.25">
      <c r="A41" s="30" t="str">
        <f t="shared" ref="A41" si="41">A21</f>
        <v>Emission Cost</v>
      </c>
      <c r="B41" s="66">
        <f>$B21+($C21-$B21)*(1-Q21)</f>
        <v>0</v>
      </c>
      <c r="C41" s="66">
        <f t="shared" ref="C41" si="42">$B21+($C21-$B21)*(1-R21)</f>
        <v>0</v>
      </c>
      <c r="D41" s="66">
        <f t="shared" ref="D41" si="43">$B21+($C21-$B21)*(1-S21)</f>
        <v>0</v>
      </c>
      <c r="E41" s="66">
        <f t="shared" ref="E41:AC41" si="44">$B21+($C21-$B21)*(1-T21)</f>
        <v>0</v>
      </c>
      <c r="F41" s="66">
        <f t="shared" si="44"/>
        <v>0</v>
      </c>
      <c r="G41" s="66">
        <f t="shared" si="44"/>
        <v>0</v>
      </c>
      <c r="H41" s="66">
        <f t="shared" si="44"/>
        <v>0</v>
      </c>
      <c r="I41" s="66">
        <f t="shared" si="44"/>
        <v>0</v>
      </c>
      <c r="J41" s="66">
        <f t="shared" si="44"/>
        <v>0</v>
      </c>
      <c r="K41" s="66">
        <f t="shared" si="44"/>
        <v>0</v>
      </c>
      <c r="L41" s="66">
        <f t="shared" si="44"/>
        <v>0</v>
      </c>
      <c r="M41" s="66">
        <f t="shared" si="44"/>
        <v>0</v>
      </c>
      <c r="N41" s="66">
        <f t="shared" si="44"/>
        <v>0</v>
      </c>
      <c r="O41" s="66">
        <f t="shared" si="44"/>
        <v>0</v>
      </c>
      <c r="P41" s="66">
        <f t="shared" si="44"/>
        <v>0</v>
      </c>
      <c r="Q41" s="66">
        <f t="shared" si="44"/>
        <v>0</v>
      </c>
      <c r="R41" s="66">
        <f t="shared" si="44"/>
        <v>0</v>
      </c>
      <c r="S41" s="66">
        <f t="shared" si="44"/>
        <v>0</v>
      </c>
      <c r="T41" s="66">
        <f t="shared" si="44"/>
        <v>0</v>
      </c>
      <c r="U41" s="66">
        <f t="shared" si="44"/>
        <v>0</v>
      </c>
      <c r="V41" s="66">
        <f t="shared" si="44"/>
        <v>0</v>
      </c>
      <c r="W41" s="66">
        <f t="shared" si="44"/>
        <v>0</v>
      </c>
      <c r="X41" s="66">
        <f t="shared" si="44"/>
        <v>0</v>
      </c>
      <c r="Y41" s="66">
        <f t="shared" si="44"/>
        <v>0</v>
      </c>
      <c r="Z41" s="66">
        <f t="shared" si="44"/>
        <v>0</v>
      </c>
      <c r="AA41" s="66">
        <f t="shared" si="44"/>
        <v>0</v>
      </c>
      <c r="AB41" s="66">
        <f t="shared" si="44"/>
        <v>0</v>
      </c>
      <c r="AC41" s="66">
        <f t="shared" si="44"/>
        <v>0</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1714238.8628327197</v>
      </c>
      <c r="C57" s="62">
        <f t="shared" ref="C57:AC57" si="59">C39*C40*C47</f>
        <v>1668268.5377523468</v>
      </c>
      <c r="D57" s="62">
        <f t="shared" si="59"/>
        <v>1621781.1747999815</v>
      </c>
      <c r="E57" s="62">
        <f t="shared" si="59"/>
        <v>1588035.054360566</v>
      </c>
      <c r="F57" s="62">
        <f t="shared" si="59"/>
        <v>1553293.0918412623</v>
      </c>
      <c r="G57" s="62">
        <f t="shared" si="59"/>
        <v>1517234.9894432456</v>
      </c>
      <c r="H57" s="62">
        <f t="shared" si="59"/>
        <v>1479487.7327920089</v>
      </c>
      <c r="I57" s="62">
        <f t="shared" si="59"/>
        <v>1439664.8155083221</v>
      </c>
      <c r="J57" s="62">
        <f t="shared" si="59"/>
        <v>1426344.0331401536</v>
      </c>
      <c r="K57" s="62">
        <f t="shared" si="59"/>
        <v>1409915.1324108206</v>
      </c>
      <c r="L57" s="62">
        <f t="shared" si="59"/>
        <v>1390476.6683986408</v>
      </c>
      <c r="M57" s="62">
        <f t="shared" si="59"/>
        <v>1368689.4853170433</v>
      </c>
      <c r="N57" s="62">
        <f t="shared" si="59"/>
        <v>1345792.675440459</v>
      </c>
      <c r="O57" s="62">
        <f t="shared" si="59"/>
        <v>1295416.1751911161</v>
      </c>
      <c r="P57" s="62">
        <f t="shared" si="59"/>
        <v>1247799.3807539036</v>
      </c>
      <c r="Q57" s="62">
        <f t="shared" si="59"/>
        <v>1203750.8368572691</v>
      </c>
      <c r="R57" s="62">
        <f t="shared" si="59"/>
        <v>1163416.9385204527</v>
      </c>
      <c r="S57" s="62">
        <f t="shared" si="59"/>
        <v>1126443.5101458533</v>
      </c>
      <c r="T57" s="62">
        <f t="shared" si="59"/>
        <v>1094208.2231247381</v>
      </c>
      <c r="U57" s="62">
        <f t="shared" si="59"/>
        <v>1064064.9454190303</v>
      </c>
      <c r="V57" s="62">
        <f t="shared" si="59"/>
        <v>1035448.6476211995</v>
      </c>
      <c r="W57" s="62">
        <f t="shared" si="59"/>
        <v>1007909.2716702226</v>
      </c>
      <c r="X57" s="62">
        <f t="shared" si="59"/>
        <v>981111.53031504876</v>
      </c>
      <c r="Y57" s="62">
        <f t="shared" si="59"/>
        <v>959201.76076796639</v>
      </c>
      <c r="Z57" s="62">
        <f t="shared" si="59"/>
        <v>937622.80507171992</v>
      </c>
      <c r="AA57" s="62">
        <f t="shared" si="59"/>
        <v>916264.55330222752</v>
      </c>
      <c r="AB57" s="62">
        <f t="shared" si="59"/>
        <v>895052.7552801487</v>
      </c>
      <c r="AC57" s="62">
        <f t="shared" si="59"/>
        <v>873937.77500374767</v>
      </c>
    </row>
    <row r="58" spans="1:29" ht="15.75" thickBot="1" x14ac:dyDescent="0.3">
      <c r="A58" s="59" t="str">
        <f>A21</f>
        <v>Emission Cost</v>
      </c>
      <c r="B58" s="62">
        <f>B41*B47</f>
        <v>0</v>
      </c>
      <c r="C58" s="62">
        <f t="shared" ref="C58:AC58" si="60">C41*C47</f>
        <v>0</v>
      </c>
      <c r="D58" s="62">
        <f t="shared" si="60"/>
        <v>0</v>
      </c>
      <c r="E58" s="62">
        <f t="shared" si="60"/>
        <v>0</v>
      </c>
      <c r="F58" s="62">
        <f t="shared" si="60"/>
        <v>0</v>
      </c>
      <c r="G58" s="62">
        <f t="shared" si="60"/>
        <v>0</v>
      </c>
      <c r="H58" s="62">
        <f t="shared" si="60"/>
        <v>0</v>
      </c>
      <c r="I58" s="62">
        <f t="shared" si="60"/>
        <v>0</v>
      </c>
      <c r="J58" s="62">
        <f t="shared" si="60"/>
        <v>0</v>
      </c>
      <c r="K58" s="62">
        <f t="shared" si="60"/>
        <v>0</v>
      </c>
      <c r="L58" s="62">
        <f t="shared" si="60"/>
        <v>0</v>
      </c>
      <c r="M58" s="62">
        <f t="shared" si="60"/>
        <v>0</v>
      </c>
      <c r="N58" s="62">
        <f t="shared" si="60"/>
        <v>0</v>
      </c>
      <c r="O58" s="62">
        <f t="shared" si="60"/>
        <v>0</v>
      </c>
      <c r="P58" s="62">
        <f t="shared" si="60"/>
        <v>0</v>
      </c>
      <c r="Q58" s="62">
        <f t="shared" si="60"/>
        <v>0</v>
      </c>
      <c r="R58" s="62">
        <f t="shared" si="60"/>
        <v>0</v>
      </c>
      <c r="S58" s="62">
        <f t="shared" si="60"/>
        <v>0</v>
      </c>
      <c r="T58" s="62">
        <f t="shared" si="60"/>
        <v>0</v>
      </c>
      <c r="U58" s="62">
        <f t="shared" si="60"/>
        <v>0</v>
      </c>
      <c r="V58" s="62">
        <f t="shared" si="60"/>
        <v>0</v>
      </c>
      <c r="W58" s="62">
        <f t="shared" si="60"/>
        <v>0</v>
      </c>
      <c r="X58" s="62">
        <f t="shared" si="60"/>
        <v>0</v>
      </c>
      <c r="Y58" s="62">
        <f t="shared" si="60"/>
        <v>0</v>
      </c>
      <c r="Z58" s="62">
        <f t="shared" si="60"/>
        <v>0</v>
      </c>
      <c r="AA58" s="62">
        <f t="shared" si="60"/>
        <v>0</v>
      </c>
      <c r="AB58" s="62">
        <f t="shared" si="60"/>
        <v>0</v>
      </c>
      <c r="AC58" s="62">
        <f t="shared" si="60"/>
        <v>0</v>
      </c>
    </row>
    <row r="59" spans="1:29" ht="15.75" thickBot="1" x14ac:dyDescent="0.3">
      <c r="A59" s="31" t="s">
        <v>209</v>
      </c>
      <c r="B59" s="64">
        <f>B50+B51+B52+B53+B54+B55+B56+B57+B58</f>
        <v>5564250.2768835155</v>
      </c>
      <c r="C59" s="64">
        <f t="shared" ref="C59:AC59" si="61">C50+C51+C52+C53+C54+C55+C56+C57+C58</f>
        <v>5510525.3443941604</v>
      </c>
      <c r="D59" s="64">
        <f t="shared" si="61"/>
        <v>5453027.5505578788</v>
      </c>
      <c r="E59" s="64">
        <f t="shared" si="61"/>
        <v>5403719.2440989017</v>
      </c>
      <c r="F59" s="64">
        <f t="shared" si="61"/>
        <v>5347128.2531732265</v>
      </c>
      <c r="G59" s="64">
        <f t="shared" si="61"/>
        <v>5280692.0698474376</v>
      </c>
      <c r="H59" s="64">
        <f t="shared" si="61"/>
        <v>5201297.6006904924</v>
      </c>
      <c r="I59" s="64">
        <f t="shared" si="61"/>
        <v>5105505.292534003</v>
      </c>
      <c r="J59" s="64">
        <f t="shared" si="61"/>
        <v>5019021.7038039556</v>
      </c>
      <c r="K59" s="64">
        <f t="shared" si="61"/>
        <v>4910456.6145811491</v>
      </c>
      <c r="L59" s="64">
        <f t="shared" si="61"/>
        <v>4780457.3691465054</v>
      </c>
      <c r="M59" s="64">
        <f t="shared" si="61"/>
        <v>4633650.967265211</v>
      </c>
      <c r="N59" s="64">
        <f t="shared" si="61"/>
        <v>4478771.8810427357</v>
      </c>
      <c r="O59" s="64">
        <f t="shared" si="61"/>
        <v>4299010.2687800638</v>
      </c>
      <c r="P59" s="64">
        <f t="shared" si="61"/>
        <v>4133611.5436716182</v>
      </c>
      <c r="Q59" s="64">
        <f t="shared" si="61"/>
        <v>3989465.1311739013</v>
      </c>
      <c r="R59" s="64">
        <f t="shared" si="61"/>
        <v>3868970.7666002149</v>
      </c>
      <c r="S59" s="64">
        <f t="shared" si="61"/>
        <v>3770831.3447115035</v>
      </c>
      <c r="T59" s="64">
        <f t="shared" si="61"/>
        <v>3693634.1469377456</v>
      </c>
      <c r="U59" s="64">
        <f t="shared" si="61"/>
        <v>3631343.7534927693</v>
      </c>
      <c r="V59" s="64">
        <f t="shared" si="61"/>
        <v>3580197.0750365285</v>
      </c>
      <c r="W59" s="64">
        <f t="shared" si="61"/>
        <v>3537087.8212251696</v>
      </c>
      <c r="X59" s="64">
        <f t="shared" si="61"/>
        <v>3499634.8365733614</v>
      </c>
      <c r="Y59" s="64">
        <f t="shared" si="61"/>
        <v>3470481.8227075366</v>
      </c>
      <c r="Z59" s="64">
        <f t="shared" si="61"/>
        <v>3444001.4441793086</v>
      </c>
      <c r="AA59" s="64">
        <f t="shared" si="61"/>
        <v>3419336.6874501761</v>
      </c>
      <c r="AB59" s="64">
        <f t="shared" si="61"/>
        <v>3395898.9667145903</v>
      </c>
      <c r="AC59" s="64">
        <f t="shared" si="61"/>
        <v>3373287.610745593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9.6035790634886258</v>
      </c>
      <c r="C69" s="66">
        <f t="shared" ref="C69:AC69" si="70">C39*C40*C47/C47</f>
        <v>9.346042228304464</v>
      </c>
      <c r="D69" s="66">
        <f t="shared" si="70"/>
        <v>9.0856088224088598</v>
      </c>
      <c r="E69" s="66">
        <f t="shared" si="70"/>
        <v>8.8965549263897259</v>
      </c>
      <c r="F69" s="66">
        <f t="shared" si="70"/>
        <v>8.7019220831443267</v>
      </c>
      <c r="G69" s="66">
        <f t="shared" si="70"/>
        <v>8.4999159072450734</v>
      </c>
      <c r="H69" s="66">
        <f t="shared" si="70"/>
        <v>8.2884466823081731</v>
      </c>
      <c r="I69" s="66">
        <f t="shared" si="70"/>
        <v>8.0653491064891991</v>
      </c>
      <c r="J69" s="66">
        <f t="shared" si="70"/>
        <v>7.9907228747347538</v>
      </c>
      <c r="K69" s="66">
        <f t="shared" si="70"/>
        <v>7.8986842151866696</v>
      </c>
      <c r="L69" s="66">
        <f t="shared" si="70"/>
        <v>7.7897852571352431</v>
      </c>
      <c r="M69" s="66">
        <f t="shared" si="70"/>
        <v>7.6677282090590655</v>
      </c>
      <c r="N69" s="66">
        <f t="shared" si="70"/>
        <v>7.5394547643723193</v>
      </c>
      <c r="O69" s="66">
        <f t="shared" si="70"/>
        <v>7.2572334744600342</v>
      </c>
      <c r="P69" s="66">
        <f t="shared" si="70"/>
        <v>6.9904727213103843</v>
      </c>
      <c r="Q69" s="66">
        <f t="shared" si="70"/>
        <v>6.7437021672676138</v>
      </c>
      <c r="R69" s="66">
        <f t="shared" si="70"/>
        <v>6.5177419524955331</v>
      </c>
      <c r="S69" s="66">
        <f t="shared" si="70"/>
        <v>6.3106078999767687</v>
      </c>
      <c r="T69" s="66">
        <f t="shared" si="70"/>
        <v>6.1300180567212221</v>
      </c>
      <c r="U69" s="66">
        <f t="shared" si="70"/>
        <v>5.9611481536080131</v>
      </c>
      <c r="V69" s="66">
        <f t="shared" si="70"/>
        <v>5.8008327597826304</v>
      </c>
      <c r="W69" s="66">
        <f t="shared" si="70"/>
        <v>5.6465505415698747</v>
      </c>
      <c r="X69" s="66">
        <f t="shared" si="70"/>
        <v>5.496423139019881</v>
      </c>
      <c r="Y69" s="66">
        <f t="shared" si="70"/>
        <v>5.3736793320334248</v>
      </c>
      <c r="Z69" s="66">
        <f t="shared" si="70"/>
        <v>5.2527888239312039</v>
      </c>
      <c r="AA69" s="66">
        <f t="shared" si="70"/>
        <v>5.1331347523934312</v>
      </c>
      <c r="AB69" s="66">
        <f t="shared" si="70"/>
        <v>5.0143011500288441</v>
      </c>
      <c r="AC69" s="66">
        <f t="shared" si="70"/>
        <v>4.8960099439985862</v>
      </c>
    </row>
    <row r="70" spans="1:29" ht="15.75" thickBot="1" x14ac:dyDescent="0.3">
      <c r="A70" s="59" t="str">
        <f t="shared" ref="A70" si="71">A58</f>
        <v>Emission Cost</v>
      </c>
      <c r="B70" s="66">
        <f>B41</f>
        <v>0</v>
      </c>
      <c r="C70" s="66">
        <f t="shared" ref="C70:AC70" si="72">C41</f>
        <v>0</v>
      </c>
      <c r="D70" s="66">
        <f t="shared" si="72"/>
        <v>0</v>
      </c>
      <c r="E70" s="66">
        <f t="shared" si="72"/>
        <v>0</v>
      </c>
      <c r="F70" s="66">
        <f t="shared" si="72"/>
        <v>0</v>
      </c>
      <c r="G70" s="66">
        <f t="shared" si="72"/>
        <v>0</v>
      </c>
      <c r="H70" s="66">
        <f t="shared" si="72"/>
        <v>0</v>
      </c>
      <c r="I70" s="66">
        <f t="shared" si="72"/>
        <v>0</v>
      </c>
      <c r="J70" s="66">
        <f t="shared" si="72"/>
        <v>0</v>
      </c>
      <c r="K70" s="66">
        <f t="shared" si="72"/>
        <v>0</v>
      </c>
      <c r="L70" s="66">
        <f t="shared" si="72"/>
        <v>0</v>
      </c>
      <c r="M70" s="66">
        <f t="shared" si="72"/>
        <v>0</v>
      </c>
      <c r="N70" s="66">
        <f t="shared" si="72"/>
        <v>0</v>
      </c>
      <c r="O70" s="66">
        <f t="shared" si="72"/>
        <v>0</v>
      </c>
      <c r="P70" s="66">
        <f t="shared" si="72"/>
        <v>0</v>
      </c>
      <c r="Q70" s="66">
        <f t="shared" si="72"/>
        <v>0</v>
      </c>
      <c r="R70" s="66">
        <f t="shared" si="72"/>
        <v>0</v>
      </c>
      <c r="S70" s="66">
        <f t="shared" si="72"/>
        <v>0</v>
      </c>
      <c r="T70" s="66">
        <f t="shared" si="72"/>
        <v>0</v>
      </c>
      <c r="U70" s="66">
        <f t="shared" si="72"/>
        <v>0</v>
      </c>
      <c r="V70" s="66">
        <f t="shared" si="72"/>
        <v>0</v>
      </c>
      <c r="W70" s="66">
        <f t="shared" si="72"/>
        <v>0</v>
      </c>
      <c r="X70" s="66">
        <f t="shared" si="72"/>
        <v>0</v>
      </c>
      <c r="Y70" s="66">
        <f t="shared" si="72"/>
        <v>0</v>
      </c>
      <c r="Z70" s="66">
        <f t="shared" si="72"/>
        <v>0</v>
      </c>
      <c r="AA70" s="66">
        <f t="shared" si="72"/>
        <v>0</v>
      </c>
      <c r="AB70" s="66">
        <f t="shared" si="72"/>
        <v>0</v>
      </c>
      <c r="AC70" s="66">
        <f t="shared" si="72"/>
        <v>0</v>
      </c>
    </row>
    <row r="71" spans="1:29" ht="15.75" thickBot="1" x14ac:dyDescent="0.3">
      <c r="A71" s="31" t="s">
        <v>63</v>
      </c>
      <c r="B71" s="76">
        <f>B62+B63+B64-B65+B66+B67+B68+B69+B70</f>
        <v>31.343209074001884</v>
      </c>
      <c r="C71" s="76">
        <f t="shared" ref="C71:AC71" si="73">C62+C63+C64-C65+C66+C67+C68+C69+C70</f>
        <v>31.042229060055909</v>
      </c>
      <c r="D71" s="76">
        <f t="shared" si="73"/>
        <v>30.720112567975903</v>
      </c>
      <c r="E71" s="76">
        <f t="shared" si="73"/>
        <v>30.443875557001242</v>
      </c>
      <c r="F71" s="76">
        <f t="shared" si="73"/>
        <v>30.126839193271969</v>
      </c>
      <c r="G71" s="76">
        <f t="shared" si="73"/>
        <v>29.754647690046262</v>
      </c>
      <c r="H71" s="76">
        <f t="shared" si="73"/>
        <v>29.309860747990545</v>
      </c>
      <c r="I71" s="76">
        <f t="shared" si="73"/>
        <v>28.773209161679681</v>
      </c>
      <c r="J71" s="76">
        <f t="shared" si="73"/>
        <v>28.288707264032354</v>
      </c>
      <c r="K71" s="76">
        <f t="shared" si="73"/>
        <v>27.680499481271532</v>
      </c>
      <c r="L71" s="76">
        <f t="shared" si="73"/>
        <v>26.952212392001819</v>
      </c>
      <c r="M71" s="76">
        <f t="shared" si="73"/>
        <v>26.129767563535189</v>
      </c>
      <c r="N71" s="76">
        <f t="shared" si="73"/>
        <v>25.262097612708992</v>
      </c>
      <c r="O71" s="76">
        <f t="shared" si="73"/>
        <v>24.255029756895713</v>
      </c>
      <c r="P71" s="76">
        <f t="shared" si="73"/>
        <v>23.328426254887603</v>
      </c>
      <c r="Q71" s="76">
        <f t="shared" si="73"/>
        <v>22.520883327729528</v>
      </c>
      <c r="R71" s="76">
        <f t="shared" si="73"/>
        <v>21.845844870734087</v>
      </c>
      <c r="S71" s="76">
        <f t="shared" si="73"/>
        <v>21.296044187884164</v>
      </c>
      <c r="T71" s="76">
        <f t="shared" si="73"/>
        <v>20.863566889431738</v>
      </c>
      <c r="U71" s="76">
        <f t="shared" si="73"/>
        <v>20.514601099824027</v>
      </c>
      <c r="V71" s="76">
        <f t="shared" si="73"/>
        <v>20.228065086063577</v>
      </c>
      <c r="W71" s="76">
        <f t="shared" si="73"/>
        <v>19.986556661350079</v>
      </c>
      <c r="X71" s="76">
        <f t="shared" si="73"/>
        <v>19.776736019043035</v>
      </c>
      <c r="Y71" s="76">
        <f t="shared" si="73"/>
        <v>19.613413812511798</v>
      </c>
      <c r="Z71" s="76">
        <f t="shared" si="73"/>
        <v>19.465064352969907</v>
      </c>
      <c r="AA71" s="76">
        <f t="shared" si="73"/>
        <v>19.326886444123225</v>
      </c>
      <c r="AB71" s="76">
        <f t="shared" si="73"/>
        <v>19.195582686500895</v>
      </c>
      <c r="AC71" s="76">
        <f t="shared" si="73"/>
        <v>19.068908423369262</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4.2873120819145651E-3</v>
      </c>
      <c r="C81" s="66">
        <f t="shared" ref="C81:AC81" si="82">C39*C40*C47/C47/(C44)</f>
        <v>4.1723402804930646E-3</v>
      </c>
      <c r="D81" s="66">
        <f t="shared" si="82"/>
        <v>4.0560753671468122E-3</v>
      </c>
      <c r="E81" s="66">
        <f t="shared" si="82"/>
        <v>3.9716763064239846E-3</v>
      </c>
      <c r="F81" s="66">
        <f t="shared" si="82"/>
        <v>3.8847866442608603E-3</v>
      </c>
      <c r="G81" s="66">
        <f t="shared" si="82"/>
        <v>3.7946053157344077E-3</v>
      </c>
      <c r="H81" s="66">
        <f t="shared" si="82"/>
        <v>3.7001994117447203E-3</v>
      </c>
      <c r="I81" s="66">
        <f t="shared" si="82"/>
        <v>3.6006022796826781E-3</v>
      </c>
      <c r="J81" s="66">
        <f t="shared" si="82"/>
        <v>3.5672869976494438E-3</v>
      </c>
      <c r="K81" s="66">
        <f t="shared" si="82"/>
        <v>3.5261983103511917E-3</v>
      </c>
      <c r="L81" s="66">
        <f t="shared" si="82"/>
        <v>3.4775827040782335E-3</v>
      </c>
      <c r="M81" s="66">
        <f t="shared" si="82"/>
        <v>3.4230929504727972E-3</v>
      </c>
      <c r="N81" s="66">
        <f t="shared" si="82"/>
        <v>3.365828019809071E-3</v>
      </c>
      <c r="O81" s="66">
        <f t="shared" si="82"/>
        <v>3.2398363725268009E-3</v>
      </c>
      <c r="P81" s="66">
        <f t="shared" si="82"/>
        <v>3.1207467505849928E-3</v>
      </c>
      <c r="Q81" s="66">
        <f t="shared" si="82"/>
        <v>3.0105813246730419E-3</v>
      </c>
      <c r="R81" s="66">
        <f t="shared" si="82"/>
        <v>2.9097062287926486E-3</v>
      </c>
      <c r="S81" s="66">
        <f t="shared" si="82"/>
        <v>2.8172356696324861E-3</v>
      </c>
      <c r="T81" s="66">
        <f t="shared" si="82"/>
        <v>2.7366152038934026E-3</v>
      </c>
      <c r="U81" s="66">
        <f t="shared" si="82"/>
        <v>2.6612268542892917E-3</v>
      </c>
      <c r="V81" s="66">
        <f t="shared" si="82"/>
        <v>2.5896574820458173E-3</v>
      </c>
      <c r="W81" s="66">
        <f t="shared" si="82"/>
        <v>2.5207814917722654E-3</v>
      </c>
      <c r="X81" s="66">
        <f t="shared" si="82"/>
        <v>2.4537603299195896E-3</v>
      </c>
      <c r="Y81" s="66">
        <f t="shared" si="82"/>
        <v>2.3989639875149219E-3</v>
      </c>
      <c r="Z81" s="66">
        <f t="shared" si="82"/>
        <v>2.3449950106835733E-3</v>
      </c>
      <c r="AA81" s="66">
        <f t="shared" si="82"/>
        <v>2.2915780144613534E-3</v>
      </c>
      <c r="AB81" s="66">
        <f t="shared" si="82"/>
        <v>2.2385272991200197E-3</v>
      </c>
      <c r="AC81" s="66">
        <f t="shared" si="82"/>
        <v>2.1857187249993688E-3</v>
      </c>
    </row>
    <row r="82" spans="1:29" x14ac:dyDescent="0.25">
      <c r="A82" s="59" t="str">
        <f>A45</f>
        <v>Market failure (av. utilization)</v>
      </c>
      <c r="B82" s="66">
        <f t="shared" ref="B82:AC82" si="83">B71/B45-B71/B44</f>
        <v>7.8707835286277034E-3</v>
      </c>
      <c r="C82" s="66">
        <f t="shared" si="83"/>
        <v>7.7952026099470731E-3</v>
      </c>
      <c r="D82" s="66">
        <f t="shared" si="83"/>
        <v>7.7143139819135908E-3</v>
      </c>
      <c r="E82" s="66">
        <f t="shared" si="83"/>
        <v>7.6449464289344623E-3</v>
      </c>
      <c r="F82" s="66">
        <f t="shared" si="83"/>
        <v>7.5653335027747667E-3</v>
      </c>
      <c r="G82" s="66">
        <f t="shared" si="83"/>
        <v>7.4718702346656327E-3</v>
      </c>
      <c r="H82" s="66">
        <f t="shared" si="83"/>
        <v>7.3601770851538743E-3</v>
      </c>
      <c r="I82" s="66">
        <f t="shared" si="83"/>
        <v>7.2254152470735793E-3</v>
      </c>
      <c r="J82" s="66">
        <f t="shared" si="83"/>
        <v>7.1037490339366932E-3</v>
      </c>
      <c r="K82" s="66">
        <f t="shared" si="83"/>
        <v>6.951018284917513E-3</v>
      </c>
      <c r="L82" s="66">
        <f t="shared" si="83"/>
        <v>6.7681336921879536E-3</v>
      </c>
      <c r="M82" s="66">
        <f t="shared" si="83"/>
        <v>6.5616045778966701E-3</v>
      </c>
      <c r="N82" s="66">
        <f t="shared" si="83"/>
        <v>6.3437187085485756E-3</v>
      </c>
      <c r="O82" s="66">
        <f t="shared" si="83"/>
        <v>6.0908277849347457E-3</v>
      </c>
      <c r="P82" s="66">
        <f t="shared" si="83"/>
        <v>5.8581427537385128E-3</v>
      </c>
      <c r="Q82" s="66">
        <f t="shared" si="83"/>
        <v>5.6553557463606512E-3</v>
      </c>
      <c r="R82" s="66">
        <f t="shared" si="83"/>
        <v>5.4858427409767516E-3</v>
      </c>
      <c r="S82" s="66">
        <f t="shared" si="83"/>
        <v>5.3477789534307329E-3</v>
      </c>
      <c r="T82" s="66">
        <f t="shared" si="83"/>
        <v>5.239176953261317E-3</v>
      </c>
      <c r="U82" s="66">
        <f t="shared" si="83"/>
        <v>5.151546035112059E-3</v>
      </c>
      <c r="V82" s="66">
        <f t="shared" si="83"/>
        <v>5.0795922370137324E-3</v>
      </c>
      <c r="W82" s="66">
        <f t="shared" si="83"/>
        <v>5.0189455901827763E-3</v>
      </c>
      <c r="X82" s="66">
        <f t="shared" si="83"/>
        <v>4.966256254782012E-3</v>
      </c>
      <c r="Y82" s="66">
        <f t="shared" si="83"/>
        <v>4.9252434239008408E-3</v>
      </c>
      <c r="Z82" s="66">
        <f t="shared" si="83"/>
        <v>4.88799049042213E-3</v>
      </c>
      <c r="AA82" s="66">
        <f t="shared" si="83"/>
        <v>4.8532917967943363E-3</v>
      </c>
      <c r="AB82" s="66">
        <f t="shared" si="83"/>
        <v>4.8203193130164079E-3</v>
      </c>
      <c r="AC82" s="66">
        <f t="shared" si="83"/>
        <v>4.7885093697076827E-3</v>
      </c>
    </row>
    <row r="83" spans="1:29" x14ac:dyDescent="0.25">
      <c r="A83" s="59" t="str">
        <f>A46</f>
        <v>Payload loss (fuel)</v>
      </c>
      <c r="B83" s="66">
        <f>B71/(B44-B46)-B71/B44</f>
        <v>2.5440916456170339E-4</v>
      </c>
      <c r="C83" s="66">
        <f t="shared" ref="C83:AC83" si="84">C71/(C44-C46)-C71/C44</f>
        <v>2.5196614496798657E-4</v>
      </c>
      <c r="D83" s="66">
        <f t="shared" si="84"/>
        <v>2.4935156305175288E-4</v>
      </c>
      <c r="E83" s="66">
        <f t="shared" si="84"/>
        <v>2.4710937952111475E-4</v>
      </c>
      <c r="F83" s="66">
        <f t="shared" si="84"/>
        <v>2.4453603241292136E-4</v>
      </c>
      <c r="G83" s="66">
        <f t="shared" si="84"/>
        <v>2.4151499748414212E-4</v>
      </c>
      <c r="H83" s="66">
        <f t="shared" si="84"/>
        <v>2.3790471386356087E-4</v>
      </c>
      <c r="I83" s="66">
        <f t="shared" si="84"/>
        <v>2.3354877566298358E-4</v>
      </c>
      <c r="J83" s="66">
        <f t="shared" si="84"/>
        <v>2.2961613038987444E-4</v>
      </c>
      <c r="K83" s="66">
        <f t="shared" si="84"/>
        <v>2.2467937890642553E-4</v>
      </c>
      <c r="L83" s="66">
        <f t="shared" si="84"/>
        <v>2.1876795772728802E-4</v>
      </c>
      <c r="M83" s="66">
        <f t="shared" si="84"/>
        <v>2.1209226918453804E-4</v>
      </c>
      <c r="N83" s="66">
        <f t="shared" si="84"/>
        <v>2.0504949360965197E-4</v>
      </c>
      <c r="O83" s="66">
        <f t="shared" si="84"/>
        <v>1.9687524153324393E-4</v>
      </c>
      <c r="P83" s="66">
        <f t="shared" si="84"/>
        <v>1.8935410921174997E-4</v>
      </c>
      <c r="Q83" s="66">
        <f t="shared" si="84"/>
        <v>1.8279937766014359E-4</v>
      </c>
      <c r="R83" s="66">
        <f t="shared" si="84"/>
        <v>1.7732016940530913E-4</v>
      </c>
      <c r="S83" s="66">
        <f t="shared" si="84"/>
        <v>1.7285750152503526E-4</v>
      </c>
      <c r="T83" s="66">
        <f t="shared" si="84"/>
        <v>1.6934713384279126E-4</v>
      </c>
      <c r="U83" s="66">
        <f t="shared" si="84"/>
        <v>1.6651461931675368E-4</v>
      </c>
      <c r="V83" s="66">
        <f t="shared" si="84"/>
        <v>1.6418883998428266E-4</v>
      </c>
      <c r="W83" s="66">
        <f t="shared" si="84"/>
        <v>1.6222854432914116E-4</v>
      </c>
      <c r="X83" s="66">
        <f t="shared" si="84"/>
        <v>1.6052545470002406E-4</v>
      </c>
      <c r="Y83" s="66">
        <f t="shared" si="84"/>
        <v>1.5919978743921849E-4</v>
      </c>
      <c r="Z83" s="66">
        <f t="shared" si="84"/>
        <v>1.5799565221566621E-4</v>
      </c>
      <c r="AA83" s="66">
        <f t="shared" si="84"/>
        <v>1.5687407828022214E-4</v>
      </c>
      <c r="AB83" s="66">
        <f t="shared" si="84"/>
        <v>1.558083010267941E-4</v>
      </c>
      <c r="AC83" s="66">
        <f t="shared" si="84"/>
        <v>1.5478010083903697E-4</v>
      </c>
    </row>
    <row r="84" spans="1:29" ht="15.75" thickBot="1" x14ac:dyDescent="0.3">
      <c r="A84" s="59" t="str">
        <f>A21</f>
        <v>Emission Cost</v>
      </c>
      <c r="B84" s="68">
        <f>B41*B47/B47/(B44)</f>
        <v>0</v>
      </c>
      <c r="C84" s="68">
        <f t="shared" ref="C84:AC84" si="85">C41*C47/C47/(C44)</f>
        <v>0</v>
      </c>
      <c r="D84" s="68">
        <f t="shared" si="85"/>
        <v>0</v>
      </c>
      <c r="E84" s="68">
        <f t="shared" si="85"/>
        <v>0</v>
      </c>
      <c r="F84" s="68">
        <f t="shared" si="85"/>
        <v>0</v>
      </c>
      <c r="G84" s="68">
        <f t="shared" si="85"/>
        <v>0</v>
      </c>
      <c r="H84" s="68">
        <f t="shared" si="85"/>
        <v>0</v>
      </c>
      <c r="I84" s="68">
        <f t="shared" si="85"/>
        <v>0</v>
      </c>
      <c r="J84" s="68">
        <f t="shared" si="85"/>
        <v>0</v>
      </c>
      <c r="K84" s="68">
        <f t="shared" si="85"/>
        <v>0</v>
      </c>
      <c r="L84" s="68">
        <f t="shared" si="85"/>
        <v>0</v>
      </c>
      <c r="M84" s="68">
        <f t="shared" si="85"/>
        <v>0</v>
      </c>
      <c r="N84" s="68">
        <f t="shared" si="85"/>
        <v>0</v>
      </c>
      <c r="O84" s="68">
        <f t="shared" si="85"/>
        <v>0</v>
      </c>
      <c r="P84" s="68">
        <f t="shared" si="85"/>
        <v>0</v>
      </c>
      <c r="Q84" s="68">
        <f t="shared" si="85"/>
        <v>0</v>
      </c>
      <c r="R84" s="68">
        <f t="shared" si="85"/>
        <v>0</v>
      </c>
      <c r="S84" s="68">
        <f t="shared" si="85"/>
        <v>0</v>
      </c>
      <c r="T84" s="68">
        <f t="shared" si="85"/>
        <v>0</v>
      </c>
      <c r="U84" s="68">
        <f t="shared" si="85"/>
        <v>0</v>
      </c>
      <c r="V84" s="68">
        <f t="shared" si="85"/>
        <v>0</v>
      </c>
      <c r="W84" s="68">
        <f t="shared" si="85"/>
        <v>0</v>
      </c>
      <c r="X84" s="68">
        <f t="shared" si="85"/>
        <v>0</v>
      </c>
      <c r="Y84" s="68">
        <f t="shared" si="85"/>
        <v>0</v>
      </c>
      <c r="Z84" s="68">
        <f t="shared" si="85"/>
        <v>0</v>
      </c>
      <c r="AA84" s="68">
        <f t="shared" si="85"/>
        <v>0</v>
      </c>
      <c r="AB84" s="68">
        <f t="shared" si="85"/>
        <v>0</v>
      </c>
      <c r="AC84" s="68">
        <f t="shared" si="85"/>
        <v>0</v>
      </c>
    </row>
    <row r="85" spans="1:29" ht="15.75" thickBot="1" x14ac:dyDescent="0.3">
      <c r="A85" s="31" t="s">
        <v>210</v>
      </c>
      <c r="B85" s="77">
        <f>B74+B75+B76+B77+B78+B79+B80+B81+B82+B83+B84</f>
        <v>2.2041384862265825E-2</v>
      </c>
      <c r="C85" s="77">
        <f t="shared" ref="C85:AC85" si="86">C74+C75+C76+C77+C78+C79+C80+C81+C82+C83+C84</f>
        <v>2.1828994846337033E-2</v>
      </c>
      <c r="D85" s="77">
        <f t="shared" si="86"/>
        <v>2.1601689630994451E-2</v>
      </c>
      <c r="E85" s="77">
        <f t="shared" si="86"/>
        <v>2.1406759800299571E-2</v>
      </c>
      <c r="F85" s="77">
        <f t="shared" si="86"/>
        <v>2.1183039436081109E-2</v>
      </c>
      <c r="G85" s="77">
        <f t="shared" si="86"/>
        <v>2.0920398211960293E-2</v>
      </c>
      <c r="H85" s="77">
        <f t="shared" si="86"/>
        <v>2.0606529179695937E-2</v>
      </c>
      <c r="I85" s="77">
        <f t="shared" si="86"/>
        <v>2.0227834802383431E-2</v>
      </c>
      <c r="J85" s="77">
        <f t="shared" si="86"/>
        <v>1.9885940453952304E-2</v>
      </c>
      <c r="K85" s="77">
        <f t="shared" si="86"/>
        <v>1.9456751621860023E-2</v>
      </c>
      <c r="L85" s="77">
        <f t="shared" si="86"/>
        <v>1.8942827443098775E-2</v>
      </c>
      <c r="M85" s="77">
        <f t="shared" si="86"/>
        <v>1.8362459770413571E-2</v>
      </c>
      <c r="N85" s="77">
        <f t="shared" si="86"/>
        <v>1.7750178468871752E-2</v>
      </c>
      <c r="O85" s="77">
        <f t="shared" si="86"/>
        <v>1.7039529428979155E-2</v>
      </c>
      <c r="P85" s="77">
        <f t="shared" si="86"/>
        <v>1.638566098777924E-2</v>
      </c>
      <c r="Q85" s="77">
        <f t="shared" si="86"/>
        <v>1.5815809013511345E-2</v>
      </c>
      <c r="R85" s="77">
        <f t="shared" si="86"/>
        <v>1.5339460345856787E-2</v>
      </c>
      <c r="S85" s="77">
        <f t="shared" si="86"/>
        <v>1.495148715701535E-2</v>
      </c>
      <c r="T85" s="77">
        <f t="shared" si="86"/>
        <v>1.4646304566640287E-2</v>
      </c>
      <c r="U85" s="77">
        <f t="shared" si="86"/>
        <v>1.4400052835032979E-2</v>
      </c>
      <c r="V85" s="77">
        <f t="shared" si="86"/>
        <v>1.4197855394316264E-2</v>
      </c>
      <c r="W85" s="77">
        <f t="shared" si="86"/>
        <v>1.4027432190797355E-2</v>
      </c>
      <c r="X85" s="77">
        <f t="shared" si="86"/>
        <v>1.3879369836166113E-2</v>
      </c>
      <c r="Y85" s="77">
        <f t="shared" si="86"/>
        <v>1.3764119638679836E-2</v>
      </c>
      <c r="Z85" s="77">
        <f t="shared" si="86"/>
        <v>1.3659435132682085E-2</v>
      </c>
      <c r="AA85" s="77">
        <f t="shared" si="86"/>
        <v>1.3561928298669436E-2</v>
      </c>
      <c r="AB85" s="77">
        <f t="shared" si="86"/>
        <v>1.3469272288699539E-2</v>
      </c>
      <c r="AC85" s="77">
        <f t="shared" si="86"/>
        <v>1.3379883134876433E-2</v>
      </c>
    </row>
    <row r="87" spans="1:29" x14ac:dyDescent="0.25">
      <c r="B87" s="40"/>
    </row>
    <row r="107" spans="1:2" s="3" customFormat="1" ht="21" x14ac:dyDescent="0.35">
      <c r="A107" s="2" t="str">
        <f>'Parameter Input'!A158</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Input'!$L$183</f>
        <v>10000000</v>
      </c>
      <c r="C117" s="42">
        <f>'Parameter Input'!$M$183</f>
        <v>4000000</v>
      </c>
      <c r="D117" s="1" t="s">
        <v>15</v>
      </c>
      <c r="L117" s="51">
        <f>'Parameter Input'!$O$183</f>
        <v>12</v>
      </c>
      <c r="M117" s="52">
        <v>0</v>
      </c>
      <c r="N117" s="52">
        <v>1</v>
      </c>
      <c r="O117" s="52">
        <f>'Parameter Input'!$P$183</f>
        <v>0.9</v>
      </c>
      <c r="P117" s="53">
        <f>'Parameter Input'!$Q$183</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Input'!$L$184</f>
        <v>-500000</v>
      </c>
      <c r="C118" s="61">
        <f>'Parameter Input'!$M$184</f>
        <v>-600000</v>
      </c>
      <c r="D118" s="1" t="s">
        <v>15</v>
      </c>
      <c r="L118" s="54">
        <f>'Parameter Input'!$O$184</f>
        <v>12</v>
      </c>
      <c r="M118" s="37">
        <v>0</v>
      </c>
      <c r="N118" s="37">
        <v>1</v>
      </c>
      <c r="O118" s="37">
        <f>'Parameter Input'!$P$184</f>
        <v>0.9</v>
      </c>
      <c r="P118" s="55">
        <f>'Parameter Input'!$Q$184</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Input'!$L$190</f>
        <v>0.06</v>
      </c>
      <c r="C121" s="46">
        <f>'Parameter Input'!$M$190</f>
        <v>0.06</v>
      </c>
      <c r="D121" s="1" t="s">
        <v>57</v>
      </c>
      <c r="L121" s="54">
        <f>'Parameter Input'!$O$190</f>
        <v>12</v>
      </c>
      <c r="M121" s="37">
        <v>0</v>
      </c>
      <c r="N121" s="37">
        <v>1</v>
      </c>
      <c r="O121" s="37">
        <f>'Parameter Input'!$P$190</f>
        <v>0.9</v>
      </c>
      <c r="P121" s="55">
        <f>'Parameter Input'!$Q$190</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Input'!$L$186</f>
        <v>1400000.0000000002</v>
      </c>
      <c r="C123" s="44">
        <f>'Parameter Input'!$M$186</f>
        <v>560000</v>
      </c>
      <c r="D123" s="1" t="s">
        <v>38</v>
      </c>
      <c r="L123" s="54">
        <f>'Parameter Input'!$O$186</f>
        <v>12</v>
      </c>
      <c r="M123" s="37">
        <v>0</v>
      </c>
      <c r="N123" s="37">
        <v>1</v>
      </c>
      <c r="O123" s="37">
        <f>'Parameter Input'!$P$186</f>
        <v>0.9</v>
      </c>
      <c r="P123" s="55">
        <f>'Parameter Input'!$Q$186</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Input'!$L$187</f>
        <v>48.858472727272719</v>
      </c>
      <c r="C125" s="48">
        <f>'Parameter Input'!$M$187</f>
        <v>41.341784615384611</v>
      </c>
      <c r="D125" s="1" t="s">
        <v>60</v>
      </c>
      <c r="L125" s="54">
        <f>'Parameter Input'!$O$187</f>
        <v>12</v>
      </c>
      <c r="M125" s="37">
        <v>0</v>
      </c>
      <c r="N125" s="37">
        <v>1</v>
      </c>
      <c r="O125" s="37">
        <f>'Parameter Input'!$P$187</f>
        <v>0.9</v>
      </c>
      <c r="P125" s="55">
        <f>'Parameter Input'!$Q$187</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Input'!$L$188</f>
        <v>0.2544561408768215</v>
      </c>
      <c r="C126" s="46">
        <f>'Parameter Input'!$M$188</f>
        <v>0.10949010032952979</v>
      </c>
      <c r="D126" s="1" t="s">
        <v>68</v>
      </c>
      <c r="L126" s="54">
        <f>'Parameter Input'!$O$188</f>
        <v>12</v>
      </c>
      <c r="M126" s="37">
        <v>0</v>
      </c>
      <c r="N126" s="37">
        <v>1</v>
      </c>
      <c r="O126" s="37">
        <f>'Parameter Input'!$P$188</f>
        <v>0.9</v>
      </c>
      <c r="P126" s="55">
        <f>'Parameter Input'!$Q$188</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Input'!$L$191</f>
        <v>0</v>
      </c>
      <c r="C127" s="116">
        <f>'Parameter Input'!$M$191</f>
        <v>0</v>
      </c>
      <c r="D127" s="1" t="s">
        <v>76</v>
      </c>
      <c r="L127" s="54">
        <f>'Parameter Input'!$O$191</f>
        <v>17</v>
      </c>
      <c r="M127" s="37">
        <v>0</v>
      </c>
      <c r="N127" s="37">
        <v>1</v>
      </c>
      <c r="O127" s="37">
        <f>'Parameter Input'!$P$191</f>
        <v>0.9</v>
      </c>
      <c r="P127" s="55">
        <f>'Parameter Input'!$Q$191</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Input'!$L$185</f>
        <v>20</v>
      </c>
      <c r="C128" s="44">
        <f>'Parameter Input'!$M$185</f>
        <v>20</v>
      </c>
      <c r="D128" s="1" t="s">
        <v>42</v>
      </c>
      <c r="L128" s="54">
        <f>'Parameter Input'!$O$185</f>
        <v>12</v>
      </c>
      <c r="M128" s="37">
        <v>0</v>
      </c>
      <c r="N128" s="37">
        <v>1</v>
      </c>
      <c r="O128" s="37">
        <f>'Parameter Input'!$P$185</f>
        <v>0.9</v>
      </c>
      <c r="P128" s="55">
        <f>'Parameter Input'!$Q$185</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Input'!$L$189</f>
        <v>1.7857142857142856E-2</v>
      </c>
      <c r="C132" s="73">
        <f>'Parameter Input'!$M$189</f>
        <v>1.7857142857142856E-2</v>
      </c>
      <c r="D132" s="1" t="s">
        <v>57</v>
      </c>
      <c r="L132" s="54">
        <f>'Parameter Input'!$O$189</f>
        <v>12</v>
      </c>
      <c r="M132" s="37">
        <v>0</v>
      </c>
      <c r="N132" s="37">
        <v>1</v>
      </c>
      <c r="O132" s="37">
        <f>'Parameter Input'!$P$189</f>
        <v>0.9</v>
      </c>
      <c r="P132" s="55">
        <f>'Parameter Input'!$Q$189</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5" si="93">$B117+($C117-$B117)*(1-Q117)</f>
        <v>9920787.1694490239</v>
      </c>
      <c r="C137" s="62">
        <f t="shared" ref="C137:C145" si="94">$B117+($C117-$B117)*(1-R117)</f>
        <v>9886870.5857714955</v>
      </c>
      <c r="D137" s="62">
        <f t="shared" ref="D137:D145" si="95">$B117+($C117-$B117)*(1-S117)</f>
        <v>9838713.8989523221</v>
      </c>
      <c r="E137" s="62">
        <f t="shared" ref="E137:E145" si="96">$B117+($C117-$B117)*(1-T117)</f>
        <v>9770649.0496955663</v>
      </c>
      <c r="F137" s="62">
        <f t="shared" ref="F137:F145" si="97">$B117+($C117-$B117)*(1-U117)</f>
        <v>9675087.2293306813</v>
      </c>
      <c r="G137" s="62">
        <f t="shared" ref="G137:G145" si="98">$B117+($C117-$B117)*(1-V117)</f>
        <v>9542221.6090084892</v>
      </c>
      <c r="H137" s="62">
        <f t="shared" ref="H137:H145" si="99">$B117+($C117-$B117)*(1-W117)</f>
        <v>9360067.8140595071</v>
      </c>
      <c r="I137" s="62">
        <f t="shared" ref="I137:I145" si="100">$B117+($C117-$B117)*(1-X117)</f>
        <v>9115272.63245962</v>
      </c>
      <c r="J137" s="62">
        <f t="shared" ref="J137:J145" si="101">$B117+($C117-$B117)*(1-Y117)</f>
        <v>8795278.0391574334</v>
      </c>
      <c r="K137" s="62">
        <f t="shared" ref="K137:K145" si="102">$B117+($C117-$B117)*(1-Z117)</f>
        <v>8392298.9349996019</v>
      </c>
      <c r="L137" s="62">
        <f t="shared" ref="L137:L145" si="103">$B117+($C117-$B117)*(1-AA117)</f>
        <v>7908735.5775272017</v>
      </c>
      <c r="M137" s="62">
        <f t="shared" ref="M137:M145" si="104">$B117+($C117-$B117)*(1-AB117)</f>
        <v>7361934.872850975</v>
      </c>
      <c r="N137" s="62">
        <f t="shared" ref="N137:N145" si="105">$B117+($C117-$B117)*(1-AC117)</f>
        <v>6784679.6123911208</v>
      </c>
      <c r="O137" s="62">
        <f t="shared" ref="O137:O145" si="106">$B117+($C117-$B117)*(1-AD117)</f>
        <v>6218783.6557314359</v>
      </c>
      <c r="P137" s="62">
        <f t="shared" ref="P137:P145" si="107">$B117+($C117-$B117)*(1-AE117)</f>
        <v>5703636.9182338724</v>
      </c>
      <c r="Q137" s="62">
        <f t="shared" ref="Q137:Q145" si="108">$B117+($C117-$B117)*(1-AF117)</f>
        <v>5265835.5496670641</v>
      </c>
      <c r="R137" s="62">
        <f t="shared" ref="R137:R145" si="109">$B117+($C117-$B117)*(1-AG117)</f>
        <v>4915235.0592278922</v>
      </c>
      <c r="S137" s="62">
        <f t="shared" ref="S137:S145" si="110">$B117+($C117-$B117)*(1-AH117)</f>
        <v>4647711.3242625995</v>
      </c>
      <c r="T137" s="62">
        <f t="shared" ref="T137:T145" si="111">$B117+($C117-$B117)*(1-AI117)</f>
        <v>4451059.923628551</v>
      </c>
      <c r="U137" s="62">
        <f t="shared" ref="U137:U145" si="112">$B117+($C117-$B117)*(1-AJ117)</f>
        <v>4310457.0170650128</v>
      </c>
      <c r="V137" s="62">
        <f t="shared" ref="V137:V145" si="113">$B117+($C117-$B117)*(1-AK117)</f>
        <v>4211915.1437520757</v>
      </c>
      <c r="W137" s="62">
        <f t="shared" ref="W137:W145" si="114">$B117+($C117-$B117)*(1-AL117)</f>
        <v>4143816.6524359491</v>
      </c>
      <c r="X137" s="62">
        <f t="shared" ref="X137:X145" si="115">$B117+($C117-$B117)*(1-AM117)</f>
        <v>4097213.4613503385</v>
      </c>
      <c r="Y137" s="62">
        <f t="shared" ref="Y137:Y145" si="116">$B117+($C117-$B117)*(1-AN117)</f>
        <v>4065533.4433846502</v>
      </c>
      <c r="Z137" s="62">
        <f t="shared" ref="Z137:Z145" si="117">$B117+($C117-$B117)*(1-AO117)</f>
        <v>4044095.9277436547</v>
      </c>
      <c r="AA137" s="62">
        <f t="shared" ref="AA137:AA145" si="118">$B117+($C117-$B117)*(1-AP117)</f>
        <v>4029634.1573110344</v>
      </c>
      <c r="AB137" s="62">
        <f t="shared" ref="AB137:AB145" si="119">$B117+($C117-$B117)*(1-AQ117)</f>
        <v>4019898.5652957736</v>
      </c>
      <c r="AC137" s="62">
        <f t="shared" ref="AC137:AC145"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'Parameter Input'!J5</f>
        <v>0.19695917693522813</v>
      </c>
      <c r="C146" s="62">
        <f>'Parameter Input'!K5</f>
        <v>0.1918445490889919</v>
      </c>
      <c r="D146" s="62">
        <f>'Parameter Input'!L5</f>
        <v>0.1867299212427557</v>
      </c>
      <c r="E146" s="62">
        <f>'Parameter Input'!M5</f>
        <v>0.18316543121930073</v>
      </c>
      <c r="F146" s="62">
        <f>'Parameter Input'!N5</f>
        <v>0.1796009411958458</v>
      </c>
      <c r="G146" s="62">
        <f>'Parameter Input'!O5</f>
        <v>0.17603645117239083</v>
      </c>
      <c r="H146" s="62">
        <f>'Parameter Input'!P5</f>
        <v>0.17247196114893587</v>
      </c>
      <c r="I146" s="62">
        <f>'Parameter Input'!Q5</f>
        <v>0.16890747112548093</v>
      </c>
      <c r="J146" s="62">
        <f>'Parameter Input'!R5</f>
        <v>0.16876144856602932</v>
      </c>
      <c r="K146" s="62">
        <f>'Parameter Input'!S5</f>
        <v>0.16861542600657767</v>
      </c>
      <c r="L146" s="62">
        <f>'Parameter Input'!T5</f>
        <v>0.16846940344712602</v>
      </c>
      <c r="M146" s="62">
        <f>'Parameter Input'!U5</f>
        <v>0.1683233808876744</v>
      </c>
      <c r="N146" s="62">
        <f>'Parameter Input'!V5</f>
        <v>0.16817735832822278</v>
      </c>
      <c r="O146" s="62">
        <f>'Parameter Input'!W5</f>
        <v>0.16448316805908789</v>
      </c>
      <c r="P146" s="62">
        <f>'Parameter Input'!X5</f>
        <v>0.16078897778995299</v>
      </c>
      <c r="Q146" s="62">
        <f>'Parameter Input'!Y5</f>
        <v>0.15709478752081807</v>
      </c>
      <c r="R146" s="62">
        <f>'Parameter Input'!Z5</f>
        <v>0.15340059725168312</v>
      </c>
      <c r="S146" s="62">
        <f>'Parameter Input'!AA5</f>
        <v>0.1497064069825482</v>
      </c>
      <c r="T146" s="62">
        <f>'Parameter Input'!AB5</f>
        <v>0.14627718374621171</v>
      </c>
      <c r="U146" s="62">
        <f>'Parameter Input'!AC5</f>
        <v>0.14284796050987525</v>
      </c>
      <c r="V146" s="62">
        <f>'Parameter Input'!AD5</f>
        <v>0.13941873727353876</v>
      </c>
      <c r="W146" s="62">
        <f>'Parameter Input'!AE5</f>
        <v>0.13598951403720227</v>
      </c>
      <c r="X146" s="62">
        <f>'Parameter Input'!AF5</f>
        <v>0.13256029080086582</v>
      </c>
      <c r="Y146" s="62">
        <f>'Parameter Input'!AG5</f>
        <v>0.12972417970496936</v>
      </c>
      <c r="Z146" s="62">
        <f>'Parameter Input'!AH5</f>
        <v>0.12688806860907287</v>
      </c>
      <c r="AA146" s="62">
        <f>'Parameter Input'!AI5</f>
        <v>0.12405195751317638</v>
      </c>
      <c r="AB146" s="62">
        <f>'Parameter Input'!AJ5</f>
        <v>0.12121584641727991</v>
      </c>
      <c r="AC146" s="62">
        <f>'Parameter Input'!AK5</f>
        <v>0.11837973532138339</v>
      </c>
    </row>
    <row r="147" spans="1:29" x14ac:dyDescent="0.25">
      <c r="A147" s="30" t="str">
        <f t="shared" ref="A147" si="121">A127</f>
        <v>Emission Cost</v>
      </c>
      <c r="B147" s="66">
        <f>$B127+($C127-$B127)*(1-Q127)</f>
        <v>0</v>
      </c>
      <c r="C147" s="66">
        <f t="shared" ref="C147" si="122">$B127+($C127-$B127)*(1-R127)</f>
        <v>0</v>
      </c>
      <c r="D147" s="66">
        <f t="shared" ref="D147" si="123">$B127+($C127-$B127)*(1-S127)</f>
        <v>0</v>
      </c>
      <c r="E147" s="66">
        <f t="shared" ref="E147" si="124">$B127+($C127-$B127)*(1-T127)</f>
        <v>0</v>
      </c>
      <c r="F147" s="66">
        <f t="shared" ref="F147" si="125">$B127+($C127-$B127)*(1-U127)</f>
        <v>0</v>
      </c>
      <c r="G147" s="66">
        <f t="shared" ref="G147" si="126">$B127+($C127-$B127)*(1-V127)</f>
        <v>0</v>
      </c>
      <c r="H147" s="66">
        <f t="shared" ref="H147" si="127">$B127+($C127-$B127)*(1-W127)</f>
        <v>0</v>
      </c>
      <c r="I147" s="66">
        <f t="shared" ref="I147" si="128">$B127+($C127-$B127)*(1-X127)</f>
        <v>0</v>
      </c>
      <c r="J147" s="66">
        <f t="shared" ref="J147" si="129">$B127+($C127-$B127)*(1-Y127)</f>
        <v>0</v>
      </c>
      <c r="K147" s="66">
        <f t="shared" ref="K147" si="130">$B127+($C127-$B127)*(1-Z127)</f>
        <v>0</v>
      </c>
      <c r="L147" s="66">
        <f t="shared" ref="L147" si="131">$B127+($C127-$B127)*(1-AA127)</f>
        <v>0</v>
      </c>
      <c r="M147" s="66">
        <f t="shared" ref="M147" si="132">$B127+($C127-$B127)*(1-AB127)</f>
        <v>0</v>
      </c>
      <c r="N147" s="66">
        <f t="shared" ref="N147" si="133">$B127+($C127-$B127)*(1-AC127)</f>
        <v>0</v>
      </c>
      <c r="O147" s="66">
        <f t="shared" ref="O147" si="134">$B127+($C127-$B127)*(1-AD127)</f>
        <v>0</v>
      </c>
      <c r="P147" s="66">
        <f t="shared" ref="P147" si="135">$B127+($C127-$B127)*(1-AE127)</f>
        <v>0</v>
      </c>
      <c r="Q147" s="66">
        <f t="shared" ref="Q147" si="136">$B127+($C127-$B127)*(1-AF127)</f>
        <v>0</v>
      </c>
      <c r="R147" s="66">
        <f t="shared" ref="R147" si="137">$B127+($C127-$B127)*(1-AG127)</f>
        <v>0</v>
      </c>
      <c r="S147" s="66">
        <f t="shared" ref="S147" si="138">$B127+($C127-$B127)*(1-AH127)</f>
        <v>0</v>
      </c>
      <c r="T147" s="66">
        <f t="shared" ref="T147" si="139">$B127+($C127-$B127)*(1-AI127)</f>
        <v>0</v>
      </c>
      <c r="U147" s="66">
        <f t="shared" ref="U147" si="140">$B127+($C127-$B127)*(1-AJ127)</f>
        <v>0</v>
      </c>
      <c r="V147" s="66">
        <f t="shared" ref="V147" si="141">$B127+($C127-$B127)*(1-AK127)</f>
        <v>0</v>
      </c>
      <c r="W147" s="66">
        <f t="shared" ref="W147" si="142">$B127+($C127-$B127)*(1-AL127)</f>
        <v>0</v>
      </c>
      <c r="X147" s="66">
        <f t="shared" ref="X147" si="143">$B127+($C127-$B127)*(1-AM127)</f>
        <v>0</v>
      </c>
      <c r="Y147" s="66">
        <f t="shared" ref="Y147" si="144">$B127+($C127-$B127)*(1-AN127)</f>
        <v>0</v>
      </c>
      <c r="Z147" s="66">
        <f t="shared" ref="Z147" si="145">$B127+($C127-$B127)*(1-AO127)</f>
        <v>0</v>
      </c>
      <c r="AA147" s="66">
        <f t="shared" ref="AA147" si="146">$B127+($C127-$B127)*(1-AP127)</f>
        <v>0</v>
      </c>
      <c r="AB147" s="66">
        <f t="shared" ref="AB147" si="147">$B127+($C127-$B127)*(1-AQ127)</f>
        <v>0</v>
      </c>
      <c r="AC147" s="66">
        <f t="shared" ref="AC147" si="148">$B127+($C127-$B127)*(1-AR127)</f>
        <v>0</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1714238.8628327197</v>
      </c>
      <c r="C163" s="62">
        <f t="shared" ref="C163:AC163" si="163">C145*C146*C153</f>
        <v>1668268.5377523468</v>
      </c>
      <c r="D163" s="62">
        <f t="shared" si="163"/>
        <v>1621781.1747999815</v>
      </c>
      <c r="E163" s="62">
        <f t="shared" si="163"/>
        <v>1588035.054360566</v>
      </c>
      <c r="F163" s="62">
        <f t="shared" si="163"/>
        <v>1553293.0918412623</v>
      </c>
      <c r="G163" s="62">
        <f t="shared" si="163"/>
        <v>1517234.9894432456</v>
      </c>
      <c r="H163" s="62">
        <f t="shared" si="163"/>
        <v>1479487.7327920089</v>
      </c>
      <c r="I163" s="62">
        <f t="shared" si="163"/>
        <v>1439664.8155083221</v>
      </c>
      <c r="J163" s="62">
        <f t="shared" si="163"/>
        <v>1426344.0331401536</v>
      </c>
      <c r="K163" s="62">
        <f t="shared" si="163"/>
        <v>1409915.1324108206</v>
      </c>
      <c r="L163" s="62">
        <f t="shared" si="163"/>
        <v>1390476.6683986408</v>
      </c>
      <c r="M163" s="62">
        <f t="shared" si="163"/>
        <v>1368689.4853170433</v>
      </c>
      <c r="N163" s="62">
        <f t="shared" si="163"/>
        <v>1345792.675440459</v>
      </c>
      <c r="O163" s="62">
        <f t="shared" si="163"/>
        <v>1295416.1751911161</v>
      </c>
      <c r="P163" s="62">
        <f t="shared" si="163"/>
        <v>1247799.3807539036</v>
      </c>
      <c r="Q163" s="62">
        <f t="shared" si="163"/>
        <v>1203750.8368572691</v>
      </c>
      <c r="R163" s="62">
        <f t="shared" si="163"/>
        <v>1163416.9385204527</v>
      </c>
      <c r="S163" s="62">
        <f t="shared" si="163"/>
        <v>1126443.5101458533</v>
      </c>
      <c r="T163" s="62">
        <f t="shared" si="163"/>
        <v>1094208.2231247381</v>
      </c>
      <c r="U163" s="62">
        <f t="shared" si="163"/>
        <v>1064064.9454190303</v>
      </c>
      <c r="V163" s="62">
        <f t="shared" si="163"/>
        <v>1035448.6476211995</v>
      </c>
      <c r="W163" s="62">
        <f t="shared" si="163"/>
        <v>1007909.2716702226</v>
      </c>
      <c r="X163" s="62">
        <f t="shared" si="163"/>
        <v>981111.53031504876</v>
      </c>
      <c r="Y163" s="62">
        <f t="shared" si="163"/>
        <v>959201.76076796639</v>
      </c>
      <c r="Z163" s="62">
        <f t="shared" si="163"/>
        <v>937622.80507171992</v>
      </c>
      <c r="AA163" s="62">
        <f t="shared" si="163"/>
        <v>916264.55330222752</v>
      </c>
      <c r="AB163" s="62">
        <f t="shared" si="163"/>
        <v>895052.7552801487</v>
      </c>
      <c r="AC163" s="62">
        <f t="shared" si="163"/>
        <v>873937.77500374767</v>
      </c>
    </row>
    <row r="164" spans="1:29" ht="15.75" thickBot="1" x14ac:dyDescent="0.3">
      <c r="A164" s="59" t="str">
        <f>A127</f>
        <v>Emission Cost</v>
      </c>
      <c r="B164" s="62">
        <f>B147*B153</f>
        <v>0</v>
      </c>
      <c r="C164" s="62">
        <f t="shared" ref="C164:AC164" si="164">C147*C153</f>
        <v>0</v>
      </c>
      <c r="D164" s="62">
        <f t="shared" si="164"/>
        <v>0</v>
      </c>
      <c r="E164" s="62">
        <f t="shared" si="164"/>
        <v>0</v>
      </c>
      <c r="F164" s="62">
        <f t="shared" si="164"/>
        <v>0</v>
      </c>
      <c r="G164" s="62">
        <f t="shared" si="164"/>
        <v>0</v>
      </c>
      <c r="H164" s="62">
        <f t="shared" si="164"/>
        <v>0</v>
      </c>
      <c r="I164" s="62">
        <f t="shared" si="164"/>
        <v>0</v>
      </c>
      <c r="J164" s="62">
        <f t="shared" si="164"/>
        <v>0</v>
      </c>
      <c r="K164" s="62">
        <f t="shared" si="164"/>
        <v>0</v>
      </c>
      <c r="L164" s="62">
        <f t="shared" si="164"/>
        <v>0</v>
      </c>
      <c r="M164" s="62">
        <f t="shared" si="164"/>
        <v>0</v>
      </c>
      <c r="N164" s="62">
        <f t="shared" si="164"/>
        <v>0</v>
      </c>
      <c r="O164" s="62">
        <f t="shared" si="164"/>
        <v>0</v>
      </c>
      <c r="P164" s="62">
        <f t="shared" si="164"/>
        <v>0</v>
      </c>
      <c r="Q164" s="62">
        <f t="shared" si="164"/>
        <v>0</v>
      </c>
      <c r="R164" s="62">
        <f t="shared" si="164"/>
        <v>0</v>
      </c>
      <c r="S164" s="62">
        <f t="shared" si="164"/>
        <v>0</v>
      </c>
      <c r="T164" s="62">
        <f t="shared" si="164"/>
        <v>0</v>
      </c>
      <c r="U164" s="62">
        <f t="shared" si="164"/>
        <v>0</v>
      </c>
      <c r="V164" s="62">
        <f t="shared" si="164"/>
        <v>0</v>
      </c>
      <c r="W164" s="62">
        <f t="shared" si="164"/>
        <v>0</v>
      </c>
      <c r="X164" s="62">
        <f t="shared" si="164"/>
        <v>0</v>
      </c>
      <c r="Y164" s="62">
        <f t="shared" si="164"/>
        <v>0</v>
      </c>
      <c r="Z164" s="62">
        <f t="shared" si="164"/>
        <v>0</v>
      </c>
      <c r="AA164" s="62">
        <f t="shared" si="164"/>
        <v>0</v>
      </c>
      <c r="AB164" s="62">
        <f t="shared" si="164"/>
        <v>0</v>
      </c>
      <c r="AC164" s="62">
        <f t="shared" si="164"/>
        <v>0</v>
      </c>
    </row>
    <row r="165" spans="1:29" ht="15.75" thickBot="1" x14ac:dyDescent="0.3">
      <c r="A165" s="31" t="s">
        <v>209</v>
      </c>
      <c r="B165" s="64">
        <f>B156+B157+B158+B159+B160+B161+B162+B163+B164</f>
        <v>5580873.3291652789</v>
      </c>
      <c r="C165" s="64">
        <f t="shared" ref="C165:AC165" si="165">C156+C157+C158+C159+C160+C161+C162+C163+C164</f>
        <v>5527148.3966759238</v>
      </c>
      <c r="D165" s="64">
        <f t="shared" si="165"/>
        <v>5469650.6028396413</v>
      </c>
      <c r="E165" s="64">
        <f t="shared" si="165"/>
        <v>5420342.2963806642</v>
      </c>
      <c r="F165" s="64">
        <f t="shared" si="165"/>
        <v>5363751.3054549899</v>
      </c>
      <c r="G165" s="64">
        <f t="shared" si="165"/>
        <v>5297315.1221292</v>
      </c>
      <c r="H165" s="64">
        <f t="shared" si="165"/>
        <v>5217920.6529722558</v>
      </c>
      <c r="I165" s="64">
        <f t="shared" si="165"/>
        <v>5122128.3448157664</v>
      </c>
      <c r="J165" s="64">
        <f t="shared" si="165"/>
        <v>5035644.7560857181</v>
      </c>
      <c r="K165" s="64">
        <f t="shared" si="165"/>
        <v>4927079.6668629115</v>
      </c>
      <c r="L165" s="64">
        <f t="shared" si="165"/>
        <v>4797080.4214282678</v>
      </c>
      <c r="M165" s="64">
        <f t="shared" si="165"/>
        <v>4650274.0195469745</v>
      </c>
      <c r="N165" s="64">
        <f t="shared" si="165"/>
        <v>4495394.9333244991</v>
      </c>
      <c r="O165" s="64">
        <f t="shared" si="165"/>
        <v>4315633.3210618272</v>
      </c>
      <c r="P165" s="64">
        <f t="shared" si="165"/>
        <v>4150234.5959533807</v>
      </c>
      <c r="Q165" s="64">
        <f t="shared" si="165"/>
        <v>4006088.1834556642</v>
      </c>
      <c r="R165" s="64">
        <f t="shared" si="165"/>
        <v>3885593.8188819773</v>
      </c>
      <c r="S165" s="64">
        <f t="shared" si="165"/>
        <v>3787454.3969932664</v>
      </c>
      <c r="T165" s="64">
        <f t="shared" si="165"/>
        <v>3710257.1992195081</v>
      </c>
      <c r="U165" s="64">
        <f t="shared" si="165"/>
        <v>3647966.8057745318</v>
      </c>
      <c r="V165" s="64">
        <f t="shared" si="165"/>
        <v>3596820.1273182915</v>
      </c>
      <c r="W165" s="64">
        <f t="shared" si="165"/>
        <v>3553710.8735069321</v>
      </c>
      <c r="X165" s="64">
        <f t="shared" si="165"/>
        <v>3516257.8888551248</v>
      </c>
      <c r="Y165" s="64">
        <f t="shared" si="165"/>
        <v>3487104.8749892996</v>
      </c>
      <c r="Z165" s="64">
        <f t="shared" si="165"/>
        <v>3460624.4964610711</v>
      </c>
      <c r="AA165" s="64">
        <f t="shared" si="165"/>
        <v>3435959.7397319386</v>
      </c>
      <c r="AB165" s="64">
        <f t="shared" si="165"/>
        <v>3412522.0189963528</v>
      </c>
      <c r="AC165" s="64">
        <f t="shared" si="165"/>
        <v>3389910.6630273559</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9.6035790634886258</v>
      </c>
      <c r="C175" s="66">
        <f t="shared" ref="C175:AC175" si="174">C145*C146*C153/C153</f>
        <v>9.346042228304464</v>
      </c>
      <c r="D175" s="66">
        <f t="shared" si="174"/>
        <v>9.0856088224088598</v>
      </c>
      <c r="E175" s="66">
        <f t="shared" si="174"/>
        <v>8.8965549263897259</v>
      </c>
      <c r="F175" s="66">
        <f t="shared" si="174"/>
        <v>8.7019220831443267</v>
      </c>
      <c r="G175" s="66">
        <f t="shared" si="174"/>
        <v>8.4999159072450734</v>
      </c>
      <c r="H175" s="66">
        <f t="shared" si="174"/>
        <v>8.2884466823081731</v>
      </c>
      <c r="I175" s="66">
        <f t="shared" si="174"/>
        <v>8.0653491064891991</v>
      </c>
      <c r="J175" s="66">
        <f t="shared" si="174"/>
        <v>7.9907228747347538</v>
      </c>
      <c r="K175" s="66">
        <f t="shared" si="174"/>
        <v>7.8986842151866696</v>
      </c>
      <c r="L175" s="66">
        <f t="shared" si="174"/>
        <v>7.7897852571352431</v>
      </c>
      <c r="M175" s="66">
        <f t="shared" si="174"/>
        <v>7.6677282090590655</v>
      </c>
      <c r="N175" s="66">
        <f t="shared" si="174"/>
        <v>7.5394547643723193</v>
      </c>
      <c r="O175" s="66">
        <f t="shared" si="174"/>
        <v>7.2572334744600342</v>
      </c>
      <c r="P175" s="66">
        <f t="shared" si="174"/>
        <v>6.9904727213103843</v>
      </c>
      <c r="Q175" s="66">
        <f t="shared" si="174"/>
        <v>6.7437021672676138</v>
      </c>
      <c r="R175" s="66">
        <f t="shared" si="174"/>
        <v>6.5177419524955331</v>
      </c>
      <c r="S175" s="66">
        <f t="shared" si="174"/>
        <v>6.3106078999767687</v>
      </c>
      <c r="T175" s="66">
        <f t="shared" si="174"/>
        <v>6.1300180567212221</v>
      </c>
      <c r="U175" s="66">
        <f t="shared" si="174"/>
        <v>5.9611481536080131</v>
      </c>
      <c r="V175" s="66">
        <f t="shared" si="174"/>
        <v>5.8008327597826304</v>
      </c>
      <c r="W175" s="66">
        <f t="shared" si="174"/>
        <v>5.6465505415698747</v>
      </c>
      <c r="X175" s="66">
        <f t="shared" si="174"/>
        <v>5.496423139019881</v>
      </c>
      <c r="Y175" s="66">
        <f t="shared" si="174"/>
        <v>5.3736793320334248</v>
      </c>
      <c r="Z175" s="66">
        <f t="shared" si="174"/>
        <v>5.2527888239312039</v>
      </c>
      <c r="AA175" s="66">
        <f t="shared" si="174"/>
        <v>5.1331347523934312</v>
      </c>
      <c r="AB175" s="66">
        <f t="shared" si="174"/>
        <v>5.0143011500288441</v>
      </c>
      <c r="AC175" s="66">
        <f t="shared" si="174"/>
        <v>4.8960099439985862</v>
      </c>
    </row>
    <row r="176" spans="1:29" ht="15.75" thickBot="1" x14ac:dyDescent="0.3">
      <c r="A176" s="59" t="str">
        <f t="shared" ref="A176" si="175">A164</f>
        <v>Emission Cost</v>
      </c>
      <c r="B176" s="66">
        <f>B147</f>
        <v>0</v>
      </c>
      <c r="C176" s="66">
        <f t="shared" ref="C176:AC176" si="176">C147</f>
        <v>0</v>
      </c>
      <c r="D176" s="66">
        <f t="shared" si="176"/>
        <v>0</v>
      </c>
      <c r="E176" s="66">
        <f t="shared" si="176"/>
        <v>0</v>
      </c>
      <c r="F176" s="66">
        <f t="shared" si="176"/>
        <v>0</v>
      </c>
      <c r="G176" s="66">
        <f t="shared" si="176"/>
        <v>0</v>
      </c>
      <c r="H176" s="66">
        <f t="shared" si="176"/>
        <v>0</v>
      </c>
      <c r="I176" s="66">
        <f t="shared" si="176"/>
        <v>0</v>
      </c>
      <c r="J176" s="66">
        <f t="shared" si="176"/>
        <v>0</v>
      </c>
      <c r="K176" s="66">
        <f t="shared" si="176"/>
        <v>0</v>
      </c>
      <c r="L176" s="66">
        <f t="shared" si="176"/>
        <v>0</v>
      </c>
      <c r="M176" s="66">
        <f t="shared" si="176"/>
        <v>0</v>
      </c>
      <c r="N176" s="66">
        <f t="shared" si="176"/>
        <v>0</v>
      </c>
      <c r="O176" s="66">
        <f t="shared" si="176"/>
        <v>0</v>
      </c>
      <c r="P176" s="66">
        <f t="shared" si="176"/>
        <v>0</v>
      </c>
      <c r="Q176" s="66">
        <f t="shared" si="176"/>
        <v>0</v>
      </c>
      <c r="R176" s="66">
        <f t="shared" si="176"/>
        <v>0</v>
      </c>
      <c r="S176" s="66">
        <f t="shared" si="176"/>
        <v>0</v>
      </c>
      <c r="T176" s="66">
        <f t="shared" si="176"/>
        <v>0</v>
      </c>
      <c r="U176" s="66">
        <f t="shared" si="176"/>
        <v>0</v>
      </c>
      <c r="V176" s="66">
        <f t="shared" si="176"/>
        <v>0</v>
      </c>
      <c r="W176" s="66">
        <f t="shared" si="176"/>
        <v>0</v>
      </c>
      <c r="X176" s="66">
        <f t="shared" si="176"/>
        <v>0</v>
      </c>
      <c r="Y176" s="66">
        <f t="shared" si="176"/>
        <v>0</v>
      </c>
      <c r="Z176" s="66">
        <f t="shared" si="176"/>
        <v>0</v>
      </c>
      <c r="AA176" s="66">
        <f t="shared" si="176"/>
        <v>0</v>
      </c>
      <c r="AB176" s="66">
        <f t="shared" si="176"/>
        <v>0</v>
      </c>
      <c r="AC176" s="66">
        <f t="shared" si="176"/>
        <v>0</v>
      </c>
    </row>
    <row r="177" spans="1:29" ht="15.75" thickBot="1" x14ac:dyDescent="0.3">
      <c r="A177" s="31" t="s">
        <v>63</v>
      </c>
      <c r="B177" s="76">
        <f>B168+B169+B170-B171+B172+B173+B174+B175+B176</f>
        <v>31.493314955740644</v>
      </c>
      <c r="C177" s="76">
        <f t="shared" ref="C177:AC177" si="177">C168+C169+C170-C171+C172+C173+C174+C175+C176</f>
        <v>31.192334941794677</v>
      </c>
      <c r="D177" s="76">
        <f t="shared" si="177"/>
        <v>30.870218449714663</v>
      </c>
      <c r="E177" s="76">
        <f t="shared" si="177"/>
        <v>30.593981438740009</v>
      </c>
      <c r="F177" s="76">
        <f t="shared" si="177"/>
        <v>30.276945075010737</v>
      </c>
      <c r="G177" s="76">
        <f t="shared" si="177"/>
        <v>29.904753571785022</v>
      </c>
      <c r="H177" s="76">
        <f t="shared" si="177"/>
        <v>29.459966629729312</v>
      </c>
      <c r="I177" s="76">
        <f t="shared" si="177"/>
        <v>28.923315043418448</v>
      </c>
      <c r="J177" s="76">
        <f t="shared" si="177"/>
        <v>28.438813145771121</v>
      </c>
      <c r="K177" s="76">
        <f t="shared" si="177"/>
        <v>27.830605363010299</v>
      </c>
      <c r="L177" s="76">
        <f t="shared" si="177"/>
        <v>27.102318273740586</v>
      </c>
      <c r="M177" s="76">
        <f t="shared" si="177"/>
        <v>26.27987344527395</v>
      </c>
      <c r="N177" s="76">
        <f t="shared" si="177"/>
        <v>25.412203494447759</v>
      </c>
      <c r="O177" s="76">
        <f t="shared" si="177"/>
        <v>24.405135638634476</v>
      </c>
      <c r="P177" s="76">
        <f t="shared" si="177"/>
        <v>23.47853213662637</v>
      </c>
      <c r="Q177" s="76">
        <f t="shared" si="177"/>
        <v>22.670989209468292</v>
      </c>
      <c r="R177" s="76">
        <f t="shared" si="177"/>
        <v>21.995950752472851</v>
      </c>
      <c r="S177" s="76">
        <f t="shared" si="177"/>
        <v>21.446150069622927</v>
      </c>
      <c r="T177" s="76">
        <f t="shared" si="177"/>
        <v>21.013672771170501</v>
      </c>
      <c r="U177" s="76">
        <f t="shared" si="177"/>
        <v>20.664706981562794</v>
      </c>
      <c r="V177" s="76">
        <f t="shared" si="177"/>
        <v>20.37817096780234</v>
      </c>
      <c r="W177" s="76">
        <f t="shared" si="177"/>
        <v>20.136662543088843</v>
      </c>
      <c r="X177" s="76">
        <f t="shared" si="177"/>
        <v>19.926841900781795</v>
      </c>
      <c r="Y177" s="76">
        <f t="shared" si="177"/>
        <v>19.763519694250562</v>
      </c>
      <c r="Z177" s="76">
        <f t="shared" si="177"/>
        <v>19.615170234708671</v>
      </c>
      <c r="AA177" s="76">
        <f t="shared" si="177"/>
        <v>19.476992325861989</v>
      </c>
      <c r="AB177" s="76">
        <f t="shared" si="177"/>
        <v>19.345688568239659</v>
      </c>
      <c r="AC177" s="76">
        <f t="shared" si="177"/>
        <v>19.219014305108026</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4.2873120819145651E-3</v>
      </c>
      <c r="C187" s="66">
        <f t="shared" ref="C187:AC187" si="186">C145*C146*C153/C153/(C150)</f>
        <v>4.1723402804930646E-3</v>
      </c>
      <c r="D187" s="66">
        <f t="shared" si="186"/>
        <v>4.0560753671468122E-3</v>
      </c>
      <c r="E187" s="66">
        <f t="shared" si="186"/>
        <v>3.9716763064239846E-3</v>
      </c>
      <c r="F187" s="66">
        <f t="shared" si="186"/>
        <v>3.8847866442608603E-3</v>
      </c>
      <c r="G187" s="66">
        <f t="shared" si="186"/>
        <v>3.7946053157344077E-3</v>
      </c>
      <c r="H187" s="66">
        <f t="shared" si="186"/>
        <v>3.7001994117447203E-3</v>
      </c>
      <c r="I187" s="66">
        <f t="shared" si="186"/>
        <v>3.6006022796826781E-3</v>
      </c>
      <c r="J187" s="66">
        <f t="shared" si="186"/>
        <v>3.5672869976494438E-3</v>
      </c>
      <c r="K187" s="66">
        <f t="shared" si="186"/>
        <v>3.5261983103511917E-3</v>
      </c>
      <c r="L187" s="66">
        <f t="shared" si="186"/>
        <v>3.4775827040782335E-3</v>
      </c>
      <c r="M187" s="66">
        <f t="shared" si="186"/>
        <v>3.4230929504727972E-3</v>
      </c>
      <c r="N187" s="66">
        <f t="shared" si="186"/>
        <v>3.365828019809071E-3</v>
      </c>
      <c r="O187" s="66">
        <f t="shared" si="186"/>
        <v>3.2398363725268009E-3</v>
      </c>
      <c r="P187" s="66">
        <f t="shared" si="186"/>
        <v>3.1207467505849928E-3</v>
      </c>
      <c r="Q187" s="66">
        <f t="shared" si="186"/>
        <v>3.0105813246730419E-3</v>
      </c>
      <c r="R187" s="66">
        <f t="shared" si="186"/>
        <v>2.9097062287926486E-3</v>
      </c>
      <c r="S187" s="66">
        <f t="shared" si="186"/>
        <v>2.8172356696324861E-3</v>
      </c>
      <c r="T187" s="66">
        <f t="shared" si="186"/>
        <v>2.7366152038934026E-3</v>
      </c>
      <c r="U187" s="66">
        <f t="shared" si="186"/>
        <v>2.6612268542892917E-3</v>
      </c>
      <c r="V187" s="66">
        <f t="shared" si="186"/>
        <v>2.5896574820458173E-3</v>
      </c>
      <c r="W187" s="66">
        <f t="shared" si="186"/>
        <v>2.5207814917722654E-3</v>
      </c>
      <c r="X187" s="66">
        <f t="shared" si="186"/>
        <v>2.4537603299195896E-3</v>
      </c>
      <c r="Y187" s="66">
        <f t="shared" si="186"/>
        <v>2.3989639875149219E-3</v>
      </c>
      <c r="Z187" s="66">
        <f t="shared" si="186"/>
        <v>2.3449950106835733E-3</v>
      </c>
      <c r="AA187" s="66">
        <f t="shared" si="186"/>
        <v>2.2915780144613534E-3</v>
      </c>
      <c r="AB187" s="66">
        <f t="shared" si="186"/>
        <v>2.2385272991200197E-3</v>
      </c>
      <c r="AC187" s="66">
        <f t="shared" si="186"/>
        <v>2.1857187249993688E-3</v>
      </c>
    </row>
    <row r="188" spans="1:29" x14ac:dyDescent="0.25">
      <c r="A188" s="59" t="str">
        <f>A151</f>
        <v>Market failure (av. utilization)</v>
      </c>
      <c r="B188" s="66">
        <f t="shared" ref="B188:AC188" si="187">B177/B151-B177/B150</f>
        <v>1.8892474094543074E-2</v>
      </c>
      <c r="C188" s="66">
        <f t="shared" si="187"/>
        <v>1.8711919677694908E-2</v>
      </c>
      <c r="D188" s="66">
        <f t="shared" si="187"/>
        <v>1.8518685732948251E-2</v>
      </c>
      <c r="E188" s="66">
        <f t="shared" si="187"/>
        <v>1.8352974356387004E-2</v>
      </c>
      <c r="F188" s="66">
        <f t="shared" si="187"/>
        <v>1.8162787921672176E-2</v>
      </c>
      <c r="G188" s="66">
        <f t="shared" si="187"/>
        <v>1.7939514558967019E-2</v>
      </c>
      <c r="H188" s="66">
        <f t="shared" si="187"/>
        <v>1.7672692035133379E-2</v>
      </c>
      <c r="I188" s="66">
        <f t="shared" si="187"/>
        <v>1.7350760977497114E-2</v>
      </c>
      <c r="J188" s="66">
        <f t="shared" si="187"/>
        <v>1.706011391278122E-2</v>
      </c>
      <c r="K188" s="66">
        <f t="shared" si="187"/>
        <v>1.6695257123457628E-2</v>
      </c>
      <c r="L188" s="66">
        <f t="shared" si="187"/>
        <v>1.6258366151937015E-2</v>
      </c>
      <c r="M188" s="66">
        <f t="shared" si="187"/>
        <v>1.5764991045574495E-2</v>
      </c>
      <c r="N188" s="66">
        <f t="shared" si="187"/>
        <v>1.5244485913242933E-2</v>
      </c>
      <c r="O188" s="66">
        <f t="shared" si="187"/>
        <v>1.4640357595721016E-2</v>
      </c>
      <c r="P188" s="66">
        <f t="shared" si="187"/>
        <v>1.4084498910085574E-2</v>
      </c>
      <c r="Q188" s="66">
        <f t="shared" si="187"/>
        <v>1.3600063281349562E-2</v>
      </c>
      <c r="R188" s="66">
        <f t="shared" si="187"/>
        <v>1.3195115546265799E-2</v>
      </c>
      <c r="S188" s="66">
        <f t="shared" si="187"/>
        <v>1.28652964982392E-2</v>
      </c>
      <c r="T188" s="66">
        <f t="shared" si="187"/>
        <v>1.2605858386723373E-2</v>
      </c>
      <c r="U188" s="66">
        <f t="shared" si="187"/>
        <v>1.2396517860033483E-2</v>
      </c>
      <c r="V188" s="66">
        <f t="shared" si="187"/>
        <v>1.2224628231243035E-2</v>
      </c>
      <c r="W188" s="66">
        <f t="shared" si="187"/>
        <v>1.2079750130480193E-2</v>
      </c>
      <c r="X188" s="66">
        <f t="shared" si="187"/>
        <v>1.1953881162578365E-2</v>
      </c>
      <c r="Y188" s="66">
        <f t="shared" si="187"/>
        <v>1.1855906066584461E-2</v>
      </c>
      <c r="Z188" s="66">
        <f t="shared" si="187"/>
        <v>1.1766912947718649E-2</v>
      </c>
      <c r="AA188" s="66">
        <f t="shared" si="187"/>
        <v>1.1684021624052254E-2</v>
      </c>
      <c r="AB188" s="66">
        <f t="shared" si="187"/>
        <v>1.160525402391609E-2</v>
      </c>
      <c r="AC188" s="66">
        <f t="shared" si="187"/>
        <v>1.1529263603789693E-2</v>
      </c>
    </row>
    <row r="189" spans="1:29" x14ac:dyDescent="0.25">
      <c r="A189" s="59" t="str">
        <f>A152</f>
        <v>Payload loss (fuel)</v>
      </c>
      <c r="B189" s="66">
        <f>B177/(B150-B152)-B177/B150</f>
        <v>2.5562755645893408E-4</v>
      </c>
      <c r="C189" s="66">
        <f t="shared" ref="C189:AC189" si="188">C177/(C150-C152)-C177/C150</f>
        <v>2.5318453686521553E-4</v>
      </c>
      <c r="D189" s="66">
        <f t="shared" si="188"/>
        <v>2.5056995494898357E-4</v>
      </c>
      <c r="E189" s="66">
        <f t="shared" si="188"/>
        <v>2.4832777141834544E-4</v>
      </c>
      <c r="F189" s="66">
        <f t="shared" si="188"/>
        <v>2.4575442431015206E-4</v>
      </c>
      <c r="G189" s="66">
        <f t="shared" si="188"/>
        <v>2.4273338938137282E-4</v>
      </c>
      <c r="H189" s="66">
        <f t="shared" si="188"/>
        <v>2.3912310576079156E-4</v>
      </c>
      <c r="I189" s="66">
        <f t="shared" si="188"/>
        <v>2.3476716756021428E-4</v>
      </c>
      <c r="J189" s="66">
        <f t="shared" si="188"/>
        <v>2.3083452228710166E-4</v>
      </c>
      <c r="K189" s="66">
        <f t="shared" si="188"/>
        <v>2.2589777080365449E-4</v>
      </c>
      <c r="L189" s="66">
        <f t="shared" si="188"/>
        <v>2.1998634962451871E-4</v>
      </c>
      <c r="M189" s="66">
        <f t="shared" si="188"/>
        <v>2.1331066108176873E-4</v>
      </c>
      <c r="N189" s="66">
        <f t="shared" si="188"/>
        <v>2.0626788550688092E-4</v>
      </c>
      <c r="O189" s="66">
        <f t="shared" si="188"/>
        <v>1.9809363343047462E-4</v>
      </c>
      <c r="P189" s="66">
        <f t="shared" si="188"/>
        <v>1.9057250110898066E-4</v>
      </c>
      <c r="Q189" s="66">
        <f t="shared" si="188"/>
        <v>1.8401776955737255E-4</v>
      </c>
      <c r="R189" s="66">
        <f t="shared" si="188"/>
        <v>1.7853856130253809E-4</v>
      </c>
      <c r="S189" s="66">
        <f t="shared" si="188"/>
        <v>1.7407589342226422E-4</v>
      </c>
      <c r="T189" s="66">
        <f t="shared" si="188"/>
        <v>1.7056552574002022E-4</v>
      </c>
      <c r="U189" s="66">
        <f t="shared" si="188"/>
        <v>1.6773301121398437E-4</v>
      </c>
      <c r="V189" s="66">
        <f t="shared" si="188"/>
        <v>1.6540723188151335E-4</v>
      </c>
      <c r="W189" s="66">
        <f t="shared" si="188"/>
        <v>1.6344693622637185E-4</v>
      </c>
      <c r="X189" s="66">
        <f t="shared" si="188"/>
        <v>1.6174384659725476E-4</v>
      </c>
      <c r="Y189" s="66">
        <f t="shared" si="188"/>
        <v>1.6041817933644918E-4</v>
      </c>
      <c r="Z189" s="66">
        <f t="shared" si="188"/>
        <v>1.5921404411289516E-4</v>
      </c>
      <c r="AA189" s="66">
        <f t="shared" si="188"/>
        <v>1.5809247017745109E-4</v>
      </c>
      <c r="AB189" s="66">
        <f t="shared" si="188"/>
        <v>1.5702669292402306E-4</v>
      </c>
      <c r="AC189" s="66">
        <f t="shared" si="188"/>
        <v>1.5599849273626766E-4</v>
      </c>
    </row>
    <row r="190" spans="1:29" ht="15.75" thickBot="1" x14ac:dyDescent="0.3">
      <c r="A190" s="59" t="str">
        <f>A127</f>
        <v>Emission Cost</v>
      </c>
      <c r="B190" s="68">
        <f>B147*B153/B153/(B150)</f>
        <v>0</v>
      </c>
      <c r="C190" s="68">
        <f t="shared" ref="C190:AC190" si="189">C147*C153/C153/(C150)</f>
        <v>0</v>
      </c>
      <c r="D190" s="68">
        <f t="shared" si="189"/>
        <v>0</v>
      </c>
      <c r="E190" s="68">
        <f t="shared" si="189"/>
        <v>0</v>
      </c>
      <c r="F190" s="68">
        <f t="shared" si="189"/>
        <v>0</v>
      </c>
      <c r="G190" s="68">
        <f t="shared" si="189"/>
        <v>0</v>
      </c>
      <c r="H190" s="68">
        <f t="shared" si="189"/>
        <v>0</v>
      </c>
      <c r="I190" s="68">
        <f t="shared" si="189"/>
        <v>0</v>
      </c>
      <c r="J190" s="68">
        <f t="shared" si="189"/>
        <v>0</v>
      </c>
      <c r="K190" s="68">
        <f t="shared" si="189"/>
        <v>0</v>
      </c>
      <c r="L190" s="68">
        <f t="shared" si="189"/>
        <v>0</v>
      </c>
      <c r="M190" s="68">
        <f t="shared" si="189"/>
        <v>0</v>
      </c>
      <c r="N190" s="68">
        <f t="shared" si="189"/>
        <v>0</v>
      </c>
      <c r="O190" s="68">
        <f t="shared" si="189"/>
        <v>0</v>
      </c>
      <c r="P190" s="68">
        <f t="shared" si="189"/>
        <v>0</v>
      </c>
      <c r="Q190" s="68">
        <f t="shared" si="189"/>
        <v>0</v>
      </c>
      <c r="R190" s="68">
        <f t="shared" si="189"/>
        <v>0</v>
      </c>
      <c r="S190" s="68">
        <f t="shared" si="189"/>
        <v>0</v>
      </c>
      <c r="T190" s="68">
        <f t="shared" si="189"/>
        <v>0</v>
      </c>
      <c r="U190" s="68">
        <f t="shared" si="189"/>
        <v>0</v>
      </c>
      <c r="V190" s="68">
        <f t="shared" si="189"/>
        <v>0</v>
      </c>
      <c r="W190" s="68">
        <f t="shared" si="189"/>
        <v>0</v>
      </c>
      <c r="X190" s="68">
        <f t="shared" si="189"/>
        <v>0</v>
      </c>
      <c r="Y190" s="68">
        <f t="shared" si="189"/>
        <v>0</v>
      </c>
      <c r="Z190" s="68">
        <f t="shared" si="189"/>
        <v>0</v>
      </c>
      <c r="AA190" s="68">
        <f t="shared" si="189"/>
        <v>0</v>
      </c>
      <c r="AB190" s="68">
        <f t="shared" si="189"/>
        <v>0</v>
      </c>
      <c r="AC190" s="68">
        <f t="shared" si="189"/>
        <v>0</v>
      </c>
    </row>
    <row r="191" spans="1:29" ht="15.75" thickBot="1" x14ac:dyDescent="0.3">
      <c r="A191" s="31" t="s">
        <v>210</v>
      </c>
      <c r="B191" s="67">
        <f>B180+B181+B182+B183+B184+B185+B186+B187+B188+B189+B190</f>
        <v>3.3105868080487003E-2</v>
      </c>
      <c r="C191" s="67">
        <f t="shared" ref="C191:AC191" si="190">C180+C181+C182+C183+C184+C185+C186+C187+C188+C189+C190</f>
        <v>3.2788504566390667E-2</v>
      </c>
      <c r="D191" s="67">
        <f t="shared" si="190"/>
        <v>3.2448854034334909E-2</v>
      </c>
      <c r="E191" s="67">
        <f t="shared" si="190"/>
        <v>3.2157580380057914E-2</v>
      </c>
      <c r="F191" s="67">
        <f t="shared" si="190"/>
        <v>3.1823286507284325E-2</v>
      </c>
      <c r="G191" s="67">
        <f t="shared" si="190"/>
        <v>3.1430835188567478E-2</v>
      </c>
      <c r="H191" s="67">
        <f t="shared" si="190"/>
        <v>3.0961836781981243E-2</v>
      </c>
      <c r="I191" s="67">
        <f t="shared" si="190"/>
        <v>3.0395973185112765E-2</v>
      </c>
      <c r="J191" s="67">
        <f t="shared" si="190"/>
        <v>2.9885097985102631E-2</v>
      </c>
      <c r="K191" s="67">
        <f t="shared" si="190"/>
        <v>2.9243783112705937E-2</v>
      </c>
      <c r="L191" s="67">
        <f t="shared" si="190"/>
        <v>2.8475852555153638E-2</v>
      </c>
      <c r="M191" s="67">
        <f t="shared" si="190"/>
        <v>2.7608638890397191E-2</v>
      </c>
      <c r="N191" s="67">
        <f t="shared" si="190"/>
        <v>2.6693738325871907E-2</v>
      </c>
      <c r="O191" s="67">
        <f t="shared" si="190"/>
        <v>2.5631851892071227E-2</v>
      </c>
      <c r="P191" s="67">
        <f t="shared" si="190"/>
        <v>2.4654809796432101E-2</v>
      </c>
      <c r="Q191" s="67">
        <f t="shared" si="190"/>
        <v>2.3803309200806054E-2</v>
      </c>
      <c r="R191" s="67">
        <f t="shared" si="190"/>
        <v>2.3091525803451633E-2</v>
      </c>
      <c r="S191" s="67">
        <f t="shared" si="190"/>
        <v>2.2511797354129615E-2</v>
      </c>
      <c r="T191" s="67">
        <f t="shared" si="190"/>
        <v>2.205577865240814E-2</v>
      </c>
      <c r="U191" s="67">
        <f t="shared" si="190"/>
        <v>2.1687817312260202E-2</v>
      </c>
      <c r="V191" s="67">
        <f t="shared" si="190"/>
        <v>2.1385684040851369E-2</v>
      </c>
      <c r="W191" s="67">
        <f t="shared" si="190"/>
        <v>2.1131029383400571E-2</v>
      </c>
      <c r="X191" s="67">
        <f t="shared" si="190"/>
        <v>2.0909787396268267E-2</v>
      </c>
      <c r="Y191" s="67">
        <f t="shared" si="190"/>
        <v>2.0737574933669262E-2</v>
      </c>
      <c r="Z191" s="67">
        <f t="shared" si="190"/>
        <v>2.0581150242284404E-2</v>
      </c>
      <c r="AA191" s="67">
        <f t="shared" si="190"/>
        <v>2.0435450778233152E-2</v>
      </c>
      <c r="AB191" s="67">
        <f t="shared" si="190"/>
        <v>2.0296999651905019E-2</v>
      </c>
      <c r="AC191" s="67">
        <f t="shared" si="190"/>
        <v>2.0163430021264243E-2</v>
      </c>
    </row>
    <row r="193" spans="2:2" x14ac:dyDescent="0.25">
      <c r="B193" s="40"/>
    </row>
    <row r="215" spans="1:44" s="3" customFormat="1" ht="21" x14ac:dyDescent="0.35">
      <c r="A215" s="2" t="str">
        <f>'Parameter Input'!A170</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Input'!$L$183</f>
        <v>10000000</v>
      </c>
      <c r="C225" s="42">
        <f>'Parameter Input'!$M$183</f>
        <v>4000000</v>
      </c>
      <c r="D225" s="1" t="s">
        <v>15</v>
      </c>
      <c r="L225" s="51">
        <f>'Parameter Input'!$O$183</f>
        <v>12</v>
      </c>
      <c r="M225" s="52">
        <v>0</v>
      </c>
      <c r="N225" s="52">
        <v>1</v>
      </c>
      <c r="O225" s="52">
        <f>'Parameter Input'!$P$183</f>
        <v>0.9</v>
      </c>
      <c r="P225" s="53">
        <f>'Parameter Input'!$Q$183</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Input'!$L$184</f>
        <v>-500000</v>
      </c>
      <c r="C226" s="61">
        <f>'Parameter Input'!$M$184</f>
        <v>-600000</v>
      </c>
      <c r="D226" s="1" t="s">
        <v>15</v>
      </c>
      <c r="L226" s="54">
        <f>'Parameter Input'!$O$184</f>
        <v>12</v>
      </c>
      <c r="M226" s="37">
        <v>0</v>
      </c>
      <c r="N226" s="37">
        <v>1</v>
      </c>
      <c r="O226" s="37">
        <f>'Parameter Input'!$P$184</f>
        <v>0.9</v>
      </c>
      <c r="P226" s="55">
        <f>'Parameter Input'!$Q$184</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Input'!$L$190</f>
        <v>0.06</v>
      </c>
      <c r="C229" s="46">
        <f>'Parameter Input'!$M$190</f>
        <v>0.06</v>
      </c>
      <c r="D229" s="1" t="s">
        <v>57</v>
      </c>
      <c r="L229" s="54">
        <f>'Parameter Input'!$O$190</f>
        <v>12</v>
      </c>
      <c r="M229" s="37">
        <v>0</v>
      </c>
      <c r="N229" s="37">
        <v>1</v>
      </c>
      <c r="O229" s="37">
        <f>'Parameter Input'!$P$190</f>
        <v>0.9</v>
      </c>
      <c r="P229" s="55">
        <f>'Parameter Input'!$Q$190</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Input'!$L$186</f>
        <v>1400000.0000000002</v>
      </c>
      <c r="C231" s="44">
        <f>'Parameter Input'!$M$186</f>
        <v>560000</v>
      </c>
      <c r="D231" s="1" t="s">
        <v>38</v>
      </c>
      <c r="L231" s="54">
        <f>'Parameter Input'!$O$186</f>
        <v>12</v>
      </c>
      <c r="M231" s="37">
        <v>0</v>
      </c>
      <c r="N231" s="37">
        <v>1</v>
      </c>
      <c r="O231" s="37">
        <f>'Parameter Input'!$P$186</f>
        <v>0.9</v>
      </c>
      <c r="P231" s="55">
        <f>'Parameter Input'!$Q$186</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Input'!$L$187</f>
        <v>48.858472727272719</v>
      </c>
      <c r="C233" s="48">
        <f>'Parameter Input'!$M$187</f>
        <v>41.341784615384611</v>
      </c>
      <c r="D233" s="1" t="s">
        <v>60</v>
      </c>
      <c r="L233" s="54">
        <f>'Parameter Input'!$O$187</f>
        <v>12</v>
      </c>
      <c r="M233" s="37">
        <v>0</v>
      </c>
      <c r="N233" s="37">
        <v>1</v>
      </c>
      <c r="O233" s="37">
        <f>'Parameter Input'!$P$187</f>
        <v>0.9</v>
      </c>
      <c r="P233" s="55">
        <f>'Parameter Input'!$Q$187</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Input'!$L$188</f>
        <v>0.2544561408768215</v>
      </c>
      <c r="C234" s="46">
        <f>'Parameter Input'!$M$188</f>
        <v>0.10949010032952979</v>
      </c>
      <c r="D234" s="1" t="s">
        <v>68</v>
      </c>
      <c r="L234" s="54">
        <f>'Parameter Input'!$O$188</f>
        <v>12</v>
      </c>
      <c r="M234" s="37">
        <v>0</v>
      </c>
      <c r="N234" s="37">
        <v>1</v>
      </c>
      <c r="O234" s="37">
        <f>'Parameter Input'!$P$188</f>
        <v>0.9</v>
      </c>
      <c r="P234" s="55">
        <f>'Parameter Input'!$Q$188</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Input'!$L$191</f>
        <v>0</v>
      </c>
      <c r="C235" s="116">
        <f>'Parameter Input'!$M$191</f>
        <v>0</v>
      </c>
      <c r="D235" s="1" t="s">
        <v>76</v>
      </c>
      <c r="L235" s="54">
        <f>'Parameter Input'!$O$191</f>
        <v>17</v>
      </c>
      <c r="M235" s="37">
        <v>0</v>
      </c>
      <c r="N235" s="37">
        <v>1</v>
      </c>
      <c r="O235" s="37">
        <f>'Parameter Input'!$P$191</f>
        <v>0.9</v>
      </c>
      <c r="P235" s="55">
        <f>'Parameter Input'!$Q$191</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Input'!$L$185</f>
        <v>20</v>
      </c>
      <c r="C236" s="44">
        <f>'Parameter Input'!$M$185</f>
        <v>20</v>
      </c>
      <c r="D236" s="1" t="s">
        <v>42</v>
      </c>
      <c r="L236" s="54">
        <f>'Parameter Input'!$O$185</f>
        <v>12</v>
      </c>
      <c r="M236" s="37">
        <v>0</v>
      </c>
      <c r="N236" s="37">
        <v>1</v>
      </c>
      <c r="O236" s="37">
        <f>'Parameter Input'!$P$185</f>
        <v>0.9</v>
      </c>
      <c r="P236" s="55">
        <f>'Parameter Input'!$Q$185</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Input'!$L$189</f>
        <v>1.7857142857142856E-2</v>
      </c>
      <c r="C240" s="73">
        <f>'Parameter Input'!$M$189</f>
        <v>1.7857142857142856E-2</v>
      </c>
      <c r="D240" s="1" t="s">
        <v>57</v>
      </c>
      <c r="L240" s="54">
        <f>'Parameter Input'!$O$189</f>
        <v>12</v>
      </c>
      <c r="M240" s="37">
        <v>0</v>
      </c>
      <c r="N240" s="37">
        <v>1</v>
      </c>
      <c r="O240" s="37">
        <f>'Parameter Input'!$P$189</f>
        <v>0.9</v>
      </c>
      <c r="P240" s="55">
        <f>'Parameter Input'!$Q$189</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3" si="197">$B225+($C225-$B225)*(1-Q225)</f>
        <v>9920787.1694490239</v>
      </c>
      <c r="C245" s="62">
        <f t="shared" ref="C245:C253" si="198">$B225+($C225-$B225)*(1-R225)</f>
        <v>9886870.5857714955</v>
      </c>
      <c r="D245" s="62">
        <f t="shared" ref="D245:D253" si="199">$B225+($C225-$B225)*(1-S225)</f>
        <v>9838713.8989523221</v>
      </c>
      <c r="E245" s="62">
        <f t="shared" ref="E245:E253" si="200">$B225+($C225-$B225)*(1-T225)</f>
        <v>9770649.0496955663</v>
      </c>
      <c r="F245" s="62">
        <f t="shared" ref="F245:F253" si="201">$B225+($C225-$B225)*(1-U225)</f>
        <v>9675087.2293306813</v>
      </c>
      <c r="G245" s="62">
        <f t="shared" ref="G245:G253" si="202">$B225+($C225-$B225)*(1-V225)</f>
        <v>9542221.6090084892</v>
      </c>
      <c r="H245" s="62">
        <f t="shared" ref="H245:H253" si="203">$B225+($C225-$B225)*(1-W225)</f>
        <v>9360067.8140595071</v>
      </c>
      <c r="I245" s="62">
        <f t="shared" ref="I245:I253" si="204">$B225+($C225-$B225)*(1-X225)</f>
        <v>9115272.63245962</v>
      </c>
      <c r="J245" s="62">
        <f t="shared" ref="J245:J253" si="205">$B225+($C225-$B225)*(1-Y225)</f>
        <v>8795278.0391574334</v>
      </c>
      <c r="K245" s="62">
        <f t="shared" ref="K245:K253" si="206">$B225+($C225-$B225)*(1-Z225)</f>
        <v>8392298.9349996019</v>
      </c>
      <c r="L245" s="62">
        <f t="shared" ref="L245:L253" si="207">$B225+($C225-$B225)*(1-AA225)</f>
        <v>7908735.5775272017</v>
      </c>
      <c r="M245" s="62">
        <f t="shared" ref="M245:M253" si="208">$B225+($C225-$B225)*(1-AB225)</f>
        <v>7361934.872850975</v>
      </c>
      <c r="N245" s="62">
        <f t="shared" ref="N245:N253" si="209">$B225+($C225-$B225)*(1-AC225)</f>
        <v>6784679.6123911208</v>
      </c>
      <c r="O245" s="62">
        <f t="shared" ref="O245:O253" si="210">$B225+($C225-$B225)*(1-AD225)</f>
        <v>6218783.6557314359</v>
      </c>
      <c r="P245" s="62">
        <f t="shared" ref="P245:P253" si="211">$B225+($C225-$B225)*(1-AE225)</f>
        <v>5703636.9182338724</v>
      </c>
      <c r="Q245" s="62">
        <f t="shared" ref="Q245:Q253" si="212">$B225+($C225-$B225)*(1-AF225)</f>
        <v>5265835.5496670641</v>
      </c>
      <c r="R245" s="62">
        <f t="shared" ref="R245:R253" si="213">$B225+($C225-$B225)*(1-AG225)</f>
        <v>4915235.0592278922</v>
      </c>
      <c r="S245" s="62">
        <f t="shared" ref="S245:S253" si="214">$B225+($C225-$B225)*(1-AH225)</f>
        <v>4647711.3242625995</v>
      </c>
      <c r="T245" s="62">
        <f t="shared" ref="T245:T253" si="215">$B225+($C225-$B225)*(1-AI225)</f>
        <v>4451059.923628551</v>
      </c>
      <c r="U245" s="62">
        <f t="shared" ref="U245:U253" si="216">$B225+($C225-$B225)*(1-AJ225)</f>
        <v>4310457.0170650128</v>
      </c>
      <c r="V245" s="62">
        <f t="shared" ref="V245:V253" si="217">$B225+($C225-$B225)*(1-AK225)</f>
        <v>4211915.1437520757</v>
      </c>
      <c r="W245" s="62">
        <f t="shared" ref="W245:W253" si="218">$B225+($C225-$B225)*(1-AL225)</f>
        <v>4143816.6524359491</v>
      </c>
      <c r="X245" s="62">
        <f t="shared" ref="X245:X253" si="219">$B225+($C225-$B225)*(1-AM225)</f>
        <v>4097213.4613503385</v>
      </c>
      <c r="Y245" s="62">
        <f t="shared" ref="Y245:Y253" si="220">$B225+($C225-$B225)*(1-AN225)</f>
        <v>4065533.4433846502</v>
      </c>
      <c r="Z245" s="62">
        <f t="shared" ref="Z245:Z253" si="221">$B225+($C225-$B225)*(1-AO225)</f>
        <v>4044095.9277436547</v>
      </c>
      <c r="AA245" s="62">
        <f t="shared" ref="AA245:AA253" si="222">$B225+($C225-$B225)*(1-AP225)</f>
        <v>4029634.1573110344</v>
      </c>
      <c r="AB245" s="62">
        <f t="shared" ref="AB245:AB253" si="223">$B225+($C225-$B225)*(1-AQ225)</f>
        <v>4019898.5652957736</v>
      </c>
      <c r="AC245" s="62">
        <f t="shared" ref="AC245:AC253"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225">A235</f>
        <v>Emission Cost</v>
      </c>
      <c r="B255" s="66">
        <f>$B235+($C235-$B235)*(1-Q235)</f>
        <v>0</v>
      </c>
      <c r="C255" s="66">
        <f t="shared" ref="C255:AC255" si="226">$B235+($C235-$B235)*(1-R235)</f>
        <v>0</v>
      </c>
      <c r="D255" s="66">
        <f t="shared" si="226"/>
        <v>0</v>
      </c>
      <c r="E255" s="66">
        <f t="shared" si="226"/>
        <v>0</v>
      </c>
      <c r="F255" s="66">
        <f t="shared" si="226"/>
        <v>0</v>
      </c>
      <c r="G255" s="66">
        <f t="shared" si="226"/>
        <v>0</v>
      </c>
      <c r="H255" s="66">
        <f t="shared" si="226"/>
        <v>0</v>
      </c>
      <c r="I255" s="66">
        <f t="shared" si="226"/>
        <v>0</v>
      </c>
      <c r="J255" s="66">
        <f t="shared" si="226"/>
        <v>0</v>
      </c>
      <c r="K255" s="66">
        <f t="shared" si="226"/>
        <v>0</v>
      </c>
      <c r="L255" s="66">
        <f t="shared" si="226"/>
        <v>0</v>
      </c>
      <c r="M255" s="66">
        <f t="shared" si="226"/>
        <v>0</v>
      </c>
      <c r="N255" s="66">
        <f t="shared" si="226"/>
        <v>0</v>
      </c>
      <c r="O255" s="66">
        <f t="shared" si="226"/>
        <v>0</v>
      </c>
      <c r="P255" s="66">
        <f t="shared" si="226"/>
        <v>0</v>
      </c>
      <c r="Q255" s="66">
        <f t="shared" si="226"/>
        <v>0</v>
      </c>
      <c r="R255" s="66">
        <f t="shared" si="226"/>
        <v>0</v>
      </c>
      <c r="S255" s="66">
        <f t="shared" si="226"/>
        <v>0</v>
      </c>
      <c r="T255" s="66">
        <f t="shared" si="226"/>
        <v>0</v>
      </c>
      <c r="U255" s="66">
        <f t="shared" si="226"/>
        <v>0</v>
      </c>
      <c r="V255" s="66">
        <f t="shared" si="226"/>
        <v>0</v>
      </c>
      <c r="W255" s="66">
        <f t="shared" si="226"/>
        <v>0</v>
      </c>
      <c r="X255" s="66">
        <f t="shared" si="226"/>
        <v>0</v>
      </c>
      <c r="Y255" s="66">
        <f t="shared" si="226"/>
        <v>0</v>
      </c>
      <c r="Z255" s="66">
        <f t="shared" si="226"/>
        <v>0</v>
      </c>
      <c r="AA255" s="66">
        <f t="shared" si="226"/>
        <v>0</v>
      </c>
      <c r="AB255" s="66">
        <f t="shared" si="226"/>
        <v>0</v>
      </c>
      <c r="AC255" s="66">
        <f t="shared" si="226"/>
        <v>0</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1714238.8628327197</v>
      </c>
      <c r="C271" s="62">
        <f t="shared" ref="C271:AC271" si="241">C253*C254*C261</f>
        <v>1668268.5377523468</v>
      </c>
      <c r="D271" s="62">
        <f t="shared" si="241"/>
        <v>1621781.1747999815</v>
      </c>
      <c r="E271" s="62">
        <f t="shared" si="241"/>
        <v>1588035.054360566</v>
      </c>
      <c r="F271" s="62">
        <f t="shared" si="241"/>
        <v>1553293.0918412623</v>
      </c>
      <c r="G271" s="62">
        <f t="shared" si="241"/>
        <v>1517234.9894432456</v>
      </c>
      <c r="H271" s="62">
        <f t="shared" si="241"/>
        <v>1479487.7327920089</v>
      </c>
      <c r="I271" s="62">
        <f t="shared" si="241"/>
        <v>1439664.8155083221</v>
      </c>
      <c r="J271" s="62">
        <f t="shared" si="241"/>
        <v>1426344.0331401536</v>
      </c>
      <c r="K271" s="62">
        <f t="shared" si="241"/>
        <v>1409915.1324108206</v>
      </c>
      <c r="L271" s="62">
        <f t="shared" si="241"/>
        <v>1390476.6683986408</v>
      </c>
      <c r="M271" s="62">
        <f t="shared" si="241"/>
        <v>1368689.4853170433</v>
      </c>
      <c r="N271" s="62">
        <f t="shared" si="241"/>
        <v>1345792.675440459</v>
      </c>
      <c r="O271" s="62">
        <f t="shared" si="241"/>
        <v>1295416.1751911161</v>
      </c>
      <c r="P271" s="62">
        <f t="shared" si="241"/>
        <v>1247799.3807539036</v>
      </c>
      <c r="Q271" s="62">
        <f t="shared" si="241"/>
        <v>1203750.8368572691</v>
      </c>
      <c r="R271" s="62">
        <f t="shared" si="241"/>
        <v>1163416.9385204527</v>
      </c>
      <c r="S271" s="62">
        <f t="shared" si="241"/>
        <v>1126443.5101458533</v>
      </c>
      <c r="T271" s="62">
        <f t="shared" si="241"/>
        <v>1094208.2231247381</v>
      </c>
      <c r="U271" s="62">
        <f t="shared" si="241"/>
        <v>1064064.9454190303</v>
      </c>
      <c r="V271" s="62">
        <f t="shared" si="241"/>
        <v>1035448.6476211995</v>
      </c>
      <c r="W271" s="62">
        <f t="shared" si="241"/>
        <v>1007909.2716702226</v>
      </c>
      <c r="X271" s="62">
        <f t="shared" si="241"/>
        <v>981111.53031504876</v>
      </c>
      <c r="Y271" s="62">
        <f t="shared" si="241"/>
        <v>959201.76076796639</v>
      </c>
      <c r="Z271" s="62">
        <f t="shared" si="241"/>
        <v>937622.80507171992</v>
      </c>
      <c r="AA271" s="62">
        <f t="shared" si="241"/>
        <v>916264.55330222752</v>
      </c>
      <c r="AB271" s="62">
        <f t="shared" si="241"/>
        <v>895052.7552801487</v>
      </c>
      <c r="AC271" s="62">
        <f t="shared" si="241"/>
        <v>873937.77500374767</v>
      </c>
    </row>
    <row r="272" spans="1:29" ht="15.75" thickBot="1" x14ac:dyDescent="0.3">
      <c r="A272" s="59" t="str">
        <f>A235</f>
        <v>Emission Cost</v>
      </c>
      <c r="B272" s="62">
        <f>B255*B261</f>
        <v>0</v>
      </c>
      <c r="C272" s="62">
        <f t="shared" ref="C272:AC272" si="242">C255*C261</f>
        <v>0</v>
      </c>
      <c r="D272" s="62">
        <f t="shared" si="242"/>
        <v>0</v>
      </c>
      <c r="E272" s="62">
        <f t="shared" si="242"/>
        <v>0</v>
      </c>
      <c r="F272" s="62">
        <f t="shared" si="242"/>
        <v>0</v>
      </c>
      <c r="G272" s="62">
        <f t="shared" si="242"/>
        <v>0</v>
      </c>
      <c r="H272" s="62">
        <f t="shared" si="242"/>
        <v>0</v>
      </c>
      <c r="I272" s="62">
        <f t="shared" si="242"/>
        <v>0</v>
      </c>
      <c r="J272" s="62">
        <f t="shared" si="242"/>
        <v>0</v>
      </c>
      <c r="K272" s="62">
        <f t="shared" si="242"/>
        <v>0</v>
      </c>
      <c r="L272" s="62">
        <f t="shared" si="242"/>
        <v>0</v>
      </c>
      <c r="M272" s="62">
        <f t="shared" si="242"/>
        <v>0</v>
      </c>
      <c r="N272" s="62">
        <f t="shared" si="242"/>
        <v>0</v>
      </c>
      <c r="O272" s="62">
        <f t="shared" si="242"/>
        <v>0</v>
      </c>
      <c r="P272" s="62">
        <f t="shared" si="242"/>
        <v>0</v>
      </c>
      <c r="Q272" s="62">
        <f t="shared" si="242"/>
        <v>0</v>
      </c>
      <c r="R272" s="62">
        <f t="shared" si="242"/>
        <v>0</v>
      </c>
      <c r="S272" s="62">
        <f t="shared" si="242"/>
        <v>0</v>
      </c>
      <c r="T272" s="62">
        <f t="shared" si="242"/>
        <v>0</v>
      </c>
      <c r="U272" s="62">
        <f t="shared" si="242"/>
        <v>0</v>
      </c>
      <c r="V272" s="62">
        <f t="shared" si="242"/>
        <v>0</v>
      </c>
      <c r="W272" s="62">
        <f t="shared" si="242"/>
        <v>0</v>
      </c>
      <c r="X272" s="62">
        <f t="shared" si="242"/>
        <v>0</v>
      </c>
      <c r="Y272" s="62">
        <f t="shared" si="242"/>
        <v>0</v>
      </c>
      <c r="Z272" s="62">
        <f t="shared" si="242"/>
        <v>0</v>
      </c>
      <c r="AA272" s="62">
        <f t="shared" si="242"/>
        <v>0</v>
      </c>
      <c r="AB272" s="62">
        <f t="shared" si="242"/>
        <v>0</v>
      </c>
      <c r="AC272" s="62">
        <f t="shared" si="242"/>
        <v>0</v>
      </c>
    </row>
    <row r="273" spans="1:29" ht="15.75" thickBot="1" x14ac:dyDescent="0.3">
      <c r="A273" s="31" t="s">
        <v>209</v>
      </c>
      <c r="B273" s="64">
        <f>B264+B265+B266+B267+B268+B269+B270+B271+B272</f>
        <v>5377627.2246017531</v>
      </c>
      <c r="C273" s="64">
        <f t="shared" ref="C273:AC273" si="243">C264+C265+C266+C267+C268+C269+C270+C271+C272</f>
        <v>5323902.292112398</v>
      </c>
      <c r="D273" s="64">
        <f t="shared" si="243"/>
        <v>5266404.4982761163</v>
      </c>
      <c r="E273" s="64">
        <f t="shared" si="243"/>
        <v>5217096.1918171393</v>
      </c>
      <c r="F273" s="64">
        <f t="shared" si="243"/>
        <v>5160505.2008914631</v>
      </c>
      <c r="G273" s="64">
        <f t="shared" si="243"/>
        <v>5094069.0175656741</v>
      </c>
      <c r="H273" s="64">
        <f t="shared" si="243"/>
        <v>5014674.54840873</v>
      </c>
      <c r="I273" s="64">
        <f t="shared" si="243"/>
        <v>4918882.2402522406</v>
      </c>
      <c r="J273" s="64">
        <f t="shared" si="243"/>
        <v>4832398.6515221931</v>
      </c>
      <c r="K273" s="64">
        <f t="shared" si="243"/>
        <v>4723833.5622993857</v>
      </c>
      <c r="L273" s="64">
        <f t="shared" si="243"/>
        <v>4593834.316864742</v>
      </c>
      <c r="M273" s="64">
        <f t="shared" si="243"/>
        <v>4447027.9149834486</v>
      </c>
      <c r="N273" s="64">
        <f t="shared" si="243"/>
        <v>4292148.8287609722</v>
      </c>
      <c r="O273" s="64">
        <f t="shared" si="243"/>
        <v>4112387.2164983018</v>
      </c>
      <c r="P273" s="64">
        <f t="shared" si="243"/>
        <v>3946988.4913898553</v>
      </c>
      <c r="Q273" s="64">
        <f t="shared" si="243"/>
        <v>3802842.0788921383</v>
      </c>
      <c r="R273" s="64">
        <f t="shared" si="243"/>
        <v>3682347.7143184524</v>
      </c>
      <c r="S273" s="64">
        <f t="shared" si="243"/>
        <v>3584208.292429741</v>
      </c>
      <c r="T273" s="64">
        <f t="shared" si="243"/>
        <v>3507011.0946559822</v>
      </c>
      <c r="U273" s="64">
        <f t="shared" si="243"/>
        <v>3444720.7012110064</v>
      </c>
      <c r="V273" s="64">
        <f t="shared" si="243"/>
        <v>3393574.022754766</v>
      </c>
      <c r="W273" s="64">
        <f t="shared" si="243"/>
        <v>3350464.7689434066</v>
      </c>
      <c r="X273" s="64">
        <f t="shared" si="243"/>
        <v>3313011.7842915989</v>
      </c>
      <c r="Y273" s="64">
        <f t="shared" si="243"/>
        <v>3283858.7704257737</v>
      </c>
      <c r="Z273" s="64">
        <f t="shared" si="243"/>
        <v>3257378.3918975457</v>
      </c>
      <c r="AA273" s="64">
        <f t="shared" si="243"/>
        <v>3232713.6351684132</v>
      </c>
      <c r="AB273" s="64">
        <f t="shared" si="243"/>
        <v>3209275.9144328274</v>
      </c>
      <c r="AC273" s="64">
        <f t="shared" si="243"/>
        <v>3186664.5584638305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9.6035790634886258</v>
      </c>
      <c r="C283" s="66">
        <f t="shared" ref="C283:AC283" si="252">C253*C254*C261/C261</f>
        <v>9.346042228304464</v>
      </c>
      <c r="D283" s="66">
        <f t="shared" si="252"/>
        <v>9.0856088224088598</v>
      </c>
      <c r="E283" s="66">
        <f t="shared" si="252"/>
        <v>8.8965549263897259</v>
      </c>
      <c r="F283" s="66">
        <f t="shared" si="252"/>
        <v>8.7019220831443267</v>
      </c>
      <c r="G283" s="66">
        <f t="shared" si="252"/>
        <v>8.4999159072450734</v>
      </c>
      <c r="H283" s="66">
        <f t="shared" si="252"/>
        <v>8.2884466823081731</v>
      </c>
      <c r="I283" s="66">
        <f t="shared" si="252"/>
        <v>8.0653491064891991</v>
      </c>
      <c r="J283" s="66">
        <f t="shared" si="252"/>
        <v>7.9907228747347538</v>
      </c>
      <c r="K283" s="66">
        <f t="shared" si="252"/>
        <v>7.8986842151866696</v>
      </c>
      <c r="L283" s="66">
        <f t="shared" si="252"/>
        <v>7.7897852571352431</v>
      </c>
      <c r="M283" s="66">
        <f t="shared" si="252"/>
        <v>7.6677282090590655</v>
      </c>
      <c r="N283" s="66">
        <f t="shared" si="252"/>
        <v>7.5394547643723193</v>
      </c>
      <c r="O283" s="66">
        <f t="shared" si="252"/>
        <v>7.2572334744600342</v>
      </c>
      <c r="P283" s="66">
        <f t="shared" si="252"/>
        <v>6.9904727213103843</v>
      </c>
      <c r="Q283" s="66">
        <f t="shared" si="252"/>
        <v>6.7437021672676138</v>
      </c>
      <c r="R283" s="66">
        <f t="shared" si="252"/>
        <v>6.5177419524955331</v>
      </c>
      <c r="S283" s="66">
        <f t="shared" si="252"/>
        <v>6.3106078999767687</v>
      </c>
      <c r="T283" s="66">
        <f t="shared" si="252"/>
        <v>6.1300180567212221</v>
      </c>
      <c r="U283" s="66">
        <f t="shared" si="252"/>
        <v>5.9611481536080131</v>
      </c>
      <c r="V283" s="66">
        <f t="shared" si="252"/>
        <v>5.8008327597826304</v>
      </c>
      <c r="W283" s="66">
        <f t="shared" si="252"/>
        <v>5.6465505415698747</v>
      </c>
      <c r="X283" s="66">
        <f t="shared" si="252"/>
        <v>5.496423139019881</v>
      </c>
      <c r="Y283" s="66">
        <f t="shared" si="252"/>
        <v>5.3736793320334248</v>
      </c>
      <c r="Z283" s="66">
        <f t="shared" si="252"/>
        <v>5.2527888239312039</v>
      </c>
      <c r="AA283" s="66">
        <f t="shared" si="252"/>
        <v>5.1331347523934312</v>
      </c>
      <c r="AB283" s="66">
        <f t="shared" si="252"/>
        <v>5.0143011500288441</v>
      </c>
      <c r="AC283" s="66">
        <f t="shared" si="252"/>
        <v>4.8960099439985862</v>
      </c>
    </row>
    <row r="284" spans="1:29" ht="15.75" thickBot="1" x14ac:dyDescent="0.3">
      <c r="A284" s="59" t="str">
        <f t="shared" ref="A284" si="253">A272</f>
        <v>Emission Cost</v>
      </c>
      <c r="B284" s="66">
        <f>B255</f>
        <v>0</v>
      </c>
      <c r="C284" s="66">
        <f t="shared" ref="C284:AC284" si="254">C255</f>
        <v>0</v>
      </c>
      <c r="D284" s="66">
        <f t="shared" si="254"/>
        <v>0</v>
      </c>
      <c r="E284" s="66">
        <f t="shared" si="254"/>
        <v>0</v>
      </c>
      <c r="F284" s="66">
        <f t="shared" si="254"/>
        <v>0</v>
      </c>
      <c r="G284" s="66">
        <f t="shared" si="254"/>
        <v>0</v>
      </c>
      <c r="H284" s="66">
        <f t="shared" si="254"/>
        <v>0</v>
      </c>
      <c r="I284" s="66">
        <f t="shared" si="254"/>
        <v>0</v>
      </c>
      <c r="J284" s="66">
        <f t="shared" si="254"/>
        <v>0</v>
      </c>
      <c r="K284" s="66">
        <f t="shared" si="254"/>
        <v>0</v>
      </c>
      <c r="L284" s="66">
        <f t="shared" si="254"/>
        <v>0</v>
      </c>
      <c r="M284" s="66">
        <f t="shared" si="254"/>
        <v>0</v>
      </c>
      <c r="N284" s="66">
        <f t="shared" si="254"/>
        <v>0</v>
      </c>
      <c r="O284" s="66">
        <f t="shared" si="254"/>
        <v>0</v>
      </c>
      <c r="P284" s="66">
        <f t="shared" si="254"/>
        <v>0</v>
      </c>
      <c r="Q284" s="66">
        <f t="shared" si="254"/>
        <v>0</v>
      </c>
      <c r="R284" s="66">
        <f t="shared" si="254"/>
        <v>0</v>
      </c>
      <c r="S284" s="66">
        <f t="shared" si="254"/>
        <v>0</v>
      </c>
      <c r="T284" s="66">
        <f t="shared" si="254"/>
        <v>0</v>
      </c>
      <c r="U284" s="66">
        <f t="shared" si="254"/>
        <v>0</v>
      </c>
      <c r="V284" s="66">
        <f t="shared" si="254"/>
        <v>0</v>
      </c>
      <c r="W284" s="66">
        <f t="shared" si="254"/>
        <v>0</v>
      </c>
      <c r="X284" s="66">
        <f t="shared" si="254"/>
        <v>0</v>
      </c>
      <c r="Y284" s="66">
        <f t="shared" si="254"/>
        <v>0</v>
      </c>
      <c r="Z284" s="66">
        <f t="shared" si="254"/>
        <v>0</v>
      </c>
      <c r="AA284" s="66">
        <f t="shared" si="254"/>
        <v>0</v>
      </c>
      <c r="AB284" s="66">
        <f t="shared" si="254"/>
        <v>0</v>
      </c>
      <c r="AC284" s="66">
        <f t="shared" si="254"/>
        <v>0</v>
      </c>
    </row>
    <row r="285" spans="1:29" ht="15.75" thickBot="1" x14ac:dyDescent="0.3">
      <c r="A285" s="31" t="s">
        <v>63</v>
      </c>
      <c r="B285" s="76">
        <f>B276+B277+B278-B279+B280+B281+B282+B283+B284</f>
        <v>30.240722239882167</v>
      </c>
      <c r="C285" s="76">
        <f t="shared" ref="C285:AC285" si="255">C276+C277+C278-C279+C280+C281+C282+C283+C284</f>
        <v>29.9397422259362</v>
      </c>
      <c r="D285" s="76">
        <f t="shared" si="255"/>
        <v>29.617625733856187</v>
      </c>
      <c r="E285" s="76">
        <f t="shared" si="255"/>
        <v>29.341388722881526</v>
      </c>
      <c r="F285" s="76">
        <f t="shared" si="255"/>
        <v>29.024352359152253</v>
      </c>
      <c r="G285" s="76">
        <f t="shared" si="255"/>
        <v>28.652160855926546</v>
      </c>
      <c r="H285" s="76">
        <f t="shared" si="255"/>
        <v>28.207373913870828</v>
      </c>
      <c r="I285" s="76">
        <f t="shared" si="255"/>
        <v>27.670722327559965</v>
      </c>
      <c r="J285" s="76">
        <f t="shared" si="255"/>
        <v>27.186220429912641</v>
      </c>
      <c r="K285" s="76">
        <f t="shared" si="255"/>
        <v>26.578012647151816</v>
      </c>
      <c r="L285" s="76">
        <f t="shared" si="255"/>
        <v>25.849725557882103</v>
      </c>
      <c r="M285" s="76">
        <f t="shared" si="255"/>
        <v>25.027280729415473</v>
      </c>
      <c r="N285" s="76">
        <f t="shared" si="255"/>
        <v>24.159610778589279</v>
      </c>
      <c r="O285" s="76">
        <f t="shared" si="255"/>
        <v>23.152542922775996</v>
      </c>
      <c r="P285" s="76">
        <f t="shared" si="255"/>
        <v>22.22593942076789</v>
      </c>
      <c r="Q285" s="76">
        <f t="shared" si="255"/>
        <v>21.418396493609812</v>
      </c>
      <c r="R285" s="76">
        <f t="shared" si="255"/>
        <v>20.743358036614371</v>
      </c>
      <c r="S285" s="76">
        <f t="shared" si="255"/>
        <v>20.193557353764447</v>
      </c>
      <c r="T285" s="76">
        <f t="shared" si="255"/>
        <v>19.761080055312021</v>
      </c>
      <c r="U285" s="76">
        <f t="shared" si="255"/>
        <v>19.412114265704311</v>
      </c>
      <c r="V285" s="76">
        <f t="shared" si="255"/>
        <v>19.12557825194386</v>
      </c>
      <c r="W285" s="76">
        <f t="shared" si="255"/>
        <v>18.884069827230363</v>
      </c>
      <c r="X285" s="76">
        <f t="shared" si="255"/>
        <v>18.674249184923315</v>
      </c>
      <c r="Y285" s="76">
        <f t="shared" si="255"/>
        <v>18.510926978392082</v>
      </c>
      <c r="Z285" s="76">
        <f t="shared" si="255"/>
        <v>18.362577518850191</v>
      </c>
      <c r="AA285" s="76">
        <f t="shared" si="255"/>
        <v>18.224399610003509</v>
      </c>
      <c r="AB285" s="76">
        <f t="shared" si="255"/>
        <v>18.093095852381179</v>
      </c>
      <c r="AC285" s="76">
        <f t="shared" si="255"/>
        <v>17.966421589249546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4.2873120819145651E-3</v>
      </c>
      <c r="C295" s="66">
        <f t="shared" ref="C295:AC295" si="264">C253*C254*C261/C261/(C258)</f>
        <v>4.1723402804930646E-3</v>
      </c>
      <c r="D295" s="66">
        <f t="shared" si="264"/>
        <v>4.0560753671468122E-3</v>
      </c>
      <c r="E295" s="66">
        <f t="shared" si="264"/>
        <v>3.9716763064239846E-3</v>
      </c>
      <c r="F295" s="66">
        <f t="shared" si="264"/>
        <v>3.8847866442608603E-3</v>
      </c>
      <c r="G295" s="66">
        <f t="shared" si="264"/>
        <v>3.7946053157344077E-3</v>
      </c>
      <c r="H295" s="66">
        <f t="shared" si="264"/>
        <v>3.7001994117447203E-3</v>
      </c>
      <c r="I295" s="66">
        <f t="shared" si="264"/>
        <v>3.6006022796826781E-3</v>
      </c>
      <c r="J295" s="66">
        <f t="shared" si="264"/>
        <v>3.5672869976494438E-3</v>
      </c>
      <c r="K295" s="66">
        <f t="shared" si="264"/>
        <v>3.5261983103511917E-3</v>
      </c>
      <c r="L295" s="66">
        <f t="shared" si="264"/>
        <v>3.4775827040782335E-3</v>
      </c>
      <c r="M295" s="66">
        <f t="shared" si="264"/>
        <v>3.4230929504727972E-3</v>
      </c>
      <c r="N295" s="66">
        <f t="shared" si="264"/>
        <v>3.365828019809071E-3</v>
      </c>
      <c r="O295" s="66">
        <f t="shared" si="264"/>
        <v>3.2398363725268009E-3</v>
      </c>
      <c r="P295" s="66">
        <f t="shared" si="264"/>
        <v>3.1207467505849928E-3</v>
      </c>
      <c r="Q295" s="66">
        <f t="shared" si="264"/>
        <v>3.0105813246730419E-3</v>
      </c>
      <c r="R295" s="66">
        <f t="shared" si="264"/>
        <v>2.9097062287926486E-3</v>
      </c>
      <c r="S295" s="66">
        <f t="shared" si="264"/>
        <v>2.8172356696324861E-3</v>
      </c>
      <c r="T295" s="66">
        <f t="shared" si="264"/>
        <v>2.7366152038934026E-3</v>
      </c>
      <c r="U295" s="66">
        <f t="shared" si="264"/>
        <v>2.6612268542892917E-3</v>
      </c>
      <c r="V295" s="66">
        <f t="shared" si="264"/>
        <v>2.5896574820458173E-3</v>
      </c>
      <c r="W295" s="66">
        <f t="shared" si="264"/>
        <v>2.5207814917722654E-3</v>
      </c>
      <c r="X295" s="66">
        <f t="shared" si="264"/>
        <v>2.4537603299195896E-3</v>
      </c>
      <c r="Y295" s="66">
        <f t="shared" si="264"/>
        <v>2.3989639875149219E-3</v>
      </c>
      <c r="Z295" s="66">
        <f t="shared" si="264"/>
        <v>2.3449950106835733E-3</v>
      </c>
      <c r="AA295" s="66">
        <f t="shared" si="264"/>
        <v>2.2915780144613534E-3</v>
      </c>
      <c r="AB295" s="66">
        <f t="shared" si="264"/>
        <v>2.2385272991200197E-3</v>
      </c>
      <c r="AC295" s="66">
        <f t="shared" si="264"/>
        <v>2.1857187249993688E-3</v>
      </c>
    </row>
    <row r="296" spans="1:29" x14ac:dyDescent="0.25">
      <c r="A296" s="59" t="str">
        <f>A259</f>
        <v>Market failure (av. utilization)</v>
      </c>
      <c r="B296" s="66">
        <f t="shared" ref="B296:AC296" si="265">B285/B259-B285/B258</f>
        <v>1.8141058263322171E-2</v>
      </c>
      <c r="C296" s="66">
        <f t="shared" si="265"/>
        <v>1.7960503846473998E-2</v>
      </c>
      <c r="D296" s="66">
        <f t="shared" si="265"/>
        <v>1.7767269901727344E-2</v>
      </c>
      <c r="E296" s="66">
        <f t="shared" si="265"/>
        <v>1.7601558525166094E-2</v>
      </c>
      <c r="F296" s="66">
        <f t="shared" si="265"/>
        <v>1.7411372090451266E-2</v>
      </c>
      <c r="G296" s="66">
        <f t="shared" si="265"/>
        <v>1.7188098727746112E-2</v>
      </c>
      <c r="H296" s="66">
        <f t="shared" si="265"/>
        <v>1.6921276203912466E-2</v>
      </c>
      <c r="I296" s="66">
        <f t="shared" si="265"/>
        <v>1.6599345146276208E-2</v>
      </c>
      <c r="J296" s="66">
        <f t="shared" si="265"/>
        <v>1.6308698081560317E-2</v>
      </c>
      <c r="K296" s="66">
        <f t="shared" si="265"/>
        <v>1.5943841292236721E-2</v>
      </c>
      <c r="L296" s="66">
        <f t="shared" si="265"/>
        <v>1.5506950320716105E-2</v>
      </c>
      <c r="M296" s="66">
        <f t="shared" si="265"/>
        <v>1.501357521435359E-2</v>
      </c>
      <c r="N296" s="66">
        <f t="shared" si="265"/>
        <v>1.4493070082022028E-2</v>
      </c>
      <c r="O296" s="66">
        <f t="shared" si="265"/>
        <v>1.3888941764500109E-2</v>
      </c>
      <c r="P296" s="66">
        <f t="shared" si="265"/>
        <v>1.3333083078864664E-2</v>
      </c>
      <c r="Q296" s="66">
        <f t="shared" si="265"/>
        <v>1.2848647450128653E-2</v>
      </c>
      <c r="R296" s="66">
        <f t="shared" si="265"/>
        <v>1.2443699715044892E-2</v>
      </c>
      <c r="S296" s="66">
        <f t="shared" si="265"/>
        <v>1.211388066701829E-2</v>
      </c>
      <c r="T296" s="66">
        <f t="shared" si="265"/>
        <v>1.1854442555502468E-2</v>
      </c>
      <c r="U296" s="66">
        <f t="shared" si="265"/>
        <v>1.1645102028812575E-2</v>
      </c>
      <c r="V296" s="66">
        <f t="shared" si="265"/>
        <v>1.1473212400022125E-2</v>
      </c>
      <c r="W296" s="66">
        <f t="shared" si="265"/>
        <v>1.1328334299259286E-2</v>
      </c>
      <c r="X296" s="66">
        <f t="shared" si="265"/>
        <v>1.1202465331357459E-2</v>
      </c>
      <c r="Y296" s="66">
        <f t="shared" si="265"/>
        <v>1.1104490235363551E-2</v>
      </c>
      <c r="Z296" s="66">
        <f t="shared" si="265"/>
        <v>1.1015497116497745E-2</v>
      </c>
      <c r="AA296" s="66">
        <f t="shared" si="265"/>
        <v>1.0932605792831345E-2</v>
      </c>
      <c r="AB296" s="66">
        <f t="shared" si="265"/>
        <v>1.0853838192695182E-2</v>
      </c>
      <c r="AC296" s="66">
        <f t="shared" si="265"/>
        <v>1.0777847772568783E-2</v>
      </c>
    </row>
    <row r="297" spans="1:29" x14ac:dyDescent="0.25">
      <c r="A297" s="59" t="str">
        <f>A260</f>
        <v>Payload loss (fuel)</v>
      </c>
      <c r="B297" s="66">
        <f>B285/(B258-B260)-B285/B258</f>
        <v>2.4546040779125158E-4</v>
      </c>
      <c r="C297" s="66">
        <f t="shared" ref="C297:AC297" si="266">C285/(C258-C260)-C285/C258</f>
        <v>2.4301738819753303E-4</v>
      </c>
      <c r="D297" s="66">
        <f t="shared" si="266"/>
        <v>2.4040280628129934E-4</v>
      </c>
      <c r="E297" s="66">
        <f t="shared" si="266"/>
        <v>2.3816062275066295E-4</v>
      </c>
      <c r="F297" s="66">
        <f t="shared" si="266"/>
        <v>2.3558727564246956E-4</v>
      </c>
      <c r="G297" s="66">
        <f t="shared" si="266"/>
        <v>2.3256624071368859E-4</v>
      </c>
      <c r="H297" s="66">
        <f t="shared" si="266"/>
        <v>2.2895595709310733E-4</v>
      </c>
      <c r="I297" s="66">
        <f t="shared" si="266"/>
        <v>2.2460001889253178E-4</v>
      </c>
      <c r="J297" s="66">
        <f t="shared" si="266"/>
        <v>2.206673736194209E-4</v>
      </c>
      <c r="K297" s="66">
        <f t="shared" si="266"/>
        <v>2.1573062213597199E-4</v>
      </c>
      <c r="L297" s="66">
        <f t="shared" si="266"/>
        <v>2.0981920095683622E-4</v>
      </c>
      <c r="M297" s="66">
        <f t="shared" si="266"/>
        <v>2.0314351241408624E-4</v>
      </c>
      <c r="N297" s="66">
        <f t="shared" si="266"/>
        <v>1.9610073683919843E-4</v>
      </c>
      <c r="O297" s="66">
        <f t="shared" si="266"/>
        <v>1.8792648476279213E-4</v>
      </c>
      <c r="P297" s="66">
        <f t="shared" si="266"/>
        <v>1.8040535244129643E-4</v>
      </c>
      <c r="Q297" s="66">
        <f t="shared" si="266"/>
        <v>1.7385062088969006E-4</v>
      </c>
      <c r="R297" s="66">
        <f t="shared" si="266"/>
        <v>1.683714126348556E-4</v>
      </c>
      <c r="S297" s="66">
        <f t="shared" si="266"/>
        <v>1.6390874475457999E-4</v>
      </c>
      <c r="T297" s="66">
        <f t="shared" si="266"/>
        <v>1.6039837707233773E-4</v>
      </c>
      <c r="U297" s="66">
        <f t="shared" si="266"/>
        <v>1.5756586254630188E-4</v>
      </c>
      <c r="V297" s="66">
        <f t="shared" si="266"/>
        <v>1.5524008321382912E-4</v>
      </c>
      <c r="W297" s="66">
        <f t="shared" si="266"/>
        <v>1.5327978755868762E-4</v>
      </c>
      <c r="X297" s="66">
        <f t="shared" si="266"/>
        <v>1.5157669792957226E-4</v>
      </c>
      <c r="Y297" s="66">
        <f t="shared" si="266"/>
        <v>1.5025103066876669E-4</v>
      </c>
      <c r="Z297" s="66">
        <f t="shared" si="266"/>
        <v>1.4904689544521267E-4</v>
      </c>
      <c r="AA297" s="66">
        <f t="shared" si="266"/>
        <v>1.4792532150977034E-4</v>
      </c>
      <c r="AB297" s="66">
        <f t="shared" si="266"/>
        <v>1.4685954425634057E-4</v>
      </c>
      <c r="AC297" s="66">
        <f t="shared" si="266"/>
        <v>1.4583134406858343E-4</v>
      </c>
    </row>
    <row r="298" spans="1:29" ht="15.75" thickBot="1" x14ac:dyDescent="0.3">
      <c r="A298" s="59" t="str">
        <f>A235</f>
        <v>Emission Cost</v>
      </c>
      <c r="B298" s="68">
        <f>B255*B261/B261/(B258)</f>
        <v>0</v>
      </c>
      <c r="C298" s="68">
        <f t="shared" ref="C298:AC298" si="267">C255*C261/C261/(C258)</f>
        <v>0</v>
      </c>
      <c r="D298" s="68">
        <f t="shared" si="267"/>
        <v>0</v>
      </c>
      <c r="E298" s="68">
        <f t="shared" si="267"/>
        <v>0</v>
      </c>
      <c r="F298" s="68">
        <f t="shared" si="267"/>
        <v>0</v>
      </c>
      <c r="G298" s="68">
        <f t="shared" si="267"/>
        <v>0</v>
      </c>
      <c r="H298" s="68">
        <f t="shared" si="267"/>
        <v>0</v>
      </c>
      <c r="I298" s="68">
        <f t="shared" si="267"/>
        <v>0</v>
      </c>
      <c r="J298" s="68">
        <f t="shared" si="267"/>
        <v>0</v>
      </c>
      <c r="K298" s="68">
        <f t="shared" si="267"/>
        <v>0</v>
      </c>
      <c r="L298" s="68">
        <f t="shared" si="267"/>
        <v>0</v>
      </c>
      <c r="M298" s="68">
        <f t="shared" si="267"/>
        <v>0</v>
      </c>
      <c r="N298" s="68">
        <f t="shared" si="267"/>
        <v>0</v>
      </c>
      <c r="O298" s="68">
        <f t="shared" si="267"/>
        <v>0</v>
      </c>
      <c r="P298" s="68">
        <f t="shared" si="267"/>
        <v>0</v>
      </c>
      <c r="Q298" s="68">
        <f t="shared" si="267"/>
        <v>0</v>
      </c>
      <c r="R298" s="68">
        <f t="shared" si="267"/>
        <v>0</v>
      </c>
      <c r="S298" s="68">
        <f t="shared" si="267"/>
        <v>0</v>
      </c>
      <c r="T298" s="68">
        <f t="shared" si="267"/>
        <v>0</v>
      </c>
      <c r="U298" s="68">
        <f t="shared" si="267"/>
        <v>0</v>
      </c>
      <c r="V298" s="68">
        <f t="shared" si="267"/>
        <v>0</v>
      </c>
      <c r="W298" s="68">
        <f t="shared" si="267"/>
        <v>0</v>
      </c>
      <c r="X298" s="68">
        <f t="shared" si="267"/>
        <v>0</v>
      </c>
      <c r="Y298" s="68">
        <f t="shared" si="267"/>
        <v>0</v>
      </c>
      <c r="Z298" s="68">
        <f t="shared" si="267"/>
        <v>0</v>
      </c>
      <c r="AA298" s="68">
        <f t="shared" si="267"/>
        <v>0</v>
      </c>
      <c r="AB298" s="68">
        <f t="shared" si="267"/>
        <v>0</v>
      </c>
      <c r="AC298" s="68">
        <f t="shared" si="267"/>
        <v>0</v>
      </c>
    </row>
    <row r="299" spans="1:29" ht="15.75" thickBot="1" x14ac:dyDescent="0.3">
      <c r="A299" s="31" t="s">
        <v>210</v>
      </c>
      <c r="B299" s="67">
        <f>B288+B289+B290+B291+B292+B293+B294+B295+B296+B297+B298</f>
        <v>3.1835966511754063E-2</v>
      </c>
      <c r="C299" s="67">
        <f t="shared" ref="C299:AC299" si="268">C288+C289+C290+C291+C292+C293+C294+C295+C296+C297+C298</f>
        <v>3.151860299765772E-2</v>
      </c>
      <c r="D299" s="67">
        <f t="shared" si="268"/>
        <v>3.117895246560197E-2</v>
      </c>
      <c r="E299" s="67">
        <f t="shared" si="268"/>
        <v>3.0887678811324967E-2</v>
      </c>
      <c r="F299" s="67">
        <f t="shared" si="268"/>
        <v>3.0553384938551378E-2</v>
      </c>
      <c r="G299" s="67">
        <f t="shared" si="268"/>
        <v>3.0160933619834535E-2</v>
      </c>
      <c r="H299" s="67">
        <f t="shared" si="268"/>
        <v>2.9691935213248297E-2</v>
      </c>
      <c r="I299" s="67">
        <f t="shared" si="268"/>
        <v>2.9126071616379826E-2</v>
      </c>
      <c r="J299" s="67">
        <f t="shared" si="268"/>
        <v>2.8615196416369698E-2</v>
      </c>
      <c r="K299" s="67">
        <f t="shared" si="268"/>
        <v>2.7973881543972998E-2</v>
      </c>
      <c r="L299" s="67">
        <f t="shared" si="268"/>
        <v>2.7205950986420695E-2</v>
      </c>
      <c r="M299" s="67">
        <f t="shared" si="268"/>
        <v>2.6338737321664259E-2</v>
      </c>
      <c r="N299" s="67">
        <f t="shared" si="268"/>
        <v>2.5423836757138968E-2</v>
      </c>
      <c r="O299" s="67">
        <f t="shared" si="268"/>
        <v>2.4361950323338287E-2</v>
      </c>
      <c r="P299" s="67">
        <f t="shared" si="268"/>
        <v>2.3384908227699158E-2</v>
      </c>
      <c r="Q299" s="67">
        <f t="shared" si="268"/>
        <v>2.2533407632073111E-2</v>
      </c>
      <c r="R299" s="67">
        <f t="shared" si="268"/>
        <v>2.1821624234718694E-2</v>
      </c>
      <c r="S299" s="67">
        <f t="shared" si="268"/>
        <v>2.1241895785396675E-2</v>
      </c>
      <c r="T299" s="67">
        <f t="shared" si="268"/>
        <v>2.0785877083675203E-2</v>
      </c>
      <c r="U299" s="67">
        <f t="shared" si="268"/>
        <v>2.0417915743527262E-2</v>
      </c>
      <c r="V299" s="67">
        <f t="shared" si="268"/>
        <v>2.0115782472118423E-2</v>
      </c>
      <c r="W299" s="67">
        <f t="shared" si="268"/>
        <v>1.9861127814667631E-2</v>
      </c>
      <c r="X299" s="67">
        <f t="shared" si="268"/>
        <v>1.9639885827535328E-2</v>
      </c>
      <c r="Y299" s="67">
        <f t="shared" si="268"/>
        <v>1.9467673364936312E-2</v>
      </c>
      <c r="Z299" s="67">
        <f t="shared" si="268"/>
        <v>1.9311248673551468E-2</v>
      </c>
      <c r="AA299" s="67">
        <f t="shared" si="268"/>
        <v>1.9165549209500213E-2</v>
      </c>
      <c r="AB299" s="67">
        <f t="shared" si="268"/>
        <v>1.902709808317208E-2</v>
      </c>
      <c r="AC299" s="67">
        <f t="shared" si="268"/>
        <v>1.8893528452531304E-2</v>
      </c>
    </row>
    <row r="301" spans="1:29" x14ac:dyDescent="0.25">
      <c r="B301" s="40"/>
    </row>
    <row r="324" spans="1:44" s="3" customFormat="1" ht="21" x14ac:dyDescent="0.35">
      <c r="A324" s="2" t="str">
        <f>'Parameter Input'!A182</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Input'!$L$183</f>
        <v>10000000</v>
      </c>
      <c r="C334" s="42">
        <f>'Parameter Input'!$M$183</f>
        <v>4000000</v>
      </c>
      <c r="D334" s="1" t="s">
        <v>15</v>
      </c>
      <c r="L334" s="51">
        <f>'Parameter Input'!$O$183</f>
        <v>12</v>
      </c>
      <c r="M334" s="52">
        <v>0</v>
      </c>
      <c r="N334" s="52">
        <v>1</v>
      </c>
      <c r="O334" s="52">
        <f>'Parameter Input'!$P$183</f>
        <v>0.9</v>
      </c>
      <c r="P334" s="53">
        <f>'Parameter Input'!$Q$183</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Input'!$L$184</f>
        <v>-500000</v>
      </c>
      <c r="C335" s="61">
        <f>'Parameter Input'!$M$184</f>
        <v>-600000</v>
      </c>
      <c r="D335" s="1" t="s">
        <v>15</v>
      </c>
      <c r="L335" s="54">
        <f>'Parameter Input'!$O$184</f>
        <v>12</v>
      </c>
      <c r="M335" s="37">
        <v>0</v>
      </c>
      <c r="N335" s="37">
        <v>1</v>
      </c>
      <c r="O335" s="37">
        <f>'Parameter Input'!$P$184</f>
        <v>0.9</v>
      </c>
      <c r="P335" s="55">
        <f>'Parameter Input'!$Q$184</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Input'!$L$190</f>
        <v>0.06</v>
      </c>
      <c r="C338" s="46">
        <f>'Parameter Input'!$M$190</f>
        <v>0.06</v>
      </c>
      <c r="D338" s="1" t="s">
        <v>57</v>
      </c>
      <c r="L338" s="54">
        <f>'Parameter Input'!$O$190</f>
        <v>12</v>
      </c>
      <c r="M338" s="37">
        <v>0</v>
      </c>
      <c r="N338" s="37">
        <v>1</v>
      </c>
      <c r="O338" s="37">
        <f>'Parameter Input'!$P$190</f>
        <v>0.9</v>
      </c>
      <c r="P338" s="55">
        <f>'Parameter Input'!$Q$190</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Input'!$L$186</f>
        <v>1400000.0000000002</v>
      </c>
      <c r="C340" s="44">
        <f>'Parameter Input'!$M$186</f>
        <v>560000</v>
      </c>
      <c r="D340" s="1" t="s">
        <v>38</v>
      </c>
      <c r="L340" s="54">
        <f>'Parameter Input'!$O$186</f>
        <v>12</v>
      </c>
      <c r="M340" s="37">
        <v>0</v>
      </c>
      <c r="N340" s="37">
        <v>1</v>
      </c>
      <c r="O340" s="37">
        <f>'Parameter Input'!$P$186</f>
        <v>0.9</v>
      </c>
      <c r="P340" s="55">
        <f>'Parameter Input'!$Q$186</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Input'!$L$187</f>
        <v>48.858472727272719</v>
      </c>
      <c r="C342" s="48">
        <f>'Parameter Input'!$M$187</f>
        <v>41.341784615384611</v>
      </c>
      <c r="D342" s="1" t="s">
        <v>60</v>
      </c>
      <c r="L342" s="54">
        <f>'Parameter Input'!$O$187</f>
        <v>12</v>
      </c>
      <c r="M342" s="37">
        <v>0</v>
      </c>
      <c r="N342" s="37">
        <v>1</v>
      </c>
      <c r="O342" s="37">
        <f>'Parameter Input'!$P$187</f>
        <v>0.9</v>
      </c>
      <c r="P342" s="55">
        <f>'Parameter Input'!$Q$187</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Input'!$L$188</f>
        <v>0.2544561408768215</v>
      </c>
      <c r="C343" s="46">
        <f>'Parameter Input'!$M$188</f>
        <v>0.10949010032952979</v>
      </c>
      <c r="D343" s="1" t="s">
        <v>68</v>
      </c>
      <c r="L343" s="54">
        <f>'Parameter Input'!$O$188</f>
        <v>12</v>
      </c>
      <c r="M343" s="37">
        <v>0</v>
      </c>
      <c r="N343" s="37">
        <v>1</v>
      </c>
      <c r="O343" s="37">
        <f>'Parameter Input'!$P$188</f>
        <v>0.9</v>
      </c>
      <c r="P343" s="55">
        <f>'Parameter Input'!$Q$188</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Input'!$L$191</f>
        <v>0</v>
      </c>
      <c r="C344" s="116">
        <f>'Parameter Input'!$M$191</f>
        <v>0</v>
      </c>
      <c r="D344" s="1" t="s">
        <v>76</v>
      </c>
      <c r="L344" s="54">
        <f>'Parameter Input'!$O$191</f>
        <v>17</v>
      </c>
      <c r="M344" s="37">
        <v>0</v>
      </c>
      <c r="N344" s="37">
        <v>1</v>
      </c>
      <c r="O344" s="37">
        <f>'Parameter Input'!$P$191</f>
        <v>0.9</v>
      </c>
      <c r="P344" s="55">
        <f>'Parameter Input'!$Q$191</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Input'!$L$185</f>
        <v>20</v>
      </c>
      <c r="C345" s="44">
        <f>'Parameter Input'!$M$185</f>
        <v>20</v>
      </c>
      <c r="D345" s="1" t="s">
        <v>42</v>
      </c>
      <c r="L345" s="54">
        <f>'Parameter Input'!$O$185</f>
        <v>12</v>
      </c>
      <c r="M345" s="37">
        <v>0</v>
      </c>
      <c r="N345" s="37">
        <v>1</v>
      </c>
      <c r="O345" s="37">
        <f>'Parameter Input'!$P$185</f>
        <v>0.9</v>
      </c>
      <c r="P345" s="55">
        <f>'Parameter Input'!$Q$185</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Input'!$L$189</f>
        <v>1.7857142857142856E-2</v>
      </c>
      <c r="C349" s="73">
        <f>'Parameter Input'!$M$189</f>
        <v>1.7857142857142856E-2</v>
      </c>
      <c r="D349" s="1" t="s">
        <v>57</v>
      </c>
      <c r="L349" s="54">
        <f>'Parameter Input'!$O$189</f>
        <v>12</v>
      </c>
      <c r="M349" s="37">
        <v>0</v>
      </c>
      <c r="N349" s="37">
        <v>1</v>
      </c>
      <c r="O349" s="37">
        <f>'Parameter Input'!$P$189</f>
        <v>0.9</v>
      </c>
      <c r="P349" s="55">
        <f>'Parameter Input'!$Q$189</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2" si="275">$B334+($C334-$B334)*(1-Q334)</f>
        <v>9920787.1694490239</v>
      </c>
      <c r="C354" s="62">
        <f t="shared" ref="C354:C362" si="276">$B334+($C334-$B334)*(1-R334)</f>
        <v>9886870.5857714955</v>
      </c>
      <c r="D354" s="62">
        <f t="shared" ref="D354:D362" si="277">$B334+($C334-$B334)*(1-S334)</f>
        <v>9838713.8989523221</v>
      </c>
      <c r="E354" s="62">
        <f t="shared" ref="E354:E362" si="278">$B334+($C334-$B334)*(1-T334)</f>
        <v>9770649.0496955663</v>
      </c>
      <c r="F354" s="62">
        <f t="shared" ref="F354:F362" si="279">$B334+($C334-$B334)*(1-U334)</f>
        <v>9675087.2293306813</v>
      </c>
      <c r="G354" s="62">
        <f t="shared" ref="G354:G362" si="280">$B334+($C334-$B334)*(1-V334)</f>
        <v>9542221.6090084892</v>
      </c>
      <c r="H354" s="62">
        <f t="shared" ref="H354:H362" si="281">$B334+($C334-$B334)*(1-W334)</f>
        <v>9360067.8140595071</v>
      </c>
      <c r="I354" s="62">
        <f t="shared" ref="I354:I362" si="282">$B334+($C334-$B334)*(1-X334)</f>
        <v>9115272.63245962</v>
      </c>
      <c r="J354" s="62">
        <f t="shared" ref="J354:J362" si="283">$B334+($C334-$B334)*(1-Y334)</f>
        <v>8795278.0391574334</v>
      </c>
      <c r="K354" s="62">
        <f t="shared" ref="K354:K362" si="284">$B334+($C334-$B334)*(1-Z334)</f>
        <v>8392298.9349996019</v>
      </c>
      <c r="L354" s="62">
        <f t="shared" ref="L354:L362" si="285">$B334+($C334-$B334)*(1-AA334)</f>
        <v>7908735.5775272017</v>
      </c>
      <c r="M354" s="62">
        <f t="shared" ref="M354:M362" si="286">$B334+($C334-$B334)*(1-AB334)</f>
        <v>7361934.872850975</v>
      </c>
      <c r="N354" s="62">
        <f t="shared" ref="N354:N362" si="287">$B334+($C334-$B334)*(1-AC334)</f>
        <v>6784679.6123911208</v>
      </c>
      <c r="O354" s="62">
        <f t="shared" ref="O354:O362" si="288">$B334+($C334-$B334)*(1-AD334)</f>
        <v>6218783.6557314359</v>
      </c>
      <c r="P354" s="62">
        <f t="shared" ref="P354:P362" si="289">$B334+($C334-$B334)*(1-AE334)</f>
        <v>5703636.9182338724</v>
      </c>
      <c r="Q354" s="62">
        <f t="shared" ref="Q354:Q362" si="290">$B334+($C334-$B334)*(1-AF334)</f>
        <v>5265835.5496670641</v>
      </c>
      <c r="R354" s="62">
        <f t="shared" ref="R354:R362" si="291">$B334+($C334-$B334)*(1-AG334)</f>
        <v>4915235.0592278922</v>
      </c>
      <c r="S354" s="62">
        <f t="shared" ref="S354:S362" si="292">$B334+($C334-$B334)*(1-AH334)</f>
        <v>4647711.3242625995</v>
      </c>
      <c r="T354" s="62">
        <f t="shared" ref="T354:T362" si="293">$B334+($C334-$B334)*(1-AI334)</f>
        <v>4451059.923628551</v>
      </c>
      <c r="U354" s="62">
        <f t="shared" ref="U354:U362" si="294">$B334+($C334-$B334)*(1-AJ334)</f>
        <v>4310457.0170650128</v>
      </c>
      <c r="V354" s="62">
        <f t="shared" ref="V354:V362" si="295">$B334+($C334-$B334)*(1-AK334)</f>
        <v>4211915.1437520757</v>
      </c>
      <c r="W354" s="62">
        <f t="shared" ref="W354:W362" si="296">$B334+($C334-$B334)*(1-AL334)</f>
        <v>4143816.6524359491</v>
      </c>
      <c r="X354" s="62">
        <f t="shared" ref="X354:X362" si="297">$B334+($C334-$B334)*(1-AM334)</f>
        <v>4097213.4613503385</v>
      </c>
      <c r="Y354" s="62">
        <f t="shared" ref="Y354:Y362" si="298">$B334+($C334-$B334)*(1-AN334)</f>
        <v>4065533.4433846502</v>
      </c>
      <c r="Z354" s="62">
        <f t="shared" ref="Z354:Z362" si="299">$B334+($C334-$B334)*(1-AO334)</f>
        <v>4044095.9277436547</v>
      </c>
      <c r="AA354" s="62">
        <f t="shared" ref="AA354:AA362" si="300">$B334+($C334-$B334)*(1-AP334)</f>
        <v>4029634.1573110344</v>
      </c>
      <c r="AB354" s="62">
        <f t="shared" ref="AB354:AB362" si="301">$B334+($C334-$B334)*(1-AQ334)</f>
        <v>4019898.5652957736</v>
      </c>
      <c r="AC354" s="62">
        <f t="shared" ref="AC354:AC362"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303">A344</f>
        <v>Emission Cost</v>
      </c>
      <c r="B364" s="66">
        <f>$B344+($C344-$B344)*(1-Q344)</f>
        <v>0</v>
      </c>
      <c r="C364" s="66">
        <f t="shared" ref="C364:AC364" si="304">$B344+($C344-$B344)*(1-R344)</f>
        <v>0</v>
      </c>
      <c r="D364" s="66">
        <f t="shared" si="304"/>
        <v>0</v>
      </c>
      <c r="E364" s="66">
        <f t="shared" si="304"/>
        <v>0</v>
      </c>
      <c r="F364" s="66">
        <f t="shared" si="304"/>
        <v>0</v>
      </c>
      <c r="G364" s="66">
        <f t="shared" si="304"/>
        <v>0</v>
      </c>
      <c r="H364" s="66">
        <f t="shared" si="304"/>
        <v>0</v>
      </c>
      <c r="I364" s="66">
        <f t="shared" si="304"/>
        <v>0</v>
      </c>
      <c r="J364" s="66">
        <f t="shared" si="304"/>
        <v>0</v>
      </c>
      <c r="K364" s="66">
        <f t="shared" si="304"/>
        <v>0</v>
      </c>
      <c r="L364" s="66">
        <f t="shared" si="304"/>
        <v>0</v>
      </c>
      <c r="M364" s="66">
        <f t="shared" si="304"/>
        <v>0</v>
      </c>
      <c r="N364" s="66">
        <f t="shared" si="304"/>
        <v>0</v>
      </c>
      <c r="O364" s="66">
        <f t="shared" si="304"/>
        <v>0</v>
      </c>
      <c r="P364" s="66">
        <f t="shared" si="304"/>
        <v>0</v>
      </c>
      <c r="Q364" s="66">
        <f t="shared" si="304"/>
        <v>0</v>
      </c>
      <c r="R364" s="66">
        <f t="shared" si="304"/>
        <v>0</v>
      </c>
      <c r="S364" s="66">
        <f t="shared" si="304"/>
        <v>0</v>
      </c>
      <c r="T364" s="66">
        <f t="shared" si="304"/>
        <v>0</v>
      </c>
      <c r="U364" s="66">
        <f t="shared" si="304"/>
        <v>0</v>
      </c>
      <c r="V364" s="66">
        <f t="shared" si="304"/>
        <v>0</v>
      </c>
      <c r="W364" s="66">
        <f t="shared" si="304"/>
        <v>0</v>
      </c>
      <c r="X364" s="66">
        <f t="shared" si="304"/>
        <v>0</v>
      </c>
      <c r="Y364" s="66">
        <f t="shared" si="304"/>
        <v>0</v>
      </c>
      <c r="Z364" s="66">
        <f t="shared" si="304"/>
        <v>0</v>
      </c>
      <c r="AA364" s="66">
        <f t="shared" si="304"/>
        <v>0</v>
      </c>
      <c r="AB364" s="66">
        <f t="shared" si="304"/>
        <v>0</v>
      </c>
      <c r="AC364" s="66">
        <f t="shared" si="304"/>
        <v>0</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1714238.8628327197</v>
      </c>
      <c r="C380" s="62">
        <f t="shared" ref="C380:AC380" si="319">C362*C363*C370</f>
        <v>1668268.5377523468</v>
      </c>
      <c r="D380" s="62">
        <f t="shared" si="319"/>
        <v>1621781.1747999815</v>
      </c>
      <c r="E380" s="62">
        <f t="shared" si="319"/>
        <v>1588035.054360566</v>
      </c>
      <c r="F380" s="62">
        <f t="shared" si="319"/>
        <v>1553293.0918412623</v>
      </c>
      <c r="G380" s="62">
        <f t="shared" si="319"/>
        <v>1517234.9894432456</v>
      </c>
      <c r="H380" s="62">
        <f t="shared" si="319"/>
        <v>1479487.7327920089</v>
      </c>
      <c r="I380" s="62">
        <f t="shared" si="319"/>
        <v>1439664.8155083221</v>
      </c>
      <c r="J380" s="62">
        <f t="shared" si="319"/>
        <v>1426344.0331401536</v>
      </c>
      <c r="K380" s="62">
        <f t="shared" si="319"/>
        <v>1409915.1324108206</v>
      </c>
      <c r="L380" s="62">
        <f t="shared" si="319"/>
        <v>1390476.6683986408</v>
      </c>
      <c r="M380" s="62">
        <f t="shared" si="319"/>
        <v>1368689.4853170433</v>
      </c>
      <c r="N380" s="62">
        <f t="shared" si="319"/>
        <v>1345792.675440459</v>
      </c>
      <c r="O380" s="62">
        <f t="shared" si="319"/>
        <v>1295416.1751911161</v>
      </c>
      <c r="P380" s="62">
        <f t="shared" si="319"/>
        <v>1247799.3807539036</v>
      </c>
      <c r="Q380" s="62">
        <f t="shared" si="319"/>
        <v>1203750.8368572691</v>
      </c>
      <c r="R380" s="62">
        <f t="shared" si="319"/>
        <v>1163416.9385204527</v>
      </c>
      <c r="S380" s="62">
        <f t="shared" si="319"/>
        <v>1126443.5101458533</v>
      </c>
      <c r="T380" s="62">
        <f t="shared" si="319"/>
        <v>1094208.2231247381</v>
      </c>
      <c r="U380" s="62">
        <f t="shared" si="319"/>
        <v>1064064.9454190303</v>
      </c>
      <c r="V380" s="62">
        <f t="shared" si="319"/>
        <v>1035448.6476211995</v>
      </c>
      <c r="W380" s="62">
        <f t="shared" si="319"/>
        <v>1007909.2716702226</v>
      </c>
      <c r="X380" s="62">
        <f t="shared" si="319"/>
        <v>981111.53031504876</v>
      </c>
      <c r="Y380" s="62">
        <f t="shared" si="319"/>
        <v>959201.76076796639</v>
      </c>
      <c r="Z380" s="62">
        <f t="shared" si="319"/>
        <v>937622.80507171992</v>
      </c>
      <c r="AA380" s="62">
        <f t="shared" si="319"/>
        <v>916264.55330222752</v>
      </c>
      <c r="AB380" s="62">
        <f t="shared" si="319"/>
        <v>895052.7552801487</v>
      </c>
      <c r="AC380" s="62">
        <f t="shared" si="319"/>
        <v>873937.77500374767</v>
      </c>
    </row>
    <row r="381" spans="1:29" ht="15.75" thickBot="1" x14ac:dyDescent="0.3">
      <c r="A381" s="59" t="str">
        <f>A344</f>
        <v>Emission Cost</v>
      </c>
      <c r="B381" s="62">
        <f>B364*B370</f>
        <v>0</v>
      </c>
      <c r="C381" s="62">
        <f t="shared" ref="C381:AC381" si="320">C364*C370</f>
        <v>0</v>
      </c>
      <c r="D381" s="62">
        <f t="shared" si="320"/>
        <v>0</v>
      </c>
      <c r="E381" s="62">
        <f t="shared" si="320"/>
        <v>0</v>
      </c>
      <c r="F381" s="62">
        <f t="shared" si="320"/>
        <v>0</v>
      </c>
      <c r="G381" s="62">
        <f t="shared" si="320"/>
        <v>0</v>
      </c>
      <c r="H381" s="62">
        <f t="shared" si="320"/>
        <v>0</v>
      </c>
      <c r="I381" s="62">
        <f t="shared" si="320"/>
        <v>0</v>
      </c>
      <c r="J381" s="62">
        <f t="shared" si="320"/>
        <v>0</v>
      </c>
      <c r="K381" s="62">
        <f t="shared" si="320"/>
        <v>0</v>
      </c>
      <c r="L381" s="62">
        <f t="shared" si="320"/>
        <v>0</v>
      </c>
      <c r="M381" s="62">
        <f t="shared" si="320"/>
        <v>0</v>
      </c>
      <c r="N381" s="62">
        <f t="shared" si="320"/>
        <v>0</v>
      </c>
      <c r="O381" s="62">
        <f t="shared" si="320"/>
        <v>0</v>
      </c>
      <c r="P381" s="62">
        <f t="shared" si="320"/>
        <v>0</v>
      </c>
      <c r="Q381" s="62">
        <f t="shared" si="320"/>
        <v>0</v>
      </c>
      <c r="R381" s="62">
        <f t="shared" si="320"/>
        <v>0</v>
      </c>
      <c r="S381" s="62">
        <f t="shared" si="320"/>
        <v>0</v>
      </c>
      <c r="T381" s="62">
        <f t="shared" si="320"/>
        <v>0</v>
      </c>
      <c r="U381" s="62">
        <f t="shared" si="320"/>
        <v>0</v>
      </c>
      <c r="V381" s="62">
        <f t="shared" si="320"/>
        <v>0</v>
      </c>
      <c r="W381" s="62">
        <f t="shared" si="320"/>
        <v>0</v>
      </c>
      <c r="X381" s="62">
        <f t="shared" si="320"/>
        <v>0</v>
      </c>
      <c r="Y381" s="62">
        <f t="shared" si="320"/>
        <v>0</v>
      </c>
      <c r="Z381" s="62">
        <f t="shared" si="320"/>
        <v>0</v>
      </c>
      <c r="AA381" s="62">
        <f t="shared" si="320"/>
        <v>0</v>
      </c>
      <c r="AB381" s="62">
        <f t="shared" si="320"/>
        <v>0</v>
      </c>
      <c r="AC381" s="62">
        <f t="shared" si="320"/>
        <v>0</v>
      </c>
    </row>
    <row r="382" spans="1:29" ht="15.75" thickBot="1" x14ac:dyDescent="0.3">
      <c r="A382" s="31" t="s">
        <v>209</v>
      </c>
      <c r="B382" s="64">
        <f>B373+B374+B375+B376+B377+B378+B379+B380+B381</f>
        <v>7264250.2768835155</v>
      </c>
      <c r="C382" s="64">
        <f t="shared" ref="C382:AC382" si="321">C373+C374+C375+C376+C377+C378+C379+C380+C381</f>
        <v>7210525.3443941604</v>
      </c>
      <c r="D382" s="64">
        <f t="shared" si="321"/>
        <v>7153027.5505578788</v>
      </c>
      <c r="E382" s="64">
        <f t="shared" si="321"/>
        <v>7103719.2440989008</v>
      </c>
      <c r="F382" s="64">
        <f t="shared" si="321"/>
        <v>7047128.2531732265</v>
      </c>
      <c r="G382" s="64">
        <f t="shared" si="321"/>
        <v>6980692.0698474376</v>
      </c>
      <c r="H382" s="64">
        <f t="shared" si="321"/>
        <v>6901297.6006904924</v>
      </c>
      <c r="I382" s="64">
        <f t="shared" si="321"/>
        <v>6805505.292534003</v>
      </c>
      <c r="J382" s="64">
        <f t="shared" si="321"/>
        <v>6719021.7038039556</v>
      </c>
      <c r="K382" s="64">
        <f t="shared" si="321"/>
        <v>6610456.6145811491</v>
      </c>
      <c r="L382" s="64">
        <f t="shared" si="321"/>
        <v>6480457.3691465054</v>
      </c>
      <c r="M382" s="64">
        <f t="shared" si="321"/>
        <v>6333650.967265211</v>
      </c>
      <c r="N382" s="64">
        <f t="shared" si="321"/>
        <v>6178771.8810427357</v>
      </c>
      <c r="O382" s="64">
        <f t="shared" si="321"/>
        <v>5999010.2687800638</v>
      </c>
      <c r="P382" s="64">
        <f t="shared" si="321"/>
        <v>5833611.5436716182</v>
      </c>
      <c r="Q382" s="64">
        <f t="shared" si="321"/>
        <v>5689465.1311739013</v>
      </c>
      <c r="R382" s="64">
        <f t="shared" si="321"/>
        <v>5568970.7666002149</v>
      </c>
      <c r="S382" s="64">
        <f t="shared" si="321"/>
        <v>5470831.3447115039</v>
      </c>
      <c r="T382" s="64">
        <f t="shared" si="321"/>
        <v>5393634.1469377456</v>
      </c>
      <c r="U382" s="64">
        <f t="shared" si="321"/>
        <v>5331343.7534927689</v>
      </c>
      <c r="V382" s="64">
        <f t="shared" si="321"/>
        <v>5280197.0750365285</v>
      </c>
      <c r="W382" s="64">
        <f t="shared" si="321"/>
        <v>5237087.8212251691</v>
      </c>
      <c r="X382" s="64">
        <f t="shared" si="321"/>
        <v>5199634.8365733624</v>
      </c>
      <c r="Y382" s="64">
        <f t="shared" si="321"/>
        <v>5170481.8227075366</v>
      </c>
      <c r="Z382" s="64">
        <f t="shared" si="321"/>
        <v>5144001.4441793086</v>
      </c>
      <c r="AA382" s="64">
        <f t="shared" si="321"/>
        <v>5119336.6874501761</v>
      </c>
      <c r="AB382" s="64">
        <f t="shared" si="321"/>
        <v>5095898.9667145908</v>
      </c>
      <c r="AC382" s="64">
        <f t="shared" si="321"/>
        <v>5073287.6107455939</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9.6035790634886258</v>
      </c>
      <c r="C392" s="66">
        <f t="shared" ref="C392:AC392" si="330">C362*C363*C370/C370</f>
        <v>9.346042228304464</v>
      </c>
      <c r="D392" s="66">
        <f t="shared" si="330"/>
        <v>9.0856088224088598</v>
      </c>
      <c r="E392" s="66">
        <f t="shared" si="330"/>
        <v>8.8965549263897259</v>
      </c>
      <c r="F392" s="66">
        <f t="shared" si="330"/>
        <v>8.7019220831443267</v>
      </c>
      <c r="G392" s="66">
        <f t="shared" si="330"/>
        <v>8.4999159072450734</v>
      </c>
      <c r="H392" s="66">
        <f t="shared" si="330"/>
        <v>8.2884466823081731</v>
      </c>
      <c r="I392" s="66">
        <f t="shared" si="330"/>
        <v>8.0653491064891991</v>
      </c>
      <c r="J392" s="66">
        <f t="shared" si="330"/>
        <v>7.9907228747347538</v>
      </c>
      <c r="K392" s="66">
        <f t="shared" si="330"/>
        <v>7.8986842151866696</v>
      </c>
      <c r="L392" s="66">
        <f t="shared" si="330"/>
        <v>7.7897852571352431</v>
      </c>
      <c r="M392" s="66">
        <f t="shared" si="330"/>
        <v>7.6677282090590655</v>
      </c>
      <c r="N392" s="66">
        <f t="shared" si="330"/>
        <v>7.5394547643723193</v>
      </c>
      <c r="O392" s="66">
        <f t="shared" si="330"/>
        <v>7.2572334744600342</v>
      </c>
      <c r="P392" s="66">
        <f t="shared" si="330"/>
        <v>6.9904727213103843</v>
      </c>
      <c r="Q392" s="66">
        <f t="shared" si="330"/>
        <v>6.7437021672676138</v>
      </c>
      <c r="R392" s="66">
        <f t="shared" si="330"/>
        <v>6.5177419524955331</v>
      </c>
      <c r="S392" s="66">
        <f t="shared" si="330"/>
        <v>6.3106078999767687</v>
      </c>
      <c r="T392" s="66">
        <f t="shared" si="330"/>
        <v>6.1300180567212221</v>
      </c>
      <c r="U392" s="66">
        <f t="shared" si="330"/>
        <v>5.9611481536080131</v>
      </c>
      <c r="V392" s="66">
        <f t="shared" si="330"/>
        <v>5.8008327597826304</v>
      </c>
      <c r="W392" s="66">
        <f t="shared" si="330"/>
        <v>5.6465505415698747</v>
      </c>
      <c r="X392" s="66">
        <f t="shared" si="330"/>
        <v>5.496423139019881</v>
      </c>
      <c r="Y392" s="66">
        <f t="shared" si="330"/>
        <v>5.3736793320334248</v>
      </c>
      <c r="Z392" s="66">
        <f t="shared" si="330"/>
        <v>5.2527888239312039</v>
      </c>
      <c r="AA392" s="66">
        <f t="shared" si="330"/>
        <v>5.1331347523934312</v>
      </c>
      <c r="AB392" s="66">
        <f t="shared" si="330"/>
        <v>5.0143011500288441</v>
      </c>
      <c r="AC392" s="66">
        <f t="shared" si="330"/>
        <v>4.8960099439985862</v>
      </c>
    </row>
    <row r="393" spans="1:29" ht="15.75" thickBot="1" x14ac:dyDescent="0.3">
      <c r="A393" s="59" t="str">
        <f t="shared" ref="A393" si="331">A381</f>
        <v>Emission Cost</v>
      </c>
      <c r="B393" s="66">
        <f>B364</f>
        <v>0</v>
      </c>
      <c r="C393" s="66">
        <f t="shared" ref="C393:AC393" si="332">C364</f>
        <v>0</v>
      </c>
      <c r="D393" s="66">
        <f t="shared" si="332"/>
        <v>0</v>
      </c>
      <c r="E393" s="66">
        <f t="shared" si="332"/>
        <v>0</v>
      </c>
      <c r="F393" s="66">
        <f t="shared" si="332"/>
        <v>0</v>
      </c>
      <c r="G393" s="66">
        <f t="shared" si="332"/>
        <v>0</v>
      </c>
      <c r="H393" s="66">
        <f t="shared" si="332"/>
        <v>0</v>
      </c>
      <c r="I393" s="66">
        <f t="shared" si="332"/>
        <v>0</v>
      </c>
      <c r="J393" s="66">
        <f t="shared" si="332"/>
        <v>0</v>
      </c>
      <c r="K393" s="66">
        <f t="shared" si="332"/>
        <v>0</v>
      </c>
      <c r="L393" s="66">
        <f t="shared" si="332"/>
        <v>0</v>
      </c>
      <c r="M393" s="66">
        <f t="shared" si="332"/>
        <v>0</v>
      </c>
      <c r="N393" s="66">
        <f t="shared" si="332"/>
        <v>0</v>
      </c>
      <c r="O393" s="66">
        <f t="shared" si="332"/>
        <v>0</v>
      </c>
      <c r="P393" s="66">
        <f t="shared" si="332"/>
        <v>0</v>
      </c>
      <c r="Q393" s="66">
        <f t="shared" si="332"/>
        <v>0</v>
      </c>
      <c r="R393" s="66">
        <f t="shared" si="332"/>
        <v>0</v>
      </c>
      <c r="S393" s="66">
        <f t="shared" si="332"/>
        <v>0</v>
      </c>
      <c r="T393" s="66">
        <f t="shared" si="332"/>
        <v>0</v>
      </c>
      <c r="U393" s="66">
        <f t="shared" si="332"/>
        <v>0</v>
      </c>
      <c r="V393" s="66">
        <f t="shared" si="332"/>
        <v>0</v>
      </c>
      <c r="W393" s="66">
        <f t="shared" si="332"/>
        <v>0</v>
      </c>
      <c r="X393" s="66">
        <f t="shared" si="332"/>
        <v>0</v>
      </c>
      <c r="Y393" s="66">
        <f t="shared" si="332"/>
        <v>0</v>
      </c>
      <c r="Z393" s="66">
        <f t="shared" si="332"/>
        <v>0</v>
      </c>
      <c r="AA393" s="66">
        <f t="shared" si="332"/>
        <v>0</v>
      </c>
      <c r="AB393" s="66">
        <f t="shared" si="332"/>
        <v>0</v>
      </c>
      <c r="AC393" s="66">
        <f t="shared" si="332"/>
        <v>0</v>
      </c>
    </row>
    <row r="394" spans="1:29" ht="15.75" thickBot="1" x14ac:dyDescent="0.3">
      <c r="A394" s="31" t="s">
        <v>63</v>
      </c>
      <c r="B394" s="76">
        <f>B385+B386+B387-B388+B389+B390+B391+B392+B393</f>
        <v>40.867018597811409</v>
      </c>
      <c r="C394" s="76">
        <f t="shared" ref="C394:AC394" si="333">C385+C386+C387-C388+C389+C390+C391+C392+C393</f>
        <v>40.566038583865435</v>
      </c>
      <c r="D394" s="76">
        <f t="shared" si="333"/>
        <v>40.243922091785429</v>
      </c>
      <c r="E394" s="76">
        <f t="shared" si="333"/>
        <v>39.967685080810767</v>
      </c>
      <c r="F394" s="76">
        <f t="shared" si="333"/>
        <v>39.650648717081495</v>
      </c>
      <c r="G394" s="76">
        <f t="shared" si="333"/>
        <v>39.278457213855781</v>
      </c>
      <c r="H394" s="76">
        <f t="shared" si="333"/>
        <v>38.833670271800074</v>
      </c>
      <c r="I394" s="76">
        <f t="shared" si="333"/>
        <v>38.297018685489206</v>
      </c>
      <c r="J394" s="76">
        <f t="shared" si="333"/>
        <v>37.812516787841879</v>
      </c>
      <c r="K394" s="76">
        <f t="shared" si="333"/>
        <v>37.204309005081058</v>
      </c>
      <c r="L394" s="76">
        <f t="shared" si="333"/>
        <v>36.476021915811344</v>
      </c>
      <c r="M394" s="76">
        <f t="shared" si="333"/>
        <v>35.653577087344715</v>
      </c>
      <c r="N394" s="76">
        <f t="shared" si="333"/>
        <v>34.785907136518517</v>
      </c>
      <c r="O394" s="76">
        <f t="shared" si="333"/>
        <v>33.778839280705235</v>
      </c>
      <c r="P394" s="76">
        <f t="shared" si="333"/>
        <v>32.852235778697128</v>
      </c>
      <c r="Q394" s="76">
        <f t="shared" si="333"/>
        <v>32.044692851539054</v>
      </c>
      <c r="R394" s="76">
        <f t="shared" si="333"/>
        <v>31.369654394543609</v>
      </c>
      <c r="S394" s="76">
        <f t="shared" si="333"/>
        <v>30.819853711693689</v>
      </c>
      <c r="T394" s="76">
        <f t="shared" si="333"/>
        <v>30.38737641324126</v>
      </c>
      <c r="U394" s="76">
        <f t="shared" si="333"/>
        <v>30.038410623633553</v>
      </c>
      <c r="V394" s="76">
        <f t="shared" si="333"/>
        <v>29.751874609873099</v>
      </c>
      <c r="W394" s="76">
        <f t="shared" si="333"/>
        <v>29.510366185159604</v>
      </c>
      <c r="X394" s="76">
        <f t="shared" si="333"/>
        <v>29.300545542852557</v>
      </c>
      <c r="Y394" s="76">
        <f t="shared" si="333"/>
        <v>29.137223336321323</v>
      </c>
      <c r="Z394" s="76">
        <f t="shared" si="333"/>
        <v>28.988873876779429</v>
      </c>
      <c r="AA394" s="76">
        <f t="shared" si="333"/>
        <v>28.850695967932751</v>
      </c>
      <c r="AB394" s="76">
        <f t="shared" si="333"/>
        <v>28.719392210310417</v>
      </c>
      <c r="AC394" s="76">
        <f t="shared" si="333"/>
        <v>28.592717947178784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4.2873120819145651E-3</v>
      </c>
      <c r="C404" s="66">
        <f t="shared" ref="C404:AC404" si="342">C362*C363*C370/C370/(C367)</f>
        <v>4.1723402804930646E-3</v>
      </c>
      <c r="D404" s="66">
        <f t="shared" si="342"/>
        <v>4.0560753671468122E-3</v>
      </c>
      <c r="E404" s="66">
        <f t="shared" si="342"/>
        <v>3.9716763064239846E-3</v>
      </c>
      <c r="F404" s="66">
        <f t="shared" si="342"/>
        <v>3.8847866442608603E-3</v>
      </c>
      <c r="G404" s="66">
        <f t="shared" si="342"/>
        <v>3.7946053157344077E-3</v>
      </c>
      <c r="H404" s="66">
        <f t="shared" si="342"/>
        <v>3.7001994117447203E-3</v>
      </c>
      <c r="I404" s="66">
        <f t="shared" si="342"/>
        <v>3.6006022796826781E-3</v>
      </c>
      <c r="J404" s="66">
        <f t="shared" si="342"/>
        <v>3.5672869976494438E-3</v>
      </c>
      <c r="K404" s="66">
        <f t="shared" si="342"/>
        <v>3.5261983103511917E-3</v>
      </c>
      <c r="L404" s="66">
        <f t="shared" si="342"/>
        <v>3.4775827040782335E-3</v>
      </c>
      <c r="M404" s="66">
        <f t="shared" si="342"/>
        <v>3.4230929504727972E-3</v>
      </c>
      <c r="N404" s="66">
        <f t="shared" si="342"/>
        <v>3.365828019809071E-3</v>
      </c>
      <c r="O404" s="66">
        <f t="shared" si="342"/>
        <v>3.2398363725268009E-3</v>
      </c>
      <c r="P404" s="66">
        <f t="shared" si="342"/>
        <v>3.1207467505849928E-3</v>
      </c>
      <c r="Q404" s="66">
        <f t="shared" si="342"/>
        <v>3.0105813246730419E-3</v>
      </c>
      <c r="R404" s="66">
        <f t="shared" si="342"/>
        <v>2.9097062287926486E-3</v>
      </c>
      <c r="S404" s="66">
        <f t="shared" si="342"/>
        <v>2.8172356696324861E-3</v>
      </c>
      <c r="T404" s="66">
        <f t="shared" si="342"/>
        <v>2.7366152038934026E-3</v>
      </c>
      <c r="U404" s="66">
        <f t="shared" si="342"/>
        <v>2.6612268542892917E-3</v>
      </c>
      <c r="V404" s="66">
        <f t="shared" si="342"/>
        <v>2.5896574820458173E-3</v>
      </c>
      <c r="W404" s="66">
        <f t="shared" si="342"/>
        <v>2.5207814917722654E-3</v>
      </c>
      <c r="X404" s="66">
        <f t="shared" si="342"/>
        <v>2.4537603299195896E-3</v>
      </c>
      <c r="Y404" s="66">
        <f t="shared" si="342"/>
        <v>2.3989639875149219E-3</v>
      </c>
      <c r="Z404" s="66">
        <f t="shared" si="342"/>
        <v>2.3449950106835733E-3</v>
      </c>
      <c r="AA404" s="66">
        <f t="shared" si="342"/>
        <v>2.2915780144613534E-3</v>
      </c>
      <c r="AB404" s="66">
        <f t="shared" si="342"/>
        <v>2.2385272991200197E-3</v>
      </c>
      <c r="AC404" s="66">
        <f t="shared" si="342"/>
        <v>2.1857187249993688E-3</v>
      </c>
    </row>
    <row r="405" spans="1:29" x14ac:dyDescent="0.25">
      <c r="A405" s="59" t="str">
        <f>A368</f>
        <v>Market failure (av. utilization)</v>
      </c>
      <c r="B405" s="66">
        <f t="shared" ref="B405:AC405" si="343">B394/B368-B394/B367</f>
        <v>7.094968506564478E-3</v>
      </c>
      <c r="C405" s="66">
        <f t="shared" si="343"/>
        <v>7.0427150319210784E-3</v>
      </c>
      <c r="D405" s="66">
        <f t="shared" si="343"/>
        <v>6.9867920298238573E-3</v>
      </c>
      <c r="E405" s="66">
        <f t="shared" si="343"/>
        <v>6.9388342154185316E-3</v>
      </c>
      <c r="F405" s="66">
        <f t="shared" si="343"/>
        <v>6.8837931800488673E-3</v>
      </c>
      <c r="G405" s="66">
        <f t="shared" si="343"/>
        <v>6.8191765996277361E-3</v>
      </c>
      <c r="H405" s="66">
        <f t="shared" si="343"/>
        <v>6.7419566444097308E-3</v>
      </c>
      <c r="I405" s="66">
        <f t="shared" si="343"/>
        <v>6.6487879662307618E-3</v>
      </c>
      <c r="J405" s="66">
        <f t="shared" si="343"/>
        <v>6.5646730534447695E-3</v>
      </c>
      <c r="K405" s="66">
        <f t="shared" si="343"/>
        <v>6.4590814244932376E-3</v>
      </c>
      <c r="L405" s="66">
        <f t="shared" si="343"/>
        <v>6.3326426937172463E-3</v>
      </c>
      <c r="M405" s="66">
        <f t="shared" si="343"/>
        <v>6.1898571332195639E-3</v>
      </c>
      <c r="N405" s="66">
        <f t="shared" si="343"/>
        <v>6.0392199889789076E-3</v>
      </c>
      <c r="O405" s="66">
        <f t="shared" si="343"/>
        <v>5.864381819566878E-3</v>
      </c>
      <c r="P405" s="66">
        <f t="shared" si="343"/>
        <v>5.7035131560238071E-3</v>
      </c>
      <c r="Q405" s="66">
        <f t="shared" si="343"/>
        <v>5.5633147311699715E-3</v>
      </c>
      <c r="R405" s="66">
        <f t="shared" si="343"/>
        <v>5.4461205546082643E-3</v>
      </c>
      <c r="S405" s="66">
        <f t="shared" si="343"/>
        <v>5.3506690471690401E-3</v>
      </c>
      <c r="T405" s="66">
        <f t="shared" si="343"/>
        <v>5.2755861828543849E-3</v>
      </c>
      <c r="U405" s="66">
        <f t="shared" si="343"/>
        <v>5.2150018443808243E-3</v>
      </c>
      <c r="V405" s="66">
        <f t="shared" si="343"/>
        <v>5.1652560086585201E-3</v>
      </c>
      <c r="W405" s="66">
        <f t="shared" si="343"/>
        <v>5.1233274627013169E-3</v>
      </c>
      <c r="X405" s="66">
        <f t="shared" si="343"/>
        <v>5.0869002678563431E-3</v>
      </c>
      <c r="Y405" s="66">
        <f t="shared" si="343"/>
        <v>5.0585457181113406E-3</v>
      </c>
      <c r="Z405" s="66">
        <f t="shared" si="343"/>
        <v>5.0327906036075377E-3</v>
      </c>
      <c r="AA405" s="66">
        <f t="shared" si="343"/>
        <v>5.0088013833216559E-3</v>
      </c>
      <c r="AB405" s="66">
        <f t="shared" si="343"/>
        <v>4.9860055920677802E-3</v>
      </c>
      <c r="AC405" s="66">
        <f t="shared" si="343"/>
        <v>4.9640135324963142E-3</v>
      </c>
    </row>
    <row r="406" spans="1:29" x14ac:dyDescent="0.25">
      <c r="A406" s="59" t="str">
        <f>A369</f>
        <v>Payload loss (fuel)</v>
      </c>
      <c r="B406" s="66">
        <f>B394/(B367-B369)-B394/B367</f>
        <v>3.3171281329392316E-4</v>
      </c>
      <c r="C406" s="66">
        <f t="shared" ref="C406:AC406" si="344">C394/(C367-C369)-C394/C367</f>
        <v>3.2926979370020634E-4</v>
      </c>
      <c r="D406" s="66">
        <f t="shared" si="344"/>
        <v>3.2665521178397439E-4</v>
      </c>
      <c r="E406" s="66">
        <f t="shared" si="344"/>
        <v>3.2441302825333279E-4</v>
      </c>
      <c r="F406" s="66">
        <f t="shared" si="344"/>
        <v>3.2183968114514114E-4</v>
      </c>
      <c r="G406" s="66">
        <f t="shared" si="344"/>
        <v>3.1881864621636016E-4</v>
      </c>
      <c r="H406" s="66">
        <f t="shared" si="344"/>
        <v>3.1520836259578064E-4</v>
      </c>
      <c r="I406" s="66">
        <f t="shared" si="344"/>
        <v>3.1085242439520336E-4</v>
      </c>
      <c r="J406" s="66">
        <f t="shared" si="344"/>
        <v>3.0691977912209248E-4</v>
      </c>
      <c r="K406" s="66">
        <f t="shared" si="344"/>
        <v>3.0198302763864357E-4</v>
      </c>
      <c r="L406" s="66">
        <f t="shared" si="344"/>
        <v>2.9607160645950953E-4</v>
      </c>
      <c r="M406" s="66">
        <f t="shared" si="344"/>
        <v>2.8939591791675781E-4</v>
      </c>
      <c r="N406" s="66">
        <f t="shared" si="344"/>
        <v>2.8235314234187001E-4</v>
      </c>
      <c r="O406" s="66">
        <f t="shared" si="344"/>
        <v>2.7417889026546544E-4</v>
      </c>
      <c r="P406" s="66">
        <f t="shared" si="344"/>
        <v>2.6665775794397148E-4</v>
      </c>
      <c r="Q406" s="66">
        <f t="shared" si="344"/>
        <v>2.6010302639236163E-4</v>
      </c>
      <c r="R406" s="66">
        <f t="shared" si="344"/>
        <v>2.5462381813753064E-4</v>
      </c>
      <c r="S406" s="66">
        <f t="shared" si="344"/>
        <v>2.5016115025725504E-4</v>
      </c>
      <c r="T406" s="66">
        <f t="shared" si="344"/>
        <v>2.4665078257501104E-4</v>
      </c>
      <c r="U406" s="66">
        <f t="shared" si="344"/>
        <v>2.4381826804897345E-4</v>
      </c>
      <c r="V406" s="66">
        <f t="shared" si="344"/>
        <v>2.4149248871650243E-4</v>
      </c>
      <c r="W406" s="66">
        <f t="shared" si="344"/>
        <v>2.3953219306136093E-4</v>
      </c>
      <c r="X406" s="66">
        <f t="shared" si="344"/>
        <v>2.3782910343224384E-4</v>
      </c>
      <c r="Y406" s="66">
        <f t="shared" si="344"/>
        <v>2.3650343617144E-4</v>
      </c>
      <c r="Z406" s="66">
        <f t="shared" si="344"/>
        <v>2.3529930094788598E-4</v>
      </c>
      <c r="AA406" s="66">
        <f t="shared" si="344"/>
        <v>2.3417772701244191E-4</v>
      </c>
      <c r="AB406" s="66">
        <f t="shared" si="344"/>
        <v>2.3311194975901388E-4</v>
      </c>
      <c r="AC406" s="66">
        <f t="shared" si="344"/>
        <v>2.3208374957125674E-4</v>
      </c>
    </row>
    <row r="407" spans="1:29" ht="15.75" thickBot="1" x14ac:dyDescent="0.3">
      <c r="A407" s="59" t="str">
        <f>A344</f>
        <v>Emission Cost</v>
      </c>
      <c r="B407" s="68">
        <f>B364*B370/B370/(B367)</f>
        <v>0</v>
      </c>
      <c r="C407" s="68">
        <f t="shared" ref="C407:AC407" si="345">C364*C370/C370/(C367)</f>
        <v>0</v>
      </c>
      <c r="D407" s="68">
        <f t="shared" si="345"/>
        <v>0</v>
      </c>
      <c r="E407" s="68">
        <f t="shared" si="345"/>
        <v>0</v>
      </c>
      <c r="F407" s="68">
        <f t="shared" si="345"/>
        <v>0</v>
      </c>
      <c r="G407" s="68">
        <f t="shared" si="345"/>
        <v>0</v>
      </c>
      <c r="H407" s="68">
        <f t="shared" si="345"/>
        <v>0</v>
      </c>
      <c r="I407" s="68">
        <f t="shared" si="345"/>
        <v>0</v>
      </c>
      <c r="J407" s="68">
        <f t="shared" si="345"/>
        <v>0</v>
      </c>
      <c r="K407" s="68">
        <f t="shared" si="345"/>
        <v>0</v>
      </c>
      <c r="L407" s="68">
        <f t="shared" si="345"/>
        <v>0</v>
      </c>
      <c r="M407" s="68">
        <f t="shared" si="345"/>
        <v>0</v>
      </c>
      <c r="N407" s="68">
        <f t="shared" si="345"/>
        <v>0</v>
      </c>
      <c r="O407" s="68">
        <f t="shared" si="345"/>
        <v>0</v>
      </c>
      <c r="P407" s="68">
        <f t="shared" si="345"/>
        <v>0</v>
      </c>
      <c r="Q407" s="68">
        <f t="shared" si="345"/>
        <v>0</v>
      </c>
      <c r="R407" s="68">
        <f t="shared" si="345"/>
        <v>0</v>
      </c>
      <c r="S407" s="68">
        <f t="shared" si="345"/>
        <v>0</v>
      </c>
      <c r="T407" s="68">
        <f t="shared" si="345"/>
        <v>0</v>
      </c>
      <c r="U407" s="68">
        <f t="shared" si="345"/>
        <v>0</v>
      </c>
      <c r="V407" s="68">
        <f t="shared" si="345"/>
        <v>0</v>
      </c>
      <c r="W407" s="68">
        <f t="shared" si="345"/>
        <v>0</v>
      </c>
      <c r="X407" s="68">
        <f t="shared" si="345"/>
        <v>0</v>
      </c>
      <c r="Y407" s="68">
        <f t="shared" si="345"/>
        <v>0</v>
      </c>
      <c r="Z407" s="68">
        <f t="shared" si="345"/>
        <v>0</v>
      </c>
      <c r="AA407" s="68">
        <f t="shared" si="345"/>
        <v>0</v>
      </c>
      <c r="AB407" s="68">
        <f t="shared" si="345"/>
        <v>0</v>
      </c>
      <c r="AC407" s="68">
        <f t="shared" si="345"/>
        <v>0</v>
      </c>
    </row>
    <row r="408" spans="1:29" ht="15.75" thickBot="1" x14ac:dyDescent="0.3">
      <c r="A408" s="31" t="s">
        <v>210</v>
      </c>
      <c r="B408" s="67">
        <f>B397+B398+B399+B400+B401+B402+B403+B404+B405+B406+B407</f>
        <v>2.5594574169206932E-2</v>
      </c>
      <c r="C408" s="67">
        <f t="shared" ref="C408:AC408" si="346">C397+C398+C399+C400+C401+C402+C403+C404+C405+C406+C407</f>
        <v>2.5405511597315363E-2</v>
      </c>
      <c r="D408" s="67">
        <f t="shared" si="346"/>
        <v>2.5203172007909048E-2</v>
      </c>
      <c r="E408" s="67">
        <f t="shared" si="346"/>
        <v>2.5029651915787963E-2</v>
      </c>
      <c r="F408" s="67">
        <f t="shared" si="346"/>
        <v>2.4830503442359542E-2</v>
      </c>
      <c r="G408" s="67">
        <f t="shared" si="346"/>
        <v>2.4596708905926721E-2</v>
      </c>
      <c r="H408" s="67">
        <f t="shared" si="346"/>
        <v>2.4317313067956123E-2</v>
      </c>
      <c r="I408" s="67">
        <f t="shared" si="346"/>
        <v>2.3980211850544941E-2</v>
      </c>
      <c r="J408" s="67">
        <f t="shared" si="346"/>
        <v>2.3675868802464712E-2</v>
      </c>
      <c r="K408" s="67">
        <f t="shared" si="346"/>
        <v>2.3293819090440076E-2</v>
      </c>
      <c r="L408" s="67">
        <f t="shared" si="346"/>
        <v>2.2836340773632401E-2</v>
      </c>
      <c r="M408" s="67">
        <f t="shared" si="346"/>
        <v>2.2319716654740793E-2</v>
      </c>
      <c r="N408" s="67">
        <f t="shared" si="346"/>
        <v>2.1774684078306409E-2</v>
      </c>
      <c r="O408" s="67">
        <f t="shared" si="346"/>
        <v>2.1142087792615616E-2</v>
      </c>
      <c r="P408" s="67">
        <f t="shared" si="346"/>
        <v>2.0560035719068861E-2</v>
      </c>
      <c r="Q408" s="67">
        <f t="shared" si="346"/>
        <v>2.0052772327324993E-2</v>
      </c>
      <c r="R408" s="67">
        <f t="shared" si="346"/>
        <v>1.9628742488492633E-2</v>
      </c>
      <c r="S408" s="67">
        <f t="shared" si="346"/>
        <v>1.9283381579757987E-2</v>
      </c>
      <c r="T408" s="67">
        <f t="shared" si="346"/>
        <v>1.9011718125237685E-2</v>
      </c>
      <c r="U408" s="67">
        <f t="shared" si="346"/>
        <v>1.8792512973306072E-2</v>
      </c>
      <c r="V408" s="67">
        <f t="shared" si="346"/>
        <v>1.861252349496538E-2</v>
      </c>
      <c r="W408" s="67">
        <f t="shared" si="346"/>
        <v>1.8460818392320222E-2</v>
      </c>
      <c r="X408" s="67">
        <f t="shared" si="346"/>
        <v>1.8329018178244776E-2</v>
      </c>
      <c r="Y408" s="67">
        <f t="shared" si="346"/>
        <v>1.8226426261894663E-2</v>
      </c>
      <c r="Z408" s="67">
        <f t="shared" si="346"/>
        <v>1.8133239574871819E-2</v>
      </c>
      <c r="AA408" s="67">
        <f t="shared" si="346"/>
        <v>1.8046442214201087E-2</v>
      </c>
      <c r="AB408" s="67">
        <f t="shared" si="346"/>
        <v>1.7963962896755239E-2</v>
      </c>
      <c r="AC408" s="67">
        <f t="shared" si="346"/>
        <v>1.7884391626669393E-2</v>
      </c>
    </row>
    <row r="410" spans="1:29" x14ac:dyDescent="0.25">
      <c r="B410" s="40"/>
    </row>
    <row r="429" spans="1:1" s="3" customFormat="1" ht="21" x14ac:dyDescent="0.35">
      <c r="A429" s="2" t="str">
        <f>'Parameter Input'!A193</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Input'!$L$183</f>
        <v>10000000</v>
      </c>
      <c r="C439" s="42">
        <f>'Parameter Input'!$M$183</f>
        <v>4000000</v>
      </c>
      <c r="D439" s="1" t="s">
        <v>15</v>
      </c>
      <c r="L439" s="51">
        <f>'Parameter Input'!$O$183</f>
        <v>12</v>
      </c>
      <c r="M439" s="52">
        <v>0</v>
      </c>
      <c r="N439" s="52">
        <v>1</v>
      </c>
      <c r="O439" s="52">
        <f>'Parameter Input'!$P$183</f>
        <v>0.9</v>
      </c>
      <c r="P439" s="53">
        <f>'Parameter Input'!$Q$183</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Input'!$L$184</f>
        <v>-500000</v>
      </c>
      <c r="C440" s="61">
        <f>'Parameter Input'!$M$184</f>
        <v>-600000</v>
      </c>
      <c r="D440" s="1" t="s">
        <v>15</v>
      </c>
      <c r="L440" s="54">
        <f>'Parameter Input'!$O$184</f>
        <v>12</v>
      </c>
      <c r="M440" s="37">
        <v>0</v>
      </c>
      <c r="N440" s="37">
        <v>1</v>
      </c>
      <c r="O440" s="37">
        <f>'Parameter Input'!$P$184</f>
        <v>0.9</v>
      </c>
      <c r="P440" s="55">
        <f>'Parameter Input'!$Q$184</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Input'!$L$190</f>
        <v>0.06</v>
      </c>
      <c r="C443" s="46">
        <f>'Parameter Input'!$M$190</f>
        <v>0.06</v>
      </c>
      <c r="D443" s="1" t="s">
        <v>57</v>
      </c>
      <c r="L443" s="54">
        <f>'Parameter Input'!$O$190</f>
        <v>12</v>
      </c>
      <c r="M443" s="37">
        <v>0</v>
      </c>
      <c r="N443" s="37">
        <v>1</v>
      </c>
      <c r="O443" s="37">
        <f>'Parameter Input'!$P$190</f>
        <v>0.9</v>
      </c>
      <c r="P443" s="55">
        <f>'Parameter Input'!$Q$190</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Input'!$L$186</f>
        <v>1400000.0000000002</v>
      </c>
      <c r="C445" s="44">
        <f>'Parameter Input'!$M$186</f>
        <v>560000</v>
      </c>
      <c r="D445" s="1" t="s">
        <v>38</v>
      </c>
      <c r="L445" s="54">
        <f>'Parameter Input'!$O$186</f>
        <v>12</v>
      </c>
      <c r="M445" s="37">
        <v>0</v>
      </c>
      <c r="N445" s="37">
        <v>1</v>
      </c>
      <c r="O445" s="37">
        <f>'Parameter Input'!$P$186</f>
        <v>0.9</v>
      </c>
      <c r="P445" s="55">
        <f>'Parameter Input'!$Q$186</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Input'!$L$187</f>
        <v>48.858472727272719</v>
      </c>
      <c r="C447" s="48">
        <f>'Parameter Input'!$M$187</f>
        <v>41.341784615384611</v>
      </c>
      <c r="D447" s="1" t="s">
        <v>60</v>
      </c>
      <c r="L447" s="54">
        <f>'Parameter Input'!$O$187</f>
        <v>12</v>
      </c>
      <c r="M447" s="37">
        <v>0</v>
      </c>
      <c r="N447" s="37">
        <v>1</v>
      </c>
      <c r="O447" s="37">
        <f>'Parameter Input'!$P$187</f>
        <v>0.9</v>
      </c>
      <c r="P447" s="55">
        <f>'Parameter Input'!$Q$187</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Input'!$L$188</f>
        <v>0.2544561408768215</v>
      </c>
      <c r="C448" s="46">
        <f>'Parameter Input'!$M$188</f>
        <v>0.10949010032952979</v>
      </c>
      <c r="D448" s="1" t="s">
        <v>68</v>
      </c>
      <c r="L448" s="54">
        <f>'Parameter Input'!$O$188</f>
        <v>12</v>
      </c>
      <c r="M448" s="37">
        <v>0</v>
      </c>
      <c r="N448" s="37">
        <v>1</v>
      </c>
      <c r="O448" s="37">
        <f>'Parameter Input'!$P$188</f>
        <v>0.9</v>
      </c>
      <c r="P448" s="55">
        <f>'Parameter Input'!$Q$188</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Input'!$L$191</f>
        <v>0</v>
      </c>
      <c r="C449" s="116">
        <f>'Parameter Input'!$M$191</f>
        <v>0</v>
      </c>
      <c r="D449" s="1" t="s">
        <v>76</v>
      </c>
      <c r="L449" s="54">
        <f>'Parameter Input'!$O$191</f>
        <v>17</v>
      </c>
      <c r="M449" s="37">
        <v>0</v>
      </c>
      <c r="N449" s="37">
        <v>1</v>
      </c>
      <c r="O449" s="37">
        <f>'Parameter Input'!$P$191</f>
        <v>0.9</v>
      </c>
      <c r="P449" s="55">
        <f>'Parameter Input'!$Q$191</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Input'!$L$185</f>
        <v>20</v>
      </c>
      <c r="C450" s="44">
        <f>'Parameter Input'!$M$185</f>
        <v>20</v>
      </c>
      <c r="D450" s="1" t="s">
        <v>42</v>
      </c>
      <c r="L450" s="54">
        <f>'Parameter Input'!$O$185</f>
        <v>12</v>
      </c>
      <c r="M450" s="37">
        <v>0</v>
      </c>
      <c r="N450" s="37">
        <v>1</v>
      </c>
      <c r="O450" s="37">
        <f>'Parameter Input'!$P$185</f>
        <v>0.9</v>
      </c>
      <c r="P450" s="55">
        <f>'Parameter Input'!$Q$185</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Input'!$L$189</f>
        <v>1.7857142857142856E-2</v>
      </c>
      <c r="C454" s="73">
        <f>'Parameter Input'!$M$189</f>
        <v>1.7857142857142856E-2</v>
      </c>
      <c r="D454" s="1" t="s">
        <v>57</v>
      </c>
      <c r="L454" s="54">
        <f>'Parameter Input'!$O$189</f>
        <v>12</v>
      </c>
      <c r="M454" s="37">
        <v>0</v>
      </c>
      <c r="N454" s="37">
        <v>1</v>
      </c>
      <c r="O454" s="37">
        <f>'Parameter Input'!$P$189</f>
        <v>0.9</v>
      </c>
      <c r="P454" s="55">
        <f>'Parameter Input'!$Q$189</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7" si="353">$B439+($C439-$B439)*(1-Q439)</f>
        <v>9920787.1694490239</v>
      </c>
      <c r="C459" s="62">
        <f t="shared" ref="C459:C467" si="354">$B439+($C439-$B439)*(1-R439)</f>
        <v>9886870.5857714955</v>
      </c>
      <c r="D459" s="62">
        <f t="shared" ref="D459:D467" si="355">$B439+($C439-$B439)*(1-S439)</f>
        <v>9838713.8989523221</v>
      </c>
      <c r="E459" s="62">
        <f t="shared" ref="E459:E467" si="356">$B439+($C439-$B439)*(1-T439)</f>
        <v>9770649.0496955663</v>
      </c>
      <c r="F459" s="62">
        <f t="shared" ref="F459:F467" si="357">$B439+($C439-$B439)*(1-U439)</f>
        <v>9675087.2293306813</v>
      </c>
      <c r="G459" s="62">
        <f t="shared" ref="G459:G467" si="358">$B439+($C439-$B439)*(1-V439)</f>
        <v>9542221.6090084892</v>
      </c>
      <c r="H459" s="62">
        <f t="shared" ref="H459:H467" si="359">$B439+($C439-$B439)*(1-W439)</f>
        <v>9360067.8140595071</v>
      </c>
      <c r="I459" s="62">
        <f t="shared" ref="I459:I467" si="360">$B439+($C439-$B439)*(1-X439)</f>
        <v>9115272.63245962</v>
      </c>
      <c r="J459" s="62">
        <f t="shared" ref="J459:J467" si="361">$B439+($C439-$B439)*(1-Y439)</f>
        <v>8795278.0391574334</v>
      </c>
      <c r="K459" s="62">
        <f t="shared" ref="K459:K467" si="362">$B439+($C439-$B439)*(1-Z439)</f>
        <v>8392298.9349996019</v>
      </c>
      <c r="L459" s="62">
        <f t="shared" ref="L459:L467" si="363">$B439+($C439-$B439)*(1-AA439)</f>
        <v>7908735.5775272017</v>
      </c>
      <c r="M459" s="62">
        <f t="shared" ref="M459:M467" si="364">$B439+($C439-$B439)*(1-AB439)</f>
        <v>7361934.872850975</v>
      </c>
      <c r="N459" s="62">
        <f t="shared" ref="N459:N467" si="365">$B439+($C439-$B439)*(1-AC439)</f>
        <v>6784679.6123911208</v>
      </c>
      <c r="O459" s="62">
        <f t="shared" ref="O459:O467" si="366">$B439+($C439-$B439)*(1-AD439)</f>
        <v>6218783.6557314359</v>
      </c>
      <c r="P459" s="62">
        <f t="shared" ref="P459:P467" si="367">$B439+($C439-$B439)*(1-AE439)</f>
        <v>5703636.9182338724</v>
      </c>
      <c r="Q459" s="62">
        <f t="shared" ref="Q459:Q467" si="368">$B439+($C439-$B439)*(1-AF439)</f>
        <v>5265835.5496670641</v>
      </c>
      <c r="R459" s="62">
        <f t="shared" ref="R459:R467" si="369">$B439+($C439-$B439)*(1-AG439)</f>
        <v>4915235.0592278922</v>
      </c>
      <c r="S459" s="62">
        <f t="shared" ref="S459:S467" si="370">$B439+($C439-$B439)*(1-AH439)</f>
        <v>4647711.3242625995</v>
      </c>
      <c r="T459" s="62">
        <f t="shared" ref="T459:T467" si="371">$B439+($C439-$B439)*(1-AI439)</f>
        <v>4451059.923628551</v>
      </c>
      <c r="U459" s="62">
        <f t="shared" ref="U459:U467" si="372">$B439+($C439-$B439)*(1-AJ439)</f>
        <v>4310457.0170650128</v>
      </c>
      <c r="V459" s="62">
        <f t="shared" ref="V459:V467" si="373">$B439+($C439-$B439)*(1-AK439)</f>
        <v>4211915.1437520757</v>
      </c>
      <c r="W459" s="62">
        <f t="shared" ref="W459:W467" si="374">$B439+($C439-$B439)*(1-AL439)</f>
        <v>4143816.6524359491</v>
      </c>
      <c r="X459" s="62">
        <f t="shared" ref="X459:X467" si="375">$B439+($C439-$B439)*(1-AM439)</f>
        <v>4097213.4613503385</v>
      </c>
      <c r="Y459" s="62">
        <f t="shared" ref="Y459:Y467" si="376">$B439+($C439-$B439)*(1-AN439)</f>
        <v>4065533.4433846502</v>
      </c>
      <c r="Z459" s="62">
        <f t="shared" ref="Z459:Z467" si="377">$B439+($C439-$B439)*(1-AO439)</f>
        <v>4044095.9277436547</v>
      </c>
      <c r="AA459" s="62">
        <f t="shared" ref="AA459:AA467" si="378">$B439+($C439-$B439)*(1-AP439)</f>
        <v>4029634.1573110344</v>
      </c>
      <c r="AB459" s="62">
        <f t="shared" ref="AB459:AB467" si="379">$B439+($C439-$B439)*(1-AQ439)</f>
        <v>4019898.5652957736</v>
      </c>
      <c r="AC459" s="62">
        <f t="shared" ref="AC459:AC467"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'Parameter Input'!J5</f>
        <v>0.19695917693522813</v>
      </c>
      <c r="C468" s="62">
        <f>'Parameter Input'!K5</f>
        <v>0.1918445490889919</v>
      </c>
      <c r="D468" s="62">
        <f>'Parameter Input'!L5</f>
        <v>0.1867299212427557</v>
      </c>
      <c r="E468" s="62">
        <f>'Parameter Input'!M5</f>
        <v>0.18316543121930073</v>
      </c>
      <c r="F468" s="62">
        <f>'Parameter Input'!N5</f>
        <v>0.1796009411958458</v>
      </c>
      <c r="G468" s="62">
        <f>'Parameter Input'!O5</f>
        <v>0.17603645117239083</v>
      </c>
      <c r="H468" s="62">
        <f>'Parameter Input'!P5</f>
        <v>0.17247196114893587</v>
      </c>
      <c r="I468" s="62">
        <f>'Parameter Input'!Q5</f>
        <v>0.16890747112548093</v>
      </c>
      <c r="J468" s="62">
        <f>'Parameter Input'!R5</f>
        <v>0.16876144856602932</v>
      </c>
      <c r="K468" s="62">
        <f>'Parameter Input'!S5</f>
        <v>0.16861542600657767</v>
      </c>
      <c r="L468" s="62">
        <f>'Parameter Input'!T5</f>
        <v>0.16846940344712602</v>
      </c>
      <c r="M468" s="62">
        <f>'Parameter Input'!U5</f>
        <v>0.1683233808876744</v>
      </c>
      <c r="N468" s="62">
        <f>'Parameter Input'!V5</f>
        <v>0.16817735832822278</v>
      </c>
      <c r="O468" s="62">
        <f>'Parameter Input'!W5</f>
        <v>0.16448316805908789</v>
      </c>
      <c r="P468" s="62">
        <f>'Parameter Input'!X5</f>
        <v>0.16078897778995299</v>
      </c>
      <c r="Q468" s="62">
        <f>'Parameter Input'!Y5</f>
        <v>0.15709478752081807</v>
      </c>
      <c r="R468" s="62">
        <f>'Parameter Input'!Z5</f>
        <v>0.15340059725168312</v>
      </c>
      <c r="S468" s="62">
        <f>'Parameter Input'!AA5</f>
        <v>0.1497064069825482</v>
      </c>
      <c r="T468" s="62">
        <f>'Parameter Input'!AB5</f>
        <v>0.14627718374621171</v>
      </c>
      <c r="U468" s="62">
        <f>'Parameter Input'!AC5</f>
        <v>0.14284796050987525</v>
      </c>
      <c r="V468" s="62">
        <f>'Parameter Input'!AD5</f>
        <v>0.13941873727353876</v>
      </c>
      <c r="W468" s="62">
        <f>'Parameter Input'!AE5</f>
        <v>0.13598951403720227</v>
      </c>
      <c r="X468" s="62">
        <f>'Parameter Input'!AF5</f>
        <v>0.13256029080086582</v>
      </c>
      <c r="Y468" s="62">
        <f>'Parameter Input'!AG5</f>
        <v>0.12972417970496936</v>
      </c>
      <c r="Z468" s="62">
        <f>'Parameter Input'!AH5</f>
        <v>0.12688806860907287</v>
      </c>
      <c r="AA468" s="62">
        <f>'Parameter Input'!AI5</f>
        <v>0.12405195751317638</v>
      </c>
      <c r="AB468" s="62">
        <f>'Parameter Input'!AJ5</f>
        <v>0.12121584641727991</v>
      </c>
      <c r="AC468" s="62">
        <f>'Parameter Input'!AK5</f>
        <v>0.11837973532138339</v>
      </c>
    </row>
    <row r="469" spans="1:29" x14ac:dyDescent="0.25">
      <c r="A469" s="30" t="str">
        <f t="shared" ref="A469" si="381">A449</f>
        <v>Emission Cost</v>
      </c>
      <c r="B469" s="66">
        <f>$B449+($C449-$B449)*(1-Q449)</f>
        <v>0</v>
      </c>
      <c r="C469" s="66">
        <f t="shared" ref="C469:AC469" si="382">$B449+($C449-$B449)*(1-R449)</f>
        <v>0</v>
      </c>
      <c r="D469" s="66">
        <f t="shared" si="382"/>
        <v>0</v>
      </c>
      <c r="E469" s="66">
        <f t="shared" si="382"/>
        <v>0</v>
      </c>
      <c r="F469" s="66">
        <f t="shared" si="382"/>
        <v>0</v>
      </c>
      <c r="G469" s="66">
        <f t="shared" si="382"/>
        <v>0</v>
      </c>
      <c r="H469" s="66">
        <f t="shared" si="382"/>
        <v>0</v>
      </c>
      <c r="I469" s="66">
        <f t="shared" si="382"/>
        <v>0</v>
      </c>
      <c r="J469" s="66">
        <f t="shared" si="382"/>
        <v>0</v>
      </c>
      <c r="K469" s="66">
        <f t="shared" si="382"/>
        <v>0</v>
      </c>
      <c r="L469" s="66">
        <f t="shared" si="382"/>
        <v>0</v>
      </c>
      <c r="M469" s="66">
        <f t="shared" si="382"/>
        <v>0</v>
      </c>
      <c r="N469" s="66">
        <f t="shared" si="382"/>
        <v>0</v>
      </c>
      <c r="O469" s="66">
        <f t="shared" si="382"/>
        <v>0</v>
      </c>
      <c r="P469" s="66">
        <f t="shared" si="382"/>
        <v>0</v>
      </c>
      <c r="Q469" s="66">
        <f t="shared" si="382"/>
        <v>0</v>
      </c>
      <c r="R469" s="66">
        <f t="shared" si="382"/>
        <v>0</v>
      </c>
      <c r="S469" s="66">
        <f t="shared" si="382"/>
        <v>0</v>
      </c>
      <c r="T469" s="66">
        <f t="shared" si="382"/>
        <v>0</v>
      </c>
      <c r="U469" s="66">
        <f t="shared" si="382"/>
        <v>0</v>
      </c>
      <c r="V469" s="66">
        <f t="shared" si="382"/>
        <v>0</v>
      </c>
      <c r="W469" s="66">
        <f t="shared" si="382"/>
        <v>0</v>
      </c>
      <c r="X469" s="66">
        <f t="shared" si="382"/>
        <v>0</v>
      </c>
      <c r="Y469" s="66">
        <f t="shared" si="382"/>
        <v>0</v>
      </c>
      <c r="Z469" s="66">
        <f t="shared" si="382"/>
        <v>0</v>
      </c>
      <c r="AA469" s="66">
        <f t="shared" si="382"/>
        <v>0</v>
      </c>
      <c r="AB469" s="66">
        <f t="shared" si="382"/>
        <v>0</v>
      </c>
      <c r="AC469" s="66">
        <f t="shared" si="382"/>
        <v>0</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1714238.8628327197</v>
      </c>
      <c r="C485" s="62">
        <f t="shared" ref="C485:AC485" si="397">C467*C468*C475</f>
        <v>1668268.5377523468</v>
      </c>
      <c r="D485" s="62">
        <f t="shared" si="397"/>
        <v>1621781.1747999815</v>
      </c>
      <c r="E485" s="62">
        <f t="shared" si="397"/>
        <v>1588035.054360566</v>
      </c>
      <c r="F485" s="62">
        <f t="shared" si="397"/>
        <v>1553293.0918412623</v>
      </c>
      <c r="G485" s="62">
        <f t="shared" si="397"/>
        <v>1517234.9894432456</v>
      </c>
      <c r="H485" s="62">
        <f t="shared" si="397"/>
        <v>1479487.7327920089</v>
      </c>
      <c r="I485" s="62">
        <f t="shared" si="397"/>
        <v>1439664.8155083221</v>
      </c>
      <c r="J485" s="62">
        <f t="shared" si="397"/>
        <v>1426344.0331401536</v>
      </c>
      <c r="K485" s="62">
        <f t="shared" si="397"/>
        <v>1409915.1324108206</v>
      </c>
      <c r="L485" s="62">
        <f t="shared" si="397"/>
        <v>1390476.6683986408</v>
      </c>
      <c r="M485" s="62">
        <f t="shared" si="397"/>
        <v>1368689.4853170433</v>
      </c>
      <c r="N485" s="62">
        <f t="shared" si="397"/>
        <v>1345792.675440459</v>
      </c>
      <c r="O485" s="62">
        <f t="shared" si="397"/>
        <v>1295416.1751911161</v>
      </c>
      <c r="P485" s="62">
        <f t="shared" si="397"/>
        <v>1247799.3807539036</v>
      </c>
      <c r="Q485" s="62">
        <f t="shared" si="397"/>
        <v>1203750.8368572691</v>
      </c>
      <c r="R485" s="62">
        <f t="shared" si="397"/>
        <v>1163416.9385204527</v>
      </c>
      <c r="S485" s="62">
        <f t="shared" si="397"/>
        <v>1126443.5101458533</v>
      </c>
      <c r="T485" s="62">
        <f t="shared" si="397"/>
        <v>1094208.2231247381</v>
      </c>
      <c r="U485" s="62">
        <f t="shared" si="397"/>
        <v>1064064.9454190303</v>
      </c>
      <c r="V485" s="62">
        <f t="shared" si="397"/>
        <v>1035448.6476211995</v>
      </c>
      <c r="W485" s="62">
        <f t="shared" si="397"/>
        <v>1007909.2716702226</v>
      </c>
      <c r="X485" s="62">
        <f t="shared" si="397"/>
        <v>981111.53031504876</v>
      </c>
      <c r="Y485" s="62">
        <f t="shared" si="397"/>
        <v>959201.76076796639</v>
      </c>
      <c r="Z485" s="62">
        <f t="shared" si="397"/>
        <v>937622.80507171992</v>
      </c>
      <c r="AA485" s="62">
        <f t="shared" si="397"/>
        <v>916264.55330222752</v>
      </c>
      <c r="AB485" s="62">
        <f t="shared" si="397"/>
        <v>895052.7552801487</v>
      </c>
      <c r="AC485" s="62">
        <f t="shared" si="397"/>
        <v>873937.77500374767</v>
      </c>
    </row>
    <row r="486" spans="1:29" ht="15.75" thickBot="1" x14ac:dyDescent="0.3">
      <c r="A486" s="59" t="str">
        <f>A449</f>
        <v>Emission Cost</v>
      </c>
      <c r="B486" s="62">
        <f>B469*B475</f>
        <v>0</v>
      </c>
      <c r="C486" s="62">
        <f t="shared" ref="C486:AC486" si="398">C469*C475</f>
        <v>0</v>
      </c>
      <c r="D486" s="62">
        <f t="shared" si="398"/>
        <v>0</v>
      </c>
      <c r="E486" s="62">
        <f t="shared" si="398"/>
        <v>0</v>
      </c>
      <c r="F486" s="62">
        <f t="shared" si="398"/>
        <v>0</v>
      </c>
      <c r="G486" s="62">
        <f t="shared" si="398"/>
        <v>0</v>
      </c>
      <c r="H486" s="62">
        <f t="shared" si="398"/>
        <v>0</v>
      </c>
      <c r="I486" s="62">
        <f t="shared" si="398"/>
        <v>0</v>
      </c>
      <c r="J486" s="62">
        <f t="shared" si="398"/>
        <v>0</v>
      </c>
      <c r="K486" s="62">
        <f t="shared" si="398"/>
        <v>0</v>
      </c>
      <c r="L486" s="62">
        <f t="shared" si="398"/>
        <v>0</v>
      </c>
      <c r="M486" s="62">
        <f t="shared" si="398"/>
        <v>0</v>
      </c>
      <c r="N486" s="62">
        <f t="shared" si="398"/>
        <v>0</v>
      </c>
      <c r="O486" s="62">
        <f t="shared" si="398"/>
        <v>0</v>
      </c>
      <c r="P486" s="62">
        <f t="shared" si="398"/>
        <v>0</v>
      </c>
      <c r="Q486" s="62">
        <f t="shared" si="398"/>
        <v>0</v>
      </c>
      <c r="R486" s="62">
        <f t="shared" si="398"/>
        <v>0</v>
      </c>
      <c r="S486" s="62">
        <f t="shared" si="398"/>
        <v>0</v>
      </c>
      <c r="T486" s="62">
        <f t="shared" si="398"/>
        <v>0</v>
      </c>
      <c r="U486" s="62">
        <f t="shared" si="398"/>
        <v>0</v>
      </c>
      <c r="V486" s="62">
        <f t="shared" si="398"/>
        <v>0</v>
      </c>
      <c r="W486" s="62">
        <f t="shared" si="398"/>
        <v>0</v>
      </c>
      <c r="X486" s="62">
        <f t="shared" si="398"/>
        <v>0</v>
      </c>
      <c r="Y486" s="62">
        <f t="shared" si="398"/>
        <v>0</v>
      </c>
      <c r="Z486" s="62">
        <f t="shared" si="398"/>
        <v>0</v>
      </c>
      <c r="AA486" s="62">
        <f t="shared" si="398"/>
        <v>0</v>
      </c>
      <c r="AB486" s="62">
        <f t="shared" si="398"/>
        <v>0</v>
      </c>
      <c r="AC486" s="62">
        <f t="shared" si="398"/>
        <v>0</v>
      </c>
    </row>
    <row r="487" spans="1:29" ht="15.75" thickBot="1" x14ac:dyDescent="0.3">
      <c r="A487" s="31" t="s">
        <v>209</v>
      </c>
      <c r="B487" s="64">
        <f>B478+B479+B480+B481+B482+B483+B484+B485+B486</f>
        <v>5515938.7507426348</v>
      </c>
      <c r="C487" s="64">
        <f t="shared" ref="C487:AC487" si="399">C478+C479+C480+C481+C482+C483+C484+C485+C486</f>
        <v>5462213.8182532797</v>
      </c>
      <c r="D487" s="64">
        <f t="shared" si="399"/>
        <v>5404716.0244169971</v>
      </c>
      <c r="E487" s="64">
        <f t="shared" si="399"/>
        <v>5355407.71795802</v>
      </c>
      <c r="F487" s="64">
        <f t="shared" si="399"/>
        <v>5298816.7270323448</v>
      </c>
      <c r="G487" s="64">
        <f t="shared" si="399"/>
        <v>5232380.5437065559</v>
      </c>
      <c r="H487" s="64">
        <f t="shared" si="399"/>
        <v>5152986.0745496107</v>
      </c>
      <c r="I487" s="64">
        <f t="shared" si="399"/>
        <v>5057193.7663931213</v>
      </c>
      <c r="J487" s="64">
        <f t="shared" si="399"/>
        <v>4970710.1776630748</v>
      </c>
      <c r="K487" s="64">
        <f t="shared" si="399"/>
        <v>4862145.0884402674</v>
      </c>
      <c r="L487" s="64">
        <f t="shared" si="399"/>
        <v>4732145.8430056237</v>
      </c>
      <c r="M487" s="64">
        <f t="shared" si="399"/>
        <v>4585339.4411243303</v>
      </c>
      <c r="N487" s="64">
        <f t="shared" si="399"/>
        <v>4430460.3549018539</v>
      </c>
      <c r="O487" s="64">
        <f t="shared" si="399"/>
        <v>4250698.742639184</v>
      </c>
      <c r="P487" s="64">
        <f t="shared" si="399"/>
        <v>4085300.0175307365</v>
      </c>
      <c r="Q487" s="64">
        <f t="shared" si="399"/>
        <v>3941153.60503302</v>
      </c>
      <c r="R487" s="64">
        <f t="shared" si="399"/>
        <v>3820659.2404593332</v>
      </c>
      <c r="S487" s="64">
        <f t="shared" si="399"/>
        <v>3722519.8185706222</v>
      </c>
      <c r="T487" s="64">
        <f t="shared" si="399"/>
        <v>3645322.6207968639</v>
      </c>
      <c r="U487" s="64">
        <f t="shared" si="399"/>
        <v>3583032.2273518881</v>
      </c>
      <c r="V487" s="64">
        <f t="shared" si="399"/>
        <v>3531885.5488956473</v>
      </c>
      <c r="W487" s="64">
        <f t="shared" si="399"/>
        <v>3488776.2950842879</v>
      </c>
      <c r="X487" s="64">
        <f t="shared" si="399"/>
        <v>3451323.3104324806</v>
      </c>
      <c r="Y487" s="64">
        <f t="shared" si="399"/>
        <v>3422170.2965666554</v>
      </c>
      <c r="Z487" s="64">
        <f t="shared" si="399"/>
        <v>3395689.9180384274</v>
      </c>
      <c r="AA487" s="64">
        <f t="shared" si="399"/>
        <v>3371025.1613092944</v>
      </c>
      <c r="AB487" s="64">
        <f t="shared" si="399"/>
        <v>3347587.4405737086</v>
      </c>
      <c r="AC487" s="64">
        <f t="shared" si="399"/>
        <v>3324976.0846047117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9.6035790634886258</v>
      </c>
      <c r="C497" s="66">
        <f t="shared" ref="C497:AC497" si="408">C467*C468*C475/C475</f>
        <v>9.346042228304464</v>
      </c>
      <c r="D497" s="66">
        <f t="shared" si="408"/>
        <v>9.0856088224088598</v>
      </c>
      <c r="E497" s="66">
        <f t="shared" si="408"/>
        <v>8.8965549263897259</v>
      </c>
      <c r="F497" s="66">
        <f t="shared" si="408"/>
        <v>8.7019220831443267</v>
      </c>
      <c r="G497" s="66">
        <f t="shared" si="408"/>
        <v>8.4999159072450734</v>
      </c>
      <c r="H497" s="66">
        <f t="shared" si="408"/>
        <v>8.2884466823081731</v>
      </c>
      <c r="I497" s="66">
        <f t="shared" si="408"/>
        <v>8.0653491064891991</v>
      </c>
      <c r="J497" s="66">
        <f t="shared" si="408"/>
        <v>7.9907228747347538</v>
      </c>
      <c r="K497" s="66">
        <f t="shared" si="408"/>
        <v>7.8986842151866696</v>
      </c>
      <c r="L497" s="66">
        <f t="shared" si="408"/>
        <v>7.7897852571352431</v>
      </c>
      <c r="M497" s="66">
        <f t="shared" si="408"/>
        <v>7.6677282090590655</v>
      </c>
      <c r="N497" s="66">
        <f t="shared" si="408"/>
        <v>7.5394547643723193</v>
      </c>
      <c r="O497" s="66">
        <f t="shared" si="408"/>
        <v>7.2572334744600342</v>
      </c>
      <c r="P497" s="66">
        <f t="shared" si="408"/>
        <v>6.9904727213103843</v>
      </c>
      <c r="Q497" s="66">
        <f t="shared" si="408"/>
        <v>6.7437021672676138</v>
      </c>
      <c r="R497" s="66">
        <f t="shared" si="408"/>
        <v>6.5177419524955331</v>
      </c>
      <c r="S497" s="66">
        <f t="shared" si="408"/>
        <v>6.3106078999767687</v>
      </c>
      <c r="T497" s="66">
        <f t="shared" si="408"/>
        <v>6.1300180567212221</v>
      </c>
      <c r="U497" s="66">
        <f t="shared" si="408"/>
        <v>5.9611481536080131</v>
      </c>
      <c r="V497" s="66">
        <f t="shared" si="408"/>
        <v>5.8008327597826304</v>
      </c>
      <c r="W497" s="66">
        <f t="shared" si="408"/>
        <v>5.6465505415698747</v>
      </c>
      <c r="X497" s="66">
        <f t="shared" si="408"/>
        <v>5.496423139019881</v>
      </c>
      <c r="Y497" s="66">
        <f t="shared" si="408"/>
        <v>5.3736793320334248</v>
      </c>
      <c r="Z497" s="66">
        <f t="shared" si="408"/>
        <v>5.2527888239312039</v>
      </c>
      <c r="AA497" s="66">
        <f t="shared" si="408"/>
        <v>5.1331347523934312</v>
      </c>
      <c r="AB497" s="66">
        <f t="shared" si="408"/>
        <v>5.0143011500288441</v>
      </c>
      <c r="AC497" s="66">
        <f t="shared" si="408"/>
        <v>4.8960099439985862</v>
      </c>
    </row>
    <row r="498" spans="1:29" ht="15.75" thickBot="1" x14ac:dyDescent="0.3">
      <c r="A498" s="59" t="str">
        <f t="shared" ref="A498" si="409">A486</f>
        <v>Emission Cost</v>
      </c>
      <c r="B498" s="66">
        <f>B469</f>
        <v>0</v>
      </c>
      <c r="C498" s="66">
        <f t="shared" ref="C498:AC498" si="410">C469</f>
        <v>0</v>
      </c>
      <c r="D498" s="66">
        <f t="shared" si="410"/>
        <v>0</v>
      </c>
      <c r="E498" s="66">
        <f t="shared" si="410"/>
        <v>0</v>
      </c>
      <c r="F498" s="66">
        <f t="shared" si="410"/>
        <v>0</v>
      </c>
      <c r="G498" s="66">
        <f t="shared" si="410"/>
        <v>0</v>
      </c>
      <c r="H498" s="66">
        <f t="shared" si="410"/>
        <v>0</v>
      </c>
      <c r="I498" s="66">
        <f t="shared" si="410"/>
        <v>0</v>
      </c>
      <c r="J498" s="66">
        <f t="shared" si="410"/>
        <v>0</v>
      </c>
      <c r="K498" s="66">
        <f t="shared" si="410"/>
        <v>0</v>
      </c>
      <c r="L498" s="66">
        <f t="shared" si="410"/>
        <v>0</v>
      </c>
      <c r="M498" s="66">
        <f t="shared" si="410"/>
        <v>0</v>
      </c>
      <c r="N498" s="66">
        <f t="shared" si="410"/>
        <v>0</v>
      </c>
      <c r="O498" s="66">
        <f t="shared" si="410"/>
        <v>0</v>
      </c>
      <c r="P498" s="66">
        <f t="shared" si="410"/>
        <v>0</v>
      </c>
      <c r="Q498" s="66">
        <f t="shared" si="410"/>
        <v>0</v>
      </c>
      <c r="R498" s="66">
        <f t="shared" si="410"/>
        <v>0</v>
      </c>
      <c r="S498" s="66">
        <f t="shared" si="410"/>
        <v>0</v>
      </c>
      <c r="T498" s="66">
        <f t="shared" si="410"/>
        <v>0</v>
      </c>
      <c r="U498" s="66">
        <f t="shared" si="410"/>
        <v>0</v>
      </c>
      <c r="V498" s="66">
        <f t="shared" si="410"/>
        <v>0</v>
      </c>
      <c r="W498" s="66">
        <f t="shared" si="410"/>
        <v>0</v>
      </c>
      <c r="X498" s="66">
        <f t="shared" si="410"/>
        <v>0</v>
      </c>
      <c r="Y498" s="66">
        <f t="shared" si="410"/>
        <v>0</v>
      </c>
      <c r="Z498" s="66">
        <f t="shared" si="410"/>
        <v>0</v>
      </c>
      <c r="AA498" s="66">
        <f t="shared" si="410"/>
        <v>0</v>
      </c>
      <c r="AB498" s="66">
        <f t="shared" si="410"/>
        <v>0</v>
      </c>
      <c r="AC498" s="66">
        <f t="shared" si="410"/>
        <v>0</v>
      </c>
    </row>
    <row r="499" spans="1:29" ht="15.75" thickBot="1" x14ac:dyDescent="0.3">
      <c r="A499" s="31" t="s">
        <v>63</v>
      </c>
      <c r="B499" s="76">
        <f>B490+B491+B492-B493+B494+B495+B496+B497+B498</f>
        <v>31.044066497278159</v>
      </c>
      <c r="C499" s="76">
        <f t="shared" ref="C499:AC499" si="411">C490+C491+C492-C493+C494+C495+C496+C497+C498</f>
        <v>30.743086483332192</v>
      </c>
      <c r="D499" s="76">
        <f t="shared" si="411"/>
        <v>30.420969991252178</v>
      </c>
      <c r="E499" s="76">
        <f t="shared" si="411"/>
        <v>30.144732980277517</v>
      </c>
      <c r="F499" s="76">
        <f t="shared" si="411"/>
        <v>29.827696616548245</v>
      </c>
      <c r="G499" s="76">
        <f t="shared" si="411"/>
        <v>29.455505113322538</v>
      </c>
      <c r="H499" s="76">
        <f t="shared" si="411"/>
        <v>29.01071817126682</v>
      </c>
      <c r="I499" s="76">
        <f t="shared" si="411"/>
        <v>28.474066584955956</v>
      </c>
      <c r="J499" s="76">
        <f t="shared" si="411"/>
        <v>27.989564687308633</v>
      </c>
      <c r="K499" s="76">
        <f t="shared" si="411"/>
        <v>27.381356904547808</v>
      </c>
      <c r="L499" s="76">
        <f t="shared" si="411"/>
        <v>26.653069815278094</v>
      </c>
      <c r="M499" s="76">
        <f t="shared" si="411"/>
        <v>25.830624986811465</v>
      </c>
      <c r="N499" s="76">
        <f t="shared" si="411"/>
        <v>24.962955035985267</v>
      </c>
      <c r="O499" s="76">
        <f t="shared" si="411"/>
        <v>23.955887180171988</v>
      </c>
      <c r="P499" s="76">
        <f t="shared" si="411"/>
        <v>23.029283678163878</v>
      </c>
      <c r="Q499" s="76">
        <f t="shared" si="411"/>
        <v>22.221740751005804</v>
      </c>
      <c r="R499" s="76">
        <f t="shared" si="411"/>
        <v>21.546702294010363</v>
      </c>
      <c r="S499" s="76">
        <f t="shared" si="411"/>
        <v>20.996901611160443</v>
      </c>
      <c r="T499" s="76">
        <f t="shared" si="411"/>
        <v>20.564424312708017</v>
      </c>
      <c r="U499" s="76">
        <f t="shared" si="411"/>
        <v>20.215458523100306</v>
      </c>
      <c r="V499" s="76">
        <f t="shared" si="411"/>
        <v>19.928922509339856</v>
      </c>
      <c r="W499" s="76">
        <f t="shared" si="411"/>
        <v>19.687414084626354</v>
      </c>
      <c r="X499" s="76">
        <f t="shared" si="411"/>
        <v>19.477593442319311</v>
      </c>
      <c r="Y499" s="76">
        <f t="shared" si="411"/>
        <v>19.314271235788077</v>
      </c>
      <c r="Z499" s="76">
        <f t="shared" si="411"/>
        <v>19.165921776246183</v>
      </c>
      <c r="AA499" s="76">
        <f t="shared" si="411"/>
        <v>19.027743867399501</v>
      </c>
      <c r="AB499" s="76">
        <f t="shared" si="411"/>
        <v>18.896440109777174</v>
      </c>
      <c r="AC499" s="76">
        <f t="shared" si="411"/>
        <v>18.769765846645537</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3.4298496655316519E-3</v>
      </c>
      <c r="C509" s="66">
        <f t="shared" ref="C509:AC509" si="420">C467*C468*C475/C475/(C472)</f>
        <v>3.3378722243944513E-3</v>
      </c>
      <c r="D509" s="66">
        <f t="shared" si="420"/>
        <v>3.2448602937174501E-3</v>
      </c>
      <c r="E509" s="66">
        <f t="shared" si="420"/>
        <v>3.1773410451391877E-3</v>
      </c>
      <c r="F509" s="66">
        <f t="shared" si="420"/>
        <v>3.1078293154086882E-3</v>
      </c>
      <c r="G509" s="66">
        <f t="shared" si="420"/>
        <v>3.0356842525875263E-3</v>
      </c>
      <c r="H509" s="66">
        <f t="shared" si="420"/>
        <v>2.9601595293957759E-3</v>
      </c>
      <c r="I509" s="66">
        <f t="shared" si="420"/>
        <v>2.8804818237461428E-3</v>
      </c>
      <c r="J509" s="66">
        <f t="shared" si="420"/>
        <v>2.8538295981195548E-3</v>
      </c>
      <c r="K509" s="66">
        <f t="shared" si="420"/>
        <v>2.8209586482809534E-3</v>
      </c>
      <c r="L509" s="66">
        <f t="shared" si="420"/>
        <v>2.7820661632625867E-3</v>
      </c>
      <c r="M509" s="66">
        <f t="shared" si="420"/>
        <v>2.7384743603782375E-3</v>
      </c>
      <c r="N509" s="66">
        <f t="shared" si="420"/>
        <v>2.692662415847257E-3</v>
      </c>
      <c r="O509" s="66">
        <f t="shared" si="420"/>
        <v>2.5918690980214409E-3</v>
      </c>
      <c r="P509" s="66">
        <f t="shared" si="420"/>
        <v>2.4965974004679944E-3</v>
      </c>
      <c r="Q509" s="66">
        <f t="shared" si="420"/>
        <v>2.4084650597384336E-3</v>
      </c>
      <c r="R509" s="66">
        <f t="shared" si="420"/>
        <v>2.3277649830341189E-3</v>
      </c>
      <c r="S509" s="66">
        <f t="shared" si="420"/>
        <v>2.2537885357059887E-3</v>
      </c>
      <c r="T509" s="66">
        <f t="shared" si="420"/>
        <v>2.1892921631147221E-3</v>
      </c>
      <c r="U509" s="66">
        <f t="shared" si="420"/>
        <v>2.1289814834314332E-3</v>
      </c>
      <c r="V509" s="66">
        <f t="shared" si="420"/>
        <v>2.0717259856366538E-3</v>
      </c>
      <c r="W509" s="66">
        <f t="shared" si="420"/>
        <v>2.0166251934178123E-3</v>
      </c>
      <c r="X509" s="66">
        <f t="shared" si="420"/>
        <v>1.963008263935672E-3</v>
      </c>
      <c r="Y509" s="66">
        <f t="shared" si="420"/>
        <v>1.9191711900119375E-3</v>
      </c>
      <c r="Z509" s="66">
        <f t="shared" si="420"/>
        <v>1.8759960085468585E-3</v>
      </c>
      <c r="AA509" s="66">
        <f t="shared" si="420"/>
        <v>1.8332624115690826E-3</v>
      </c>
      <c r="AB509" s="66">
        <f t="shared" si="420"/>
        <v>1.7908218392960157E-3</v>
      </c>
      <c r="AC509" s="66">
        <f t="shared" si="420"/>
        <v>1.7485749799994951E-3</v>
      </c>
    </row>
    <row r="510" spans="1:29" x14ac:dyDescent="0.25">
      <c r="A510" s="59" t="str">
        <f>A473</f>
        <v>Market failure (av. utilization)</v>
      </c>
      <c r="B510" s="66">
        <f t="shared" ref="B510:AC510" si="421">B499/B473-B499/B472</f>
        <v>2.1394766810345162E-2</v>
      </c>
      <c r="C510" s="66">
        <f t="shared" si="421"/>
        <v>2.1187339177966103E-2</v>
      </c>
      <c r="D510" s="66">
        <f t="shared" si="421"/>
        <v>2.0965344832140874E-2</v>
      </c>
      <c r="E510" s="66">
        <f t="shared" si="421"/>
        <v>2.0774969436742598E-2</v>
      </c>
      <c r="F510" s="66">
        <f t="shared" si="421"/>
        <v>2.0556476183837658E-2</v>
      </c>
      <c r="G510" s="66">
        <f t="shared" si="421"/>
        <v>2.0299971436915924E-2</v>
      </c>
      <c r="H510" s="66">
        <f t="shared" si="421"/>
        <v>1.9993435793255871E-2</v>
      </c>
      <c r="I510" s="66">
        <f t="shared" si="421"/>
        <v>1.9623589415413284E-2</v>
      </c>
      <c r="J510" s="66">
        <f t="shared" si="421"/>
        <v>1.928968325269317E-2</v>
      </c>
      <c r="K510" s="66">
        <f t="shared" si="421"/>
        <v>1.887052219705164E-2</v>
      </c>
      <c r="L510" s="66">
        <f t="shared" si="421"/>
        <v>1.8368605592560518E-2</v>
      </c>
      <c r="M510" s="66">
        <f t="shared" si="421"/>
        <v>1.7801797912227767E-2</v>
      </c>
      <c r="N510" s="66">
        <f t="shared" si="421"/>
        <v>1.7203822248572434E-2</v>
      </c>
      <c r="O510" s="66">
        <f t="shared" si="421"/>
        <v>1.6509777158210049E-2</v>
      </c>
      <c r="P510" s="66">
        <f t="shared" si="421"/>
        <v>1.5871186017038165E-2</v>
      </c>
      <c r="Q510" s="66">
        <f t="shared" si="421"/>
        <v>1.5314648341234468E-2</v>
      </c>
      <c r="R510" s="66">
        <f t="shared" si="421"/>
        <v>1.4849429315347544E-2</v>
      </c>
      <c r="S510" s="66">
        <f t="shared" si="421"/>
        <v>1.4470520920637914E-2</v>
      </c>
      <c r="T510" s="66">
        <f t="shared" si="421"/>
        <v>1.4172468764617412E-2</v>
      </c>
      <c r="U510" s="66">
        <f t="shared" si="421"/>
        <v>1.3931970578141115E-2</v>
      </c>
      <c r="V510" s="66">
        <f t="shared" si="421"/>
        <v>1.3734497376693482E-2</v>
      </c>
      <c r="W510" s="66">
        <f t="shared" si="421"/>
        <v>1.3568056023724078E-2</v>
      </c>
      <c r="X510" s="66">
        <f t="shared" si="421"/>
        <v>1.3423453069901982E-2</v>
      </c>
      <c r="Y510" s="66">
        <f t="shared" si="421"/>
        <v>1.3310895634039215E-2</v>
      </c>
      <c r="Z510" s="66">
        <f t="shared" si="421"/>
        <v>1.3208657027714307E-2</v>
      </c>
      <c r="AA510" s="66">
        <f t="shared" si="421"/>
        <v>1.3113428390758027E-2</v>
      </c>
      <c r="AB510" s="66">
        <f t="shared" si="421"/>
        <v>1.3022937240834156E-2</v>
      </c>
      <c r="AC510" s="66">
        <f t="shared" si="421"/>
        <v>1.2935636618642431E-2</v>
      </c>
    </row>
    <row r="511" spans="1:29" x14ac:dyDescent="0.25">
      <c r="A511" s="59" t="str">
        <f>A474</f>
        <v>Payload loss (fuel)</v>
      </c>
      <c r="B511" s="66">
        <f>B499/(B472-B474)-B499/B472</f>
        <v>1.6068357400247577E-4</v>
      </c>
      <c r="C511" s="66">
        <f t="shared" ref="C511:AC511" si="422">C499/(C472-C474)-C499/C472</f>
        <v>1.5912570643546696E-4</v>
      </c>
      <c r="D511" s="66">
        <f t="shared" si="422"/>
        <v>1.5745843680772462E-4</v>
      </c>
      <c r="E511" s="66">
        <f t="shared" si="422"/>
        <v>1.5602863861427334E-4</v>
      </c>
      <c r="F511" s="66">
        <f t="shared" si="422"/>
        <v>1.5438766364673021E-4</v>
      </c>
      <c r="G511" s="66">
        <f t="shared" si="422"/>
        <v>1.5246120659069724E-4</v>
      </c>
      <c r="H511" s="66">
        <f t="shared" si="422"/>
        <v>1.5015899674568692E-4</v>
      </c>
      <c r="I511" s="66">
        <f t="shared" si="422"/>
        <v>1.4738129702358133E-4</v>
      </c>
      <c r="J511" s="66">
        <f t="shared" si="422"/>
        <v>1.4487352322623513E-4</v>
      </c>
      <c r="K511" s="66">
        <f t="shared" si="422"/>
        <v>1.4172544981649882E-4</v>
      </c>
      <c r="L511" s="66">
        <f t="shared" si="422"/>
        <v>1.3795584790516659E-4</v>
      </c>
      <c r="M511" s="66">
        <f t="shared" si="422"/>
        <v>1.3369888709529806E-4</v>
      </c>
      <c r="N511" s="66">
        <f t="shared" si="422"/>
        <v>1.2920784180116621E-4</v>
      </c>
      <c r="O511" s="66">
        <f t="shared" si="422"/>
        <v>1.2399527525969005E-4</v>
      </c>
      <c r="P511" s="66">
        <f t="shared" si="422"/>
        <v>1.1919919088076644E-4</v>
      </c>
      <c r="Q511" s="66">
        <f t="shared" si="422"/>
        <v>1.150193620652485E-4</v>
      </c>
      <c r="R511" s="66">
        <f t="shared" si="422"/>
        <v>1.1152537419260086E-4</v>
      </c>
      <c r="S511" s="66">
        <f t="shared" si="422"/>
        <v>1.0867961496459789E-4</v>
      </c>
      <c r="T511" s="66">
        <f t="shared" si="422"/>
        <v>1.06441119630994E-4</v>
      </c>
      <c r="U511" s="66">
        <f t="shared" si="422"/>
        <v>1.0463487848395587E-4</v>
      </c>
      <c r="V511" s="66">
        <f t="shared" si="422"/>
        <v>1.0315177282266969E-4</v>
      </c>
      <c r="W511" s="66">
        <f t="shared" si="422"/>
        <v>1.0190172921649247E-4</v>
      </c>
      <c r="X511" s="66">
        <f t="shared" si="422"/>
        <v>1.0081570104720095E-4</v>
      </c>
      <c r="Y511" s="66">
        <f t="shared" si="422"/>
        <v>9.9970348011325059E-5</v>
      </c>
      <c r="Z511" s="66">
        <f t="shared" si="422"/>
        <v>9.9202493665870826E-5</v>
      </c>
      <c r="AA511" s="66">
        <f t="shared" si="422"/>
        <v>9.8487287098341161E-5</v>
      </c>
      <c r="AB511" s="66">
        <f t="shared" si="422"/>
        <v>9.7807661023691615E-5</v>
      </c>
      <c r="AC511" s="66">
        <f t="shared" si="422"/>
        <v>9.7151997135846296E-5</v>
      </c>
    </row>
    <row r="512" spans="1:29" ht="15.75" thickBot="1" x14ac:dyDescent="0.3">
      <c r="A512" s="59" t="str">
        <f>A449</f>
        <v>Emission Cost</v>
      </c>
      <c r="B512" s="68">
        <f>B469*B475/B475/(B472)</f>
        <v>0</v>
      </c>
      <c r="C512" s="68">
        <f t="shared" ref="C512:AC512" si="423">C469*C475/C475/(C472)</f>
        <v>0</v>
      </c>
      <c r="D512" s="68">
        <f t="shared" si="423"/>
        <v>0</v>
      </c>
      <c r="E512" s="68">
        <f t="shared" si="423"/>
        <v>0</v>
      </c>
      <c r="F512" s="68">
        <f t="shared" si="423"/>
        <v>0</v>
      </c>
      <c r="G512" s="68">
        <f t="shared" si="423"/>
        <v>0</v>
      </c>
      <c r="H512" s="68">
        <f t="shared" si="423"/>
        <v>0</v>
      </c>
      <c r="I512" s="68">
        <f t="shared" si="423"/>
        <v>0</v>
      </c>
      <c r="J512" s="68">
        <f t="shared" si="423"/>
        <v>0</v>
      </c>
      <c r="K512" s="68">
        <f t="shared" si="423"/>
        <v>0</v>
      </c>
      <c r="L512" s="68">
        <f t="shared" si="423"/>
        <v>0</v>
      </c>
      <c r="M512" s="68">
        <f t="shared" si="423"/>
        <v>0</v>
      </c>
      <c r="N512" s="68">
        <f t="shared" si="423"/>
        <v>0</v>
      </c>
      <c r="O512" s="68">
        <f t="shared" si="423"/>
        <v>0</v>
      </c>
      <c r="P512" s="68">
        <f t="shared" si="423"/>
        <v>0</v>
      </c>
      <c r="Q512" s="68">
        <f t="shared" si="423"/>
        <v>0</v>
      </c>
      <c r="R512" s="68">
        <f t="shared" si="423"/>
        <v>0</v>
      </c>
      <c r="S512" s="68">
        <f t="shared" si="423"/>
        <v>0</v>
      </c>
      <c r="T512" s="68">
        <f t="shared" si="423"/>
        <v>0</v>
      </c>
      <c r="U512" s="68">
        <f t="shared" si="423"/>
        <v>0</v>
      </c>
      <c r="V512" s="68">
        <f t="shared" si="423"/>
        <v>0</v>
      </c>
      <c r="W512" s="68">
        <f t="shared" si="423"/>
        <v>0</v>
      </c>
      <c r="X512" s="68">
        <f t="shared" si="423"/>
        <v>0</v>
      </c>
      <c r="Y512" s="68">
        <f t="shared" si="423"/>
        <v>0</v>
      </c>
      <c r="Z512" s="68">
        <f t="shared" si="423"/>
        <v>0</v>
      </c>
      <c r="AA512" s="68">
        <f t="shared" si="423"/>
        <v>0</v>
      </c>
      <c r="AB512" s="68">
        <f t="shared" si="423"/>
        <v>0</v>
      </c>
      <c r="AC512" s="68">
        <f t="shared" si="423"/>
        <v>0</v>
      </c>
    </row>
    <row r="513" spans="1:29" ht="15.75" thickBot="1" x14ac:dyDescent="0.3">
      <c r="A513" s="31" t="s">
        <v>210</v>
      </c>
      <c r="B513" s="67">
        <f>B502+B503+B504+B505+B506+B507+B508+B509+B510+B511+B512</f>
        <v>3.259174240264022E-2</v>
      </c>
      <c r="C513" s="67">
        <f t="shared" ref="C513:AC513" si="424">C502+C503+C504+C505+C506+C507+C508+C509+C510+C511+C512</f>
        <v>3.22752640405706E-2</v>
      </c>
      <c r="D513" s="67">
        <f t="shared" si="424"/>
        <v>3.1936560820803331E-2</v>
      </c>
      <c r="E513" s="67">
        <f t="shared" si="424"/>
        <v>3.1646099551863517E-2</v>
      </c>
      <c r="F513" s="67">
        <f t="shared" si="424"/>
        <v>3.1312738051230582E-2</v>
      </c>
      <c r="G513" s="67">
        <f t="shared" si="424"/>
        <v>3.0921381310386485E-2</v>
      </c>
      <c r="H513" s="67">
        <f t="shared" si="424"/>
        <v>3.0453690977575811E-2</v>
      </c>
      <c r="I513" s="67">
        <f t="shared" si="424"/>
        <v>2.9889405619185808E-2</v>
      </c>
      <c r="J513" s="67">
        <f t="shared" si="424"/>
        <v>2.9379955290651447E-2</v>
      </c>
      <c r="K513" s="67">
        <f t="shared" si="424"/>
        <v>2.8740429096328457E-2</v>
      </c>
      <c r="L513" s="67">
        <f t="shared" si="424"/>
        <v>2.7974640358043965E-2</v>
      </c>
      <c r="M513" s="67">
        <f t="shared" si="424"/>
        <v>2.7109845421020403E-2</v>
      </c>
      <c r="N513" s="67">
        <f t="shared" si="424"/>
        <v>2.6197496586775868E-2</v>
      </c>
      <c r="O513" s="67">
        <f t="shared" si="424"/>
        <v>2.5138571838510121E-2</v>
      </c>
      <c r="P513" s="67">
        <f t="shared" si="424"/>
        <v>2.4164254790813564E-2</v>
      </c>
      <c r="Q513" s="67">
        <f t="shared" si="424"/>
        <v>2.3315129097923604E-2</v>
      </c>
      <c r="R513" s="67">
        <f t="shared" si="424"/>
        <v>2.2605330920951378E-2</v>
      </c>
      <c r="S513" s="67">
        <f t="shared" si="424"/>
        <v>2.2027219380281626E-2</v>
      </c>
      <c r="T513" s="67">
        <f t="shared" si="424"/>
        <v>2.1572472550908797E-2</v>
      </c>
      <c r="U513" s="67">
        <f t="shared" si="424"/>
        <v>2.1205537484139853E-2</v>
      </c>
      <c r="V513" s="67">
        <f t="shared" si="424"/>
        <v>2.0904246886402203E-2</v>
      </c>
      <c r="W513" s="67">
        <f t="shared" si="424"/>
        <v>2.0650302481000374E-2</v>
      </c>
      <c r="X513" s="67">
        <f t="shared" si="424"/>
        <v>2.0429677555327892E-2</v>
      </c>
      <c r="Y513" s="67">
        <f t="shared" si="424"/>
        <v>2.025794540695381E-2</v>
      </c>
      <c r="Z513" s="67">
        <f t="shared" si="424"/>
        <v>2.0101956996447061E-2</v>
      </c>
      <c r="AA513" s="67">
        <f t="shared" si="424"/>
        <v>1.9956663899763721E-2</v>
      </c>
      <c r="AB513" s="67">
        <f t="shared" si="424"/>
        <v>1.9818598924614371E-2</v>
      </c>
      <c r="AC513" s="67">
        <f t="shared" si="424"/>
        <v>1.9685401830273497E-2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topLeftCell="A361" zoomScale="80" zoomScaleNormal="80" workbookViewId="0">
      <selection activeCell="H431" sqref="H431"/>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32" width="13.5703125" style="4" bestFit="1" customWidth="1"/>
    <col min="33" max="33" width="41.42578125" style="4" bestFit="1" customWidth="1"/>
    <col min="34"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280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Input'!$L$224</f>
        <v>15000000</v>
      </c>
      <c r="C11" s="42">
        <f>'Parameter Input'!$M$224</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Input'!$L$225</f>
        <v>-1500000</v>
      </c>
      <c r="C12" s="61">
        <f>'Parameter Input'!$M$225</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Input'!$L$231</f>
        <v>0.06</v>
      </c>
      <c r="C15" s="91">
        <f>'Parameter Input'!$M$231</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Input'!$L$227</f>
        <v>488235.29411764705</v>
      </c>
      <c r="C17" s="61">
        <f>'Parameter Input'!$M$227</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Input'!$L$228</f>
        <v>647</v>
      </c>
      <c r="C19" s="61">
        <f>'Parameter Input'!$M$228</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Input'!$L$229</f>
        <v>3.1399999999999997E-2</v>
      </c>
      <c r="C20" s="61">
        <f>'Parameter Input'!$M$229</f>
        <v>3.1399999999999997E-2</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Input'!$L$232</f>
        <v>0</v>
      </c>
      <c r="C21" s="61">
        <f>'Parameter Input'!$M$232</f>
        <v>0</v>
      </c>
      <c r="D21" s="1"/>
      <c r="L21" s="54">
        <f>'Parameter Input'!O220</f>
        <v>17</v>
      </c>
      <c r="M21" s="37">
        <v>0</v>
      </c>
      <c r="N21" s="37">
        <v>1</v>
      </c>
      <c r="O21" s="37">
        <f>'Parameter Input'!P220</f>
        <v>0.9</v>
      </c>
      <c r="P21" s="55">
        <f>'Parameter Input'!Q220</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Input'!$L$226</f>
        <v>25</v>
      </c>
      <c r="C22" s="61">
        <f>'Parameter Input'!$M$226</f>
        <v>25</v>
      </c>
      <c r="D22" s="1" t="s">
        <v>42</v>
      </c>
      <c r="L22" s="54">
        <f>'Parameter Input'!$O$214</f>
        <v>17</v>
      </c>
      <c r="M22" s="37">
        <v>0</v>
      </c>
      <c r="N22" s="37">
        <v>1</v>
      </c>
      <c r="O22" s="37">
        <f>'Parameter Input'!$P$214</f>
        <v>0.9</v>
      </c>
      <c r="P22" s="55">
        <f>'Parameter Input'!$Q$214</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Input'!$L$230</f>
        <v>0</v>
      </c>
      <c r="C26" s="46">
        <f>'Parameter Input'!$M$230</f>
        <v>0</v>
      </c>
      <c r="D26" s="1" t="s">
        <v>57</v>
      </c>
      <c r="L26" s="54">
        <f>'Parameter Input'!$O$218</f>
        <v>17</v>
      </c>
      <c r="M26" s="37">
        <v>0</v>
      </c>
      <c r="N26" s="37">
        <v>1</v>
      </c>
      <c r="O26" s="37">
        <f>'Parameter Input'!$P$218</f>
        <v>0.9</v>
      </c>
      <c r="P26" s="55">
        <f>'Parameter Input'!$Q$218</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39"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'Parameter Input'!J10</f>
        <v>2.5977890665149557E-2</v>
      </c>
      <c r="C40" s="62">
        <f>'Parameter Input'!K10</f>
        <v>2.418631199858752E-2</v>
      </c>
      <c r="D40" s="62">
        <f>'Parameter Input'!L10</f>
        <v>2.2394733332025477E-2</v>
      </c>
      <c r="E40" s="62">
        <f>'Parameter Input'!M10</f>
        <v>2.060315466546344E-2</v>
      </c>
      <c r="F40" s="62">
        <f>'Parameter Input'!N10</f>
        <v>1.8811575998901403E-2</v>
      </c>
      <c r="G40" s="62">
        <f>'Parameter Input'!O10</f>
        <v>1.7019997332339366E-2</v>
      </c>
      <c r="H40" s="62">
        <f>'Parameter Input'!P10</f>
        <v>1.5228418665777328E-2</v>
      </c>
      <c r="I40" s="62">
        <f>'Parameter Input'!Q10</f>
        <v>1.3436839999215288E-2</v>
      </c>
      <c r="J40" s="62">
        <f>'Parameter Input'!R10</f>
        <v>1.3164903951612121E-2</v>
      </c>
      <c r="K40" s="62">
        <f>'Parameter Input'!S10</f>
        <v>1.2892967904008954E-2</v>
      </c>
      <c r="L40" s="62">
        <f>'Parameter Input'!T10</f>
        <v>1.2621031856405788E-2</v>
      </c>
      <c r="M40" s="62">
        <f>'Parameter Input'!U10</f>
        <v>1.2349095808802621E-2</v>
      </c>
      <c r="N40" s="62">
        <f>'Parameter Input'!V10</f>
        <v>1.2077159761199453E-2</v>
      </c>
      <c r="O40" s="62">
        <f>'Parameter Input'!W10</f>
        <v>1.1805223713596286E-2</v>
      </c>
      <c r="P40" s="62">
        <f>'Parameter Input'!X10</f>
        <v>1.153328766599312E-2</v>
      </c>
      <c r="Q40" s="62">
        <f>'Parameter Input'!Y10</f>
        <v>1.1261351618389953E-2</v>
      </c>
      <c r="R40" s="62">
        <f>'Parameter Input'!Z10</f>
        <v>1.0989415570786787E-2</v>
      </c>
      <c r="S40" s="62">
        <f>'Parameter Input'!AA10</f>
        <v>1.0717479523183622E-2</v>
      </c>
      <c r="T40" s="62">
        <f>'Parameter Input'!AB10</f>
        <v>1.0445543475580455E-2</v>
      </c>
      <c r="U40" s="62">
        <f>'Parameter Input'!AC10</f>
        <v>1.0173607427977288E-2</v>
      </c>
      <c r="V40" s="62">
        <f>'Parameter Input'!AD10</f>
        <v>9.9016713803741219E-3</v>
      </c>
      <c r="W40" s="62">
        <f>'Parameter Input'!AE10</f>
        <v>9.6297353327709553E-3</v>
      </c>
      <c r="X40" s="62">
        <f>'Parameter Input'!AF10</f>
        <v>9.3577992851677887E-3</v>
      </c>
      <c r="Y40" s="62">
        <f>'Parameter Input'!AG10</f>
        <v>9.0858632375646221E-3</v>
      </c>
      <c r="Z40" s="62">
        <f>'Parameter Input'!AH10</f>
        <v>8.8139271899614555E-3</v>
      </c>
      <c r="AA40" s="62">
        <f>'Parameter Input'!AI10</f>
        <v>8.5419911423582889E-3</v>
      </c>
      <c r="AB40" s="62">
        <f>'Parameter Input'!AJ10</f>
        <v>8.2700550947551223E-3</v>
      </c>
      <c r="AC40" s="62">
        <f>'Parameter Input'!AK10</f>
        <v>7.9981190471519557E-3</v>
      </c>
    </row>
    <row r="41" spans="1:29" x14ac:dyDescent="0.25">
      <c r="A41" s="30" t="str">
        <f t="shared" si="3"/>
        <v>Emission Cost</v>
      </c>
      <c r="B41" s="68">
        <f>$B21+($C21-$B21)*(1-Q21)</f>
        <v>0</v>
      </c>
      <c r="C41" s="62">
        <f t="shared" ref="C41:AC44" si="5">$B21+($C21-$B21)*(1-R21)</f>
        <v>0</v>
      </c>
      <c r="D41" s="62">
        <f t="shared" si="5"/>
        <v>0</v>
      </c>
      <c r="E41" s="62">
        <f t="shared" si="5"/>
        <v>0</v>
      </c>
      <c r="F41" s="62">
        <f t="shared" si="5"/>
        <v>0</v>
      </c>
      <c r="G41" s="62">
        <f t="shared" si="5"/>
        <v>0</v>
      </c>
      <c r="H41" s="62">
        <f t="shared" si="5"/>
        <v>0</v>
      </c>
      <c r="I41" s="62">
        <f t="shared" si="5"/>
        <v>0</v>
      </c>
      <c r="J41" s="62">
        <f t="shared" si="5"/>
        <v>0</v>
      </c>
      <c r="K41" s="62">
        <f t="shared" si="5"/>
        <v>0</v>
      </c>
      <c r="L41" s="62">
        <f t="shared" si="5"/>
        <v>0</v>
      </c>
      <c r="M41" s="62">
        <f t="shared" si="5"/>
        <v>0</v>
      </c>
      <c r="N41" s="62">
        <f t="shared" si="5"/>
        <v>0</v>
      </c>
      <c r="O41" s="62">
        <f t="shared" si="5"/>
        <v>0</v>
      </c>
      <c r="P41" s="62">
        <f t="shared" si="5"/>
        <v>0</v>
      </c>
      <c r="Q41" s="62">
        <f t="shared" si="5"/>
        <v>0</v>
      </c>
      <c r="R41" s="62">
        <f t="shared" si="5"/>
        <v>0</v>
      </c>
      <c r="S41" s="62">
        <f t="shared" si="5"/>
        <v>0</v>
      </c>
      <c r="T41" s="62">
        <f t="shared" si="5"/>
        <v>0</v>
      </c>
      <c r="U41" s="62">
        <f t="shared" si="5"/>
        <v>0</v>
      </c>
      <c r="V41" s="62">
        <f t="shared" si="5"/>
        <v>0</v>
      </c>
      <c r="W41" s="62">
        <f t="shared" si="5"/>
        <v>0</v>
      </c>
      <c r="X41" s="62">
        <f t="shared" si="5"/>
        <v>0</v>
      </c>
      <c r="Y41" s="62">
        <f t="shared" si="5"/>
        <v>0</v>
      </c>
      <c r="Z41" s="62">
        <f t="shared" si="5"/>
        <v>0</v>
      </c>
      <c r="AA41" s="62">
        <f t="shared" si="5"/>
        <v>0</v>
      </c>
      <c r="AB41" s="62">
        <f t="shared" si="5"/>
        <v>0</v>
      </c>
      <c r="AC41" s="62">
        <f t="shared" si="5"/>
        <v>0</v>
      </c>
    </row>
    <row r="42" spans="1:29" x14ac:dyDescent="0.25">
      <c r="A42" s="30" t="str">
        <f t="shared" si="3"/>
        <v>Lifetime vehicle</v>
      </c>
      <c r="B42" s="62">
        <f>$B22+($C22-$B22)*(1-Q22)</f>
        <v>25</v>
      </c>
      <c r="C42" s="62">
        <f t="shared" si="5"/>
        <v>25</v>
      </c>
      <c r="D42" s="62">
        <f t="shared" si="5"/>
        <v>25</v>
      </c>
      <c r="E42" s="62">
        <f t="shared" si="5"/>
        <v>25</v>
      </c>
      <c r="F42" s="62">
        <f t="shared" si="5"/>
        <v>25</v>
      </c>
      <c r="G42" s="62">
        <f t="shared" si="5"/>
        <v>25</v>
      </c>
      <c r="H42" s="62">
        <f t="shared" si="5"/>
        <v>25</v>
      </c>
      <c r="I42" s="62">
        <f t="shared" si="5"/>
        <v>25</v>
      </c>
      <c r="J42" s="62">
        <f t="shared" si="5"/>
        <v>25</v>
      </c>
      <c r="K42" s="62">
        <f t="shared" si="5"/>
        <v>25</v>
      </c>
      <c r="L42" s="62">
        <f t="shared" si="5"/>
        <v>25</v>
      </c>
      <c r="M42" s="62">
        <f t="shared" si="5"/>
        <v>25</v>
      </c>
      <c r="N42" s="62">
        <f t="shared" si="5"/>
        <v>25</v>
      </c>
      <c r="O42" s="62">
        <f t="shared" si="5"/>
        <v>25</v>
      </c>
      <c r="P42" s="62">
        <f t="shared" si="5"/>
        <v>25</v>
      </c>
      <c r="Q42" s="62">
        <f t="shared" si="5"/>
        <v>25</v>
      </c>
      <c r="R42" s="62">
        <f t="shared" si="5"/>
        <v>25</v>
      </c>
      <c r="S42" s="62">
        <f t="shared" si="5"/>
        <v>25</v>
      </c>
      <c r="T42" s="62">
        <f t="shared" si="5"/>
        <v>25</v>
      </c>
      <c r="U42" s="62">
        <f t="shared" si="5"/>
        <v>25</v>
      </c>
      <c r="V42" s="62">
        <f t="shared" si="5"/>
        <v>25</v>
      </c>
      <c r="W42" s="62">
        <f t="shared" si="5"/>
        <v>25</v>
      </c>
      <c r="X42" s="62">
        <f t="shared" si="5"/>
        <v>25</v>
      </c>
      <c r="Y42" s="62">
        <f t="shared" si="5"/>
        <v>25</v>
      </c>
      <c r="Z42" s="62">
        <f t="shared" si="5"/>
        <v>25</v>
      </c>
      <c r="AA42" s="62">
        <f t="shared" si="5"/>
        <v>25</v>
      </c>
      <c r="AB42" s="62">
        <f t="shared" si="5"/>
        <v>25</v>
      </c>
      <c r="AC42" s="62">
        <f t="shared" si="5"/>
        <v>25</v>
      </c>
    </row>
    <row r="43" spans="1:29" x14ac:dyDescent="0.25">
      <c r="A43" s="30" t="str">
        <f t="shared" si="3"/>
        <v>Lifetime costumization</v>
      </c>
      <c r="B43" s="62">
        <f>$B23+($C23-$B23)*(1-Q23)</f>
        <v>25</v>
      </c>
      <c r="C43" s="62">
        <f t="shared" si="5"/>
        <v>25</v>
      </c>
      <c r="D43" s="62">
        <f t="shared" si="5"/>
        <v>25</v>
      </c>
      <c r="E43" s="62">
        <f t="shared" si="5"/>
        <v>25</v>
      </c>
      <c r="F43" s="62">
        <f t="shared" si="5"/>
        <v>25</v>
      </c>
      <c r="G43" s="62">
        <f t="shared" si="5"/>
        <v>25</v>
      </c>
      <c r="H43" s="62">
        <f t="shared" si="5"/>
        <v>25</v>
      </c>
      <c r="I43" s="62">
        <f t="shared" si="5"/>
        <v>25</v>
      </c>
      <c r="J43" s="62">
        <f t="shared" si="5"/>
        <v>25</v>
      </c>
      <c r="K43" s="62">
        <f t="shared" si="5"/>
        <v>25</v>
      </c>
      <c r="L43" s="62">
        <f t="shared" si="5"/>
        <v>25</v>
      </c>
      <c r="M43" s="62">
        <f t="shared" si="5"/>
        <v>25</v>
      </c>
      <c r="N43" s="62">
        <f t="shared" si="5"/>
        <v>25</v>
      </c>
      <c r="O43" s="62">
        <f t="shared" si="5"/>
        <v>25</v>
      </c>
      <c r="P43" s="62">
        <f t="shared" si="5"/>
        <v>25</v>
      </c>
      <c r="Q43" s="62">
        <f t="shared" si="5"/>
        <v>25</v>
      </c>
      <c r="R43" s="62">
        <f t="shared" si="5"/>
        <v>25</v>
      </c>
      <c r="S43" s="62">
        <f t="shared" si="5"/>
        <v>25</v>
      </c>
      <c r="T43" s="62">
        <f t="shared" si="5"/>
        <v>25</v>
      </c>
      <c r="U43" s="62">
        <f t="shared" si="5"/>
        <v>25</v>
      </c>
      <c r="V43" s="62">
        <f t="shared" si="5"/>
        <v>25</v>
      </c>
      <c r="W43" s="62">
        <f t="shared" si="5"/>
        <v>25</v>
      </c>
      <c r="X43" s="62">
        <f t="shared" si="5"/>
        <v>25</v>
      </c>
      <c r="Y43" s="62">
        <f t="shared" si="5"/>
        <v>25</v>
      </c>
      <c r="Z43" s="62">
        <f t="shared" si="5"/>
        <v>25</v>
      </c>
      <c r="AA43" s="62">
        <f t="shared" si="5"/>
        <v>25</v>
      </c>
      <c r="AB43" s="62">
        <f t="shared" si="5"/>
        <v>25</v>
      </c>
      <c r="AC43" s="62">
        <f t="shared" si="5"/>
        <v>25</v>
      </c>
    </row>
    <row r="44" spans="1:29" x14ac:dyDescent="0.25">
      <c r="A44" s="30" t="str">
        <f t="shared" si="3"/>
        <v>Tonnage .</v>
      </c>
      <c r="B44" s="62">
        <f>$B24+($C24-$B24)*(1-Q24)</f>
        <v>9450</v>
      </c>
      <c r="C44" s="62">
        <f t="shared" si="5"/>
        <v>9450</v>
      </c>
      <c r="D44" s="62">
        <f t="shared" si="5"/>
        <v>9450</v>
      </c>
      <c r="E44" s="62">
        <f t="shared" si="5"/>
        <v>9450</v>
      </c>
      <c r="F44" s="62">
        <f t="shared" si="5"/>
        <v>9450</v>
      </c>
      <c r="G44" s="62">
        <f t="shared" si="5"/>
        <v>9450</v>
      </c>
      <c r="H44" s="62">
        <f t="shared" si="5"/>
        <v>9450</v>
      </c>
      <c r="I44" s="62">
        <f t="shared" si="5"/>
        <v>9450</v>
      </c>
      <c r="J44" s="62">
        <f t="shared" si="5"/>
        <v>9450</v>
      </c>
      <c r="K44" s="62">
        <f t="shared" si="5"/>
        <v>9450</v>
      </c>
      <c r="L44" s="62">
        <f t="shared" si="5"/>
        <v>9450</v>
      </c>
      <c r="M44" s="62">
        <f t="shared" si="5"/>
        <v>9450</v>
      </c>
      <c r="N44" s="62">
        <f t="shared" si="5"/>
        <v>9450</v>
      </c>
      <c r="O44" s="62">
        <f t="shared" si="5"/>
        <v>9450</v>
      </c>
      <c r="P44" s="62">
        <f t="shared" si="5"/>
        <v>9450</v>
      </c>
      <c r="Q44" s="62">
        <f t="shared" si="5"/>
        <v>9450</v>
      </c>
      <c r="R44" s="62">
        <f t="shared" si="5"/>
        <v>9450</v>
      </c>
      <c r="S44" s="62">
        <f t="shared" si="5"/>
        <v>9450</v>
      </c>
      <c r="T44" s="62">
        <f t="shared" si="5"/>
        <v>9450</v>
      </c>
      <c r="U44" s="62">
        <f t="shared" si="5"/>
        <v>9450</v>
      </c>
      <c r="V44" s="62">
        <f t="shared" si="5"/>
        <v>9450</v>
      </c>
      <c r="W44" s="62">
        <f t="shared" si="5"/>
        <v>9450</v>
      </c>
      <c r="X44" s="62">
        <f t="shared" si="5"/>
        <v>9450</v>
      </c>
      <c r="Y44" s="62">
        <f t="shared" si="5"/>
        <v>9450</v>
      </c>
      <c r="Z44" s="62">
        <f t="shared" si="5"/>
        <v>9450</v>
      </c>
      <c r="AA44" s="62">
        <f t="shared" si="5"/>
        <v>9450</v>
      </c>
      <c r="AB44" s="62">
        <f t="shared" si="5"/>
        <v>9450</v>
      </c>
      <c r="AC44" s="62">
        <f t="shared" si="5"/>
        <v>9450</v>
      </c>
    </row>
    <row r="45" spans="1:29" x14ac:dyDescent="0.25">
      <c r="A45" s="30" t="str">
        <f t="shared" si="3"/>
        <v>Market failure (av. utilization)</v>
      </c>
      <c r="B45" s="62">
        <f t="shared" ref="B45:AC46" si="6">($B25+($C25-$B25)*(1-Q25))*B$44</f>
        <v>6426.0000000000009</v>
      </c>
      <c r="C45" s="62">
        <f t="shared" si="6"/>
        <v>6426.0000000000009</v>
      </c>
      <c r="D45" s="62">
        <f t="shared" si="6"/>
        <v>6426.0000000000009</v>
      </c>
      <c r="E45" s="62">
        <f t="shared" si="6"/>
        <v>6426.0000000000009</v>
      </c>
      <c r="F45" s="62">
        <f t="shared" si="6"/>
        <v>6426.0000000000009</v>
      </c>
      <c r="G45" s="62">
        <f t="shared" si="6"/>
        <v>6426.0000000000009</v>
      </c>
      <c r="H45" s="62">
        <f t="shared" si="6"/>
        <v>6426.0000000000009</v>
      </c>
      <c r="I45" s="62">
        <f t="shared" si="6"/>
        <v>6426.0000000000009</v>
      </c>
      <c r="J45" s="62">
        <f t="shared" si="6"/>
        <v>6426.0000000000009</v>
      </c>
      <c r="K45" s="62">
        <f t="shared" si="6"/>
        <v>6426.0000000000009</v>
      </c>
      <c r="L45" s="62">
        <f t="shared" si="6"/>
        <v>6426.0000000000009</v>
      </c>
      <c r="M45" s="62">
        <f t="shared" si="6"/>
        <v>6426.0000000000009</v>
      </c>
      <c r="N45" s="62">
        <f t="shared" si="6"/>
        <v>6426.0000000000009</v>
      </c>
      <c r="O45" s="62">
        <f t="shared" si="6"/>
        <v>6426.0000000000009</v>
      </c>
      <c r="P45" s="62">
        <f t="shared" si="6"/>
        <v>6426.0000000000009</v>
      </c>
      <c r="Q45" s="62">
        <f t="shared" si="6"/>
        <v>6426.0000000000009</v>
      </c>
      <c r="R45" s="62">
        <f t="shared" si="6"/>
        <v>6426.0000000000009</v>
      </c>
      <c r="S45" s="62">
        <f t="shared" si="6"/>
        <v>6426.0000000000009</v>
      </c>
      <c r="T45" s="62">
        <f t="shared" si="6"/>
        <v>6426.0000000000009</v>
      </c>
      <c r="U45" s="62">
        <f t="shared" si="6"/>
        <v>6426.0000000000009</v>
      </c>
      <c r="V45" s="62">
        <f t="shared" si="6"/>
        <v>6426.0000000000009</v>
      </c>
      <c r="W45" s="62">
        <f t="shared" si="6"/>
        <v>6426.0000000000009</v>
      </c>
      <c r="X45" s="62">
        <f t="shared" si="6"/>
        <v>6426.0000000000009</v>
      </c>
      <c r="Y45" s="62">
        <f t="shared" si="6"/>
        <v>6426.0000000000009</v>
      </c>
      <c r="Z45" s="62">
        <f t="shared" si="6"/>
        <v>6426.0000000000009</v>
      </c>
      <c r="AA45" s="62">
        <f t="shared" si="6"/>
        <v>6426.0000000000009</v>
      </c>
      <c r="AB45" s="62">
        <f t="shared" si="6"/>
        <v>6426.0000000000009</v>
      </c>
      <c r="AC45" s="62">
        <f t="shared" si="6"/>
        <v>6426.0000000000009</v>
      </c>
    </row>
    <row r="46" spans="1:29" x14ac:dyDescent="0.25">
      <c r="A46" s="30" t="s">
        <v>73</v>
      </c>
      <c r="B46" s="62">
        <f t="shared" si="6"/>
        <v>0</v>
      </c>
      <c r="C46" s="62">
        <f t="shared" si="6"/>
        <v>0</v>
      </c>
      <c r="D46" s="62">
        <f t="shared" si="6"/>
        <v>0</v>
      </c>
      <c r="E46" s="62">
        <f t="shared" si="6"/>
        <v>0</v>
      </c>
      <c r="F46" s="62">
        <f t="shared" si="6"/>
        <v>0</v>
      </c>
      <c r="G46" s="62">
        <f t="shared" si="6"/>
        <v>0</v>
      </c>
      <c r="H46" s="62">
        <f t="shared" si="6"/>
        <v>0</v>
      </c>
      <c r="I46" s="62">
        <f t="shared" si="6"/>
        <v>0</v>
      </c>
      <c r="J46" s="62">
        <f t="shared" si="6"/>
        <v>0</v>
      </c>
      <c r="K46" s="62">
        <f t="shared" si="6"/>
        <v>0</v>
      </c>
      <c r="L46" s="62">
        <f t="shared" si="6"/>
        <v>0</v>
      </c>
      <c r="M46" s="62">
        <f t="shared" si="6"/>
        <v>0</v>
      </c>
      <c r="N46" s="62">
        <f t="shared" si="6"/>
        <v>0</v>
      </c>
      <c r="O46" s="62">
        <f t="shared" si="6"/>
        <v>0</v>
      </c>
      <c r="P46" s="62">
        <f t="shared" si="6"/>
        <v>0</v>
      </c>
      <c r="Q46" s="62">
        <f t="shared" si="6"/>
        <v>0</v>
      </c>
      <c r="R46" s="62">
        <f t="shared" si="6"/>
        <v>0</v>
      </c>
      <c r="S46" s="62">
        <f t="shared" si="6"/>
        <v>0</v>
      </c>
      <c r="T46" s="62">
        <f t="shared" si="6"/>
        <v>0</v>
      </c>
      <c r="U46" s="62">
        <f t="shared" si="6"/>
        <v>0</v>
      </c>
      <c r="V46" s="62">
        <f t="shared" si="6"/>
        <v>0</v>
      </c>
      <c r="W46" s="62">
        <f t="shared" si="6"/>
        <v>0</v>
      </c>
      <c r="X46" s="62">
        <f t="shared" si="6"/>
        <v>0</v>
      </c>
      <c r="Y46" s="62">
        <f t="shared" si="6"/>
        <v>0</v>
      </c>
      <c r="Z46" s="62">
        <f t="shared" si="6"/>
        <v>0</v>
      </c>
      <c r="AA46" s="62">
        <f t="shared" si="6"/>
        <v>0</v>
      </c>
      <c r="AB46" s="62">
        <f t="shared" si="6"/>
        <v>0</v>
      </c>
      <c r="AC46" s="62">
        <f t="shared" si="6"/>
        <v>0</v>
      </c>
    </row>
    <row r="47" spans="1:29" x14ac:dyDescent="0.25">
      <c r="A47" s="30" t="str">
        <f>A27</f>
        <v>Annual Mileage</v>
      </c>
      <c r="B47" s="62">
        <f t="shared" ref="B47:AC47" si="7">$B27+($C27-$B27)*(1-Q27)</f>
        <v>120000</v>
      </c>
      <c r="C47" s="62">
        <f t="shared" si="7"/>
        <v>120000</v>
      </c>
      <c r="D47" s="62">
        <f t="shared" si="7"/>
        <v>120000</v>
      </c>
      <c r="E47" s="62">
        <f t="shared" si="7"/>
        <v>120000</v>
      </c>
      <c r="F47" s="62">
        <f t="shared" si="7"/>
        <v>120000</v>
      </c>
      <c r="G47" s="62">
        <f t="shared" si="7"/>
        <v>120000</v>
      </c>
      <c r="H47" s="62">
        <f t="shared" si="7"/>
        <v>120000</v>
      </c>
      <c r="I47" s="62">
        <f t="shared" si="7"/>
        <v>120000</v>
      </c>
      <c r="J47" s="62">
        <f t="shared" si="7"/>
        <v>120000</v>
      </c>
      <c r="K47" s="62">
        <f t="shared" si="7"/>
        <v>120000</v>
      </c>
      <c r="L47" s="62">
        <f t="shared" si="7"/>
        <v>120000</v>
      </c>
      <c r="M47" s="62">
        <f t="shared" si="7"/>
        <v>120000</v>
      </c>
      <c r="N47" s="62">
        <f t="shared" si="7"/>
        <v>120000</v>
      </c>
      <c r="O47" s="62">
        <f t="shared" si="7"/>
        <v>120000</v>
      </c>
      <c r="P47" s="62">
        <f t="shared" si="7"/>
        <v>120000</v>
      </c>
      <c r="Q47" s="62">
        <f t="shared" si="7"/>
        <v>120000</v>
      </c>
      <c r="R47" s="62">
        <f t="shared" si="7"/>
        <v>120000</v>
      </c>
      <c r="S47" s="62">
        <f t="shared" si="7"/>
        <v>120000</v>
      </c>
      <c r="T47" s="62">
        <f t="shared" si="7"/>
        <v>120000</v>
      </c>
      <c r="U47" s="62">
        <f t="shared" si="7"/>
        <v>120000</v>
      </c>
      <c r="V47" s="62">
        <f t="shared" si="7"/>
        <v>120000</v>
      </c>
      <c r="W47" s="62">
        <f t="shared" si="7"/>
        <v>120000</v>
      </c>
      <c r="X47" s="62">
        <f t="shared" si="7"/>
        <v>120000</v>
      </c>
      <c r="Y47" s="62">
        <f t="shared" si="7"/>
        <v>120000</v>
      </c>
      <c r="Z47" s="62">
        <f t="shared" si="7"/>
        <v>120000</v>
      </c>
      <c r="AA47" s="62">
        <f t="shared" si="7"/>
        <v>120000</v>
      </c>
      <c r="AB47" s="62">
        <f t="shared" si="7"/>
        <v>120000</v>
      </c>
      <c r="AC47" s="62">
        <f t="shared" si="7"/>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8">((1+C35)^C42)*C35/(((1+C35)^C42)-1)*(C31)</f>
        <v>1173400.7731841092</v>
      </c>
      <c r="D50" s="63">
        <f t="shared" si="8"/>
        <v>1173400.7731841092</v>
      </c>
      <c r="E50" s="63">
        <f t="shared" si="8"/>
        <v>1173400.7731841092</v>
      </c>
      <c r="F50" s="63">
        <f t="shared" si="8"/>
        <v>1173400.7731841092</v>
      </c>
      <c r="G50" s="63">
        <f t="shared" si="8"/>
        <v>1173400.7731841092</v>
      </c>
      <c r="H50" s="63">
        <f t="shared" si="8"/>
        <v>1173400.7731841092</v>
      </c>
      <c r="I50" s="63">
        <f t="shared" si="8"/>
        <v>1173400.7731841092</v>
      </c>
      <c r="J50" s="63">
        <f t="shared" si="8"/>
        <v>1173400.7731841092</v>
      </c>
      <c r="K50" s="63">
        <f t="shared" si="8"/>
        <v>1173400.7731841092</v>
      </c>
      <c r="L50" s="63">
        <f t="shared" si="8"/>
        <v>1173400.7731841092</v>
      </c>
      <c r="M50" s="63">
        <f t="shared" si="8"/>
        <v>1173400.7731841092</v>
      </c>
      <c r="N50" s="63">
        <f t="shared" si="8"/>
        <v>1173400.7731841092</v>
      </c>
      <c r="O50" s="63">
        <f t="shared" si="8"/>
        <v>1173400.7731841092</v>
      </c>
      <c r="P50" s="63">
        <f t="shared" si="8"/>
        <v>1173400.7731841092</v>
      </c>
      <c r="Q50" s="63">
        <f t="shared" si="8"/>
        <v>1173400.7731841092</v>
      </c>
      <c r="R50" s="63">
        <f t="shared" si="8"/>
        <v>1173400.7731841092</v>
      </c>
      <c r="S50" s="63">
        <f t="shared" si="8"/>
        <v>1173400.7731841092</v>
      </c>
      <c r="T50" s="63">
        <f t="shared" si="8"/>
        <v>1173400.7731841092</v>
      </c>
      <c r="U50" s="63">
        <f t="shared" si="8"/>
        <v>1173400.7731841092</v>
      </c>
      <c r="V50" s="63">
        <f t="shared" si="8"/>
        <v>1173400.7731841092</v>
      </c>
      <c r="W50" s="63">
        <f t="shared" si="8"/>
        <v>1173400.7731841092</v>
      </c>
      <c r="X50" s="63">
        <f t="shared" si="8"/>
        <v>1173400.7731841092</v>
      </c>
      <c r="Y50" s="63">
        <f t="shared" si="8"/>
        <v>1173400.7731841092</v>
      </c>
      <c r="Z50" s="63">
        <f t="shared" si="8"/>
        <v>1173400.7731841092</v>
      </c>
      <c r="AA50" s="63">
        <f t="shared" si="8"/>
        <v>1173400.7731841092</v>
      </c>
      <c r="AB50" s="63">
        <f t="shared" si="8"/>
        <v>1173400.7731841092</v>
      </c>
      <c r="AC50" s="63">
        <f t="shared" si="8"/>
        <v>1173400.7731841092</v>
      </c>
    </row>
    <row r="51" spans="1:33" x14ac:dyDescent="0.25">
      <c r="A51" s="30" t="str">
        <f>A32</f>
        <v>Residual value (vehicle)</v>
      </c>
      <c r="B51" s="62">
        <f>((1+B35)^B42)*B35/(((1+B35)^B42)-1)*(B32)</f>
        <v>-117211.22297816433</v>
      </c>
      <c r="C51" s="62">
        <f t="shared" ref="C51:AC51" si="9">((1+C35)^C42)*C35/(((1+C35)^C42)-1)*(C32)</f>
        <v>-117155.47750703427</v>
      </c>
      <c r="D51" s="62">
        <f t="shared" si="9"/>
        <v>-117075.67910674184</v>
      </c>
      <c r="E51" s="62">
        <f t="shared" si="9"/>
        <v>-116961.52188344915</v>
      </c>
      <c r="F51" s="62">
        <f t="shared" si="9"/>
        <v>-116798.36602132194</v>
      </c>
      <c r="G51" s="62">
        <f t="shared" si="9"/>
        <v>-116565.50734662244</v>
      </c>
      <c r="H51" s="62">
        <f t="shared" si="9"/>
        <v>-116233.85946736432</v>
      </c>
      <c r="I51" s="62">
        <f t="shared" si="9"/>
        <v>-115762.96702113429</v>
      </c>
      <c r="J51" s="62">
        <f t="shared" si="9"/>
        <v>-115097.40579826315</v>
      </c>
      <c r="K51" s="62">
        <f t="shared" si="9"/>
        <v>-114162.96984907117</v>
      </c>
      <c r="L51" s="62">
        <f t="shared" si="9"/>
        <v>-112863.76466894078</v>
      </c>
      <c r="M51" s="62">
        <f t="shared" si="9"/>
        <v>-111082.60297034449</v>
      </c>
      <c r="N51" s="62">
        <f t="shared" si="9"/>
        <v>-108688.91250900239</v>
      </c>
      <c r="O51" s="62">
        <f t="shared" si="9"/>
        <v>-105559.89664903973</v>
      </c>
      <c r="P51" s="62">
        <f t="shared" si="9"/>
        <v>-101619.43004574107</v>
      </c>
      <c r="Q51" s="62">
        <f t="shared" si="9"/>
        <v>-96890.983232894243</v>
      </c>
      <c r="R51" s="62">
        <f t="shared" si="9"/>
        <v>-91544.180152521745</v>
      </c>
      <c r="S51" s="62">
        <f t="shared" si="9"/>
        <v>-85899.582077953528</v>
      </c>
      <c r="T51" s="62">
        <f t="shared" si="9"/>
        <v>-80366.059135568226</v>
      </c>
      <c r="U51" s="62">
        <f t="shared" si="9"/>
        <v>-75328.779301543953</v>
      </c>
      <c r="V51" s="62">
        <f t="shared" si="9"/>
        <v>-71047.808765066002</v>
      </c>
      <c r="W51" s="62">
        <f t="shared" si="9"/>
        <v>-67619.518043732241</v>
      </c>
      <c r="X51" s="62">
        <f t="shared" si="9"/>
        <v>-65003.580064954105</v>
      </c>
      <c r="Y51" s="62">
        <f t="shared" si="9"/>
        <v>-63080.655852023017</v>
      </c>
      <c r="Z51" s="62">
        <f t="shared" si="9"/>
        <v>-61705.792858076449</v>
      </c>
      <c r="AA51" s="62">
        <f t="shared" si="9"/>
        <v>-60742.216938606354</v>
      </c>
      <c r="AB51" s="62">
        <f t="shared" si="9"/>
        <v>-60076.3267522479</v>
      </c>
      <c r="AC51" s="62">
        <f t="shared" si="9"/>
        <v>-59620.624915142049</v>
      </c>
    </row>
    <row r="52" spans="1:33" x14ac:dyDescent="0.25">
      <c r="A52" s="30" t="str">
        <f>A33</f>
        <v>Capex costumization</v>
      </c>
      <c r="B52" s="62">
        <f>((1+B35)^B43)*B35/(((1+B35)^B43)-1)*(B33)</f>
        <v>78226.718212273947</v>
      </c>
      <c r="C52" s="62">
        <f t="shared" ref="C52:AC52" si="10">((1+C35)^C43)*C35/(((1+C35)^C43)-1)*(C33)</f>
        <v>78226.718212273947</v>
      </c>
      <c r="D52" s="62">
        <f t="shared" si="10"/>
        <v>78226.718212273947</v>
      </c>
      <c r="E52" s="62">
        <f t="shared" si="10"/>
        <v>78226.718212273947</v>
      </c>
      <c r="F52" s="62">
        <f t="shared" si="10"/>
        <v>78226.718212273947</v>
      </c>
      <c r="G52" s="62">
        <f t="shared" si="10"/>
        <v>78226.718212273947</v>
      </c>
      <c r="H52" s="62">
        <f t="shared" si="10"/>
        <v>78226.718212273947</v>
      </c>
      <c r="I52" s="62">
        <f t="shared" si="10"/>
        <v>78226.718212273947</v>
      </c>
      <c r="J52" s="62">
        <f t="shared" si="10"/>
        <v>78226.718212273947</v>
      </c>
      <c r="K52" s="62">
        <f t="shared" si="10"/>
        <v>78226.718212273947</v>
      </c>
      <c r="L52" s="62">
        <f t="shared" si="10"/>
        <v>78226.718212273947</v>
      </c>
      <c r="M52" s="62">
        <f t="shared" si="10"/>
        <v>78226.718212273947</v>
      </c>
      <c r="N52" s="62">
        <f t="shared" si="10"/>
        <v>78226.718212273947</v>
      </c>
      <c r="O52" s="62">
        <f t="shared" si="10"/>
        <v>78226.718212273947</v>
      </c>
      <c r="P52" s="62">
        <f t="shared" si="10"/>
        <v>78226.718212273947</v>
      </c>
      <c r="Q52" s="62">
        <f t="shared" si="10"/>
        <v>78226.718212273947</v>
      </c>
      <c r="R52" s="62">
        <f t="shared" si="10"/>
        <v>78226.718212273947</v>
      </c>
      <c r="S52" s="62">
        <f t="shared" si="10"/>
        <v>78226.718212273947</v>
      </c>
      <c r="T52" s="62">
        <f t="shared" si="10"/>
        <v>78226.718212273947</v>
      </c>
      <c r="U52" s="62">
        <f t="shared" si="10"/>
        <v>78226.718212273947</v>
      </c>
      <c r="V52" s="62">
        <f t="shared" si="10"/>
        <v>78226.718212273947</v>
      </c>
      <c r="W52" s="62">
        <f t="shared" si="10"/>
        <v>78226.718212273947</v>
      </c>
      <c r="X52" s="62">
        <f t="shared" si="10"/>
        <v>78226.718212273947</v>
      </c>
      <c r="Y52" s="62">
        <f t="shared" si="10"/>
        <v>78226.718212273947</v>
      </c>
      <c r="Z52" s="62">
        <f t="shared" si="10"/>
        <v>78226.718212273947</v>
      </c>
      <c r="AA52" s="62">
        <f t="shared" si="10"/>
        <v>78226.718212273947</v>
      </c>
      <c r="AB52" s="62">
        <f t="shared" si="10"/>
        <v>78226.718212273947</v>
      </c>
      <c r="AC52" s="62">
        <f t="shared" si="10"/>
        <v>78226.718212273947</v>
      </c>
    </row>
    <row r="53" spans="1:33" x14ac:dyDescent="0.25">
      <c r="A53" s="30" t="str">
        <f>A34</f>
        <v>Residual value (costumization)</v>
      </c>
      <c r="B53" s="62">
        <f>((1+B35)^B43)*B35/(((1+B35)^B43)-1)*(B34)</f>
        <v>-7822.6718212273945</v>
      </c>
      <c r="C53" s="62">
        <f t="shared" ref="C53:AC53" si="11">((1+C35)^C43)*C35/(((1+C35)^C43)-1)*(C34)</f>
        <v>-7822.6718212273945</v>
      </c>
      <c r="D53" s="62">
        <f t="shared" si="11"/>
        <v>-7822.6718212273945</v>
      </c>
      <c r="E53" s="62">
        <f t="shared" si="11"/>
        <v>-7822.6718212273945</v>
      </c>
      <c r="F53" s="62">
        <f t="shared" si="11"/>
        <v>-7822.6718212273945</v>
      </c>
      <c r="G53" s="62">
        <f t="shared" si="11"/>
        <v>-7822.6718212273945</v>
      </c>
      <c r="H53" s="62">
        <f t="shared" si="11"/>
        <v>-7822.6718212273945</v>
      </c>
      <c r="I53" s="62">
        <f t="shared" si="11"/>
        <v>-7822.6718212273945</v>
      </c>
      <c r="J53" s="62">
        <f t="shared" si="11"/>
        <v>-7822.6718212273945</v>
      </c>
      <c r="K53" s="62">
        <f t="shared" si="11"/>
        <v>-7822.6718212273945</v>
      </c>
      <c r="L53" s="62">
        <f t="shared" si="11"/>
        <v>-7822.6718212273945</v>
      </c>
      <c r="M53" s="62">
        <f t="shared" si="11"/>
        <v>-7822.6718212273945</v>
      </c>
      <c r="N53" s="62">
        <f t="shared" si="11"/>
        <v>-7822.6718212273945</v>
      </c>
      <c r="O53" s="62">
        <f t="shared" si="11"/>
        <v>-7822.6718212273945</v>
      </c>
      <c r="P53" s="62">
        <f t="shared" si="11"/>
        <v>-7822.6718212273945</v>
      </c>
      <c r="Q53" s="62">
        <f t="shared" si="11"/>
        <v>-7822.6718212273945</v>
      </c>
      <c r="R53" s="62">
        <f t="shared" si="11"/>
        <v>-7822.6718212273945</v>
      </c>
      <c r="S53" s="62">
        <f t="shared" si="11"/>
        <v>-7822.6718212273945</v>
      </c>
      <c r="T53" s="62">
        <f t="shared" si="11"/>
        <v>-7822.6718212273945</v>
      </c>
      <c r="U53" s="62">
        <f t="shared" si="11"/>
        <v>-7822.6718212273945</v>
      </c>
      <c r="V53" s="62">
        <f t="shared" si="11"/>
        <v>-7822.6718212273945</v>
      </c>
      <c r="W53" s="62">
        <f t="shared" si="11"/>
        <v>-7822.6718212273945</v>
      </c>
      <c r="X53" s="62">
        <f t="shared" si="11"/>
        <v>-7822.6718212273945</v>
      </c>
      <c r="Y53" s="62">
        <f t="shared" si="11"/>
        <v>-7822.6718212273945</v>
      </c>
      <c r="Z53" s="62">
        <f t="shared" si="11"/>
        <v>-7822.6718212273945</v>
      </c>
      <c r="AA53" s="62">
        <f t="shared" si="11"/>
        <v>-7822.6718212273945</v>
      </c>
      <c r="AB53" s="62">
        <f t="shared" si="11"/>
        <v>-7822.6718212273945</v>
      </c>
      <c r="AC53" s="62">
        <f t="shared" si="11"/>
        <v>-7822.6718212273945</v>
      </c>
    </row>
    <row r="54" spans="1:33" x14ac:dyDescent="0.25">
      <c r="A54" s="30" t="str">
        <f t="shared" ref="A54:AC55" si="12">A36</f>
        <v>Opex fix (admin, crew, insurance)</v>
      </c>
      <c r="B54" s="62">
        <f t="shared" si="12"/>
        <v>1208235.294117647</v>
      </c>
      <c r="C54" s="62">
        <f t="shared" si="12"/>
        <v>1208235.294117647</v>
      </c>
      <c r="D54" s="62">
        <f t="shared" si="12"/>
        <v>1208235.294117647</v>
      </c>
      <c r="E54" s="62">
        <f t="shared" si="12"/>
        <v>1208235.294117647</v>
      </c>
      <c r="F54" s="62">
        <f t="shared" si="12"/>
        <v>1208235.294117647</v>
      </c>
      <c r="G54" s="62">
        <f t="shared" si="12"/>
        <v>1208235.294117647</v>
      </c>
      <c r="H54" s="62">
        <f t="shared" si="12"/>
        <v>1208235.294117647</v>
      </c>
      <c r="I54" s="62">
        <f t="shared" si="12"/>
        <v>1208235.294117647</v>
      </c>
      <c r="J54" s="62">
        <f t="shared" si="12"/>
        <v>1208235.294117647</v>
      </c>
      <c r="K54" s="62">
        <f t="shared" si="12"/>
        <v>1208235.294117647</v>
      </c>
      <c r="L54" s="62">
        <f t="shared" si="12"/>
        <v>1208235.294117647</v>
      </c>
      <c r="M54" s="62">
        <f t="shared" si="12"/>
        <v>1208235.294117647</v>
      </c>
      <c r="N54" s="62">
        <f t="shared" si="12"/>
        <v>1208235.294117647</v>
      </c>
      <c r="O54" s="62">
        <f t="shared" si="12"/>
        <v>1208235.294117647</v>
      </c>
      <c r="P54" s="62">
        <f t="shared" si="12"/>
        <v>1208235.294117647</v>
      </c>
      <c r="Q54" s="62">
        <f t="shared" si="12"/>
        <v>1208235.294117647</v>
      </c>
      <c r="R54" s="62">
        <f t="shared" si="12"/>
        <v>1208235.294117647</v>
      </c>
      <c r="S54" s="62">
        <f t="shared" si="12"/>
        <v>1208235.294117647</v>
      </c>
      <c r="T54" s="62">
        <f t="shared" si="12"/>
        <v>1208235.294117647</v>
      </c>
      <c r="U54" s="62">
        <f t="shared" si="12"/>
        <v>1208235.294117647</v>
      </c>
      <c r="V54" s="62">
        <f t="shared" si="12"/>
        <v>1208235.294117647</v>
      </c>
      <c r="W54" s="62">
        <f t="shared" si="12"/>
        <v>1208235.294117647</v>
      </c>
      <c r="X54" s="62">
        <f t="shared" si="12"/>
        <v>1208235.294117647</v>
      </c>
      <c r="Y54" s="62">
        <f t="shared" si="12"/>
        <v>1208235.294117647</v>
      </c>
      <c r="Z54" s="62">
        <f t="shared" si="12"/>
        <v>1208235.294117647</v>
      </c>
      <c r="AA54" s="62">
        <f t="shared" si="12"/>
        <v>1208235.294117647</v>
      </c>
      <c r="AB54" s="62">
        <f t="shared" si="12"/>
        <v>1208235.294117647</v>
      </c>
      <c r="AC54" s="62">
        <f t="shared" si="12"/>
        <v>1208235.294117647</v>
      </c>
    </row>
    <row r="55" spans="1:33" x14ac:dyDescent="0.25">
      <c r="A55" s="30" t="str">
        <f t="shared" si="12"/>
        <v>Opex maintenance &amp; repair</v>
      </c>
      <c r="B55" s="62">
        <f t="shared" si="12"/>
        <v>488235.29411764705</v>
      </c>
      <c r="C55" s="62">
        <f t="shared" si="12"/>
        <v>488235.29411764705</v>
      </c>
      <c r="D55" s="62">
        <f t="shared" si="12"/>
        <v>488235.29411764705</v>
      </c>
      <c r="E55" s="62">
        <f t="shared" si="12"/>
        <v>488235.29411764705</v>
      </c>
      <c r="F55" s="62">
        <f t="shared" si="12"/>
        <v>488235.29411764705</v>
      </c>
      <c r="G55" s="62">
        <f t="shared" si="12"/>
        <v>488235.29411764705</v>
      </c>
      <c r="H55" s="62">
        <f t="shared" si="12"/>
        <v>488235.29411764705</v>
      </c>
      <c r="I55" s="62">
        <f t="shared" si="12"/>
        <v>488235.29411764705</v>
      </c>
      <c r="J55" s="62">
        <f t="shared" si="12"/>
        <v>488235.29411764705</v>
      </c>
      <c r="K55" s="62">
        <f t="shared" si="12"/>
        <v>488235.29411764705</v>
      </c>
      <c r="L55" s="62">
        <f t="shared" si="12"/>
        <v>488235.29411764705</v>
      </c>
      <c r="M55" s="62">
        <f t="shared" si="12"/>
        <v>488235.29411764705</v>
      </c>
      <c r="N55" s="62">
        <f t="shared" si="12"/>
        <v>488235.29411764705</v>
      </c>
      <c r="O55" s="62">
        <f t="shared" si="12"/>
        <v>488235.29411764705</v>
      </c>
      <c r="P55" s="62">
        <f t="shared" si="12"/>
        <v>488235.29411764705</v>
      </c>
      <c r="Q55" s="62">
        <f t="shared" si="12"/>
        <v>488235.29411764705</v>
      </c>
      <c r="R55" s="62">
        <f t="shared" si="12"/>
        <v>488235.29411764705</v>
      </c>
      <c r="S55" s="62">
        <f t="shared" si="12"/>
        <v>488235.29411764705</v>
      </c>
      <c r="T55" s="62">
        <f t="shared" si="12"/>
        <v>488235.29411764705</v>
      </c>
      <c r="U55" s="62">
        <f t="shared" si="12"/>
        <v>488235.29411764705</v>
      </c>
      <c r="V55" s="62">
        <f t="shared" si="12"/>
        <v>488235.29411764705</v>
      </c>
      <c r="W55" s="62">
        <f t="shared" si="12"/>
        <v>488235.29411764705</v>
      </c>
      <c r="X55" s="62">
        <f t="shared" si="12"/>
        <v>488235.29411764705</v>
      </c>
      <c r="Y55" s="62">
        <f t="shared" si="12"/>
        <v>488235.29411764705</v>
      </c>
      <c r="Z55" s="62">
        <f t="shared" si="12"/>
        <v>488235.29411764705</v>
      </c>
      <c r="AA55" s="62">
        <f t="shared" si="12"/>
        <v>488235.29411764705</v>
      </c>
      <c r="AB55" s="62">
        <f t="shared" si="12"/>
        <v>488235.29411764705</v>
      </c>
      <c r="AC55" s="62">
        <f t="shared" si="12"/>
        <v>488235.29411764705</v>
      </c>
    </row>
    <row r="56" spans="1:33" x14ac:dyDescent="0.25">
      <c r="A56" s="30" t="str">
        <f>A38</f>
        <v>Opex var (mode-fees)</v>
      </c>
      <c r="B56" s="149">
        <f>B38*B47</f>
        <v>101496.22349468413</v>
      </c>
      <c r="C56" s="62">
        <f t="shared" ref="C56:AC56" si="13">C38*C47</f>
        <v>101496.22349468413</v>
      </c>
      <c r="D56" s="62">
        <f t="shared" si="13"/>
        <v>101496.22349468413</v>
      </c>
      <c r="E56" s="62">
        <f t="shared" si="13"/>
        <v>101496.22349468413</v>
      </c>
      <c r="F56" s="62">
        <f t="shared" si="13"/>
        <v>101496.22349468413</v>
      </c>
      <c r="G56" s="62">
        <f t="shared" si="13"/>
        <v>101496.22349468413</v>
      </c>
      <c r="H56" s="62">
        <f t="shared" si="13"/>
        <v>101496.22349468413</v>
      </c>
      <c r="I56" s="62">
        <f t="shared" si="13"/>
        <v>101496.22349468413</v>
      </c>
      <c r="J56" s="62">
        <f t="shared" si="13"/>
        <v>101496.22349468413</v>
      </c>
      <c r="K56" s="62">
        <f t="shared" si="13"/>
        <v>101496.22349468413</v>
      </c>
      <c r="L56" s="62">
        <f t="shared" si="13"/>
        <v>101496.22349468413</v>
      </c>
      <c r="M56" s="62">
        <f t="shared" si="13"/>
        <v>101496.22349468413</v>
      </c>
      <c r="N56" s="62">
        <f t="shared" si="13"/>
        <v>101496.22349468413</v>
      </c>
      <c r="O56" s="62">
        <f t="shared" si="13"/>
        <v>101496.22349468413</v>
      </c>
      <c r="P56" s="62">
        <f t="shared" si="13"/>
        <v>101496.22349468413</v>
      </c>
      <c r="Q56" s="62">
        <f t="shared" si="13"/>
        <v>101496.22349468413</v>
      </c>
      <c r="R56" s="62">
        <f t="shared" si="13"/>
        <v>101496.22349468413</v>
      </c>
      <c r="S56" s="62">
        <f t="shared" si="13"/>
        <v>101496.22349468413</v>
      </c>
      <c r="T56" s="62">
        <f t="shared" si="13"/>
        <v>101496.22349468413</v>
      </c>
      <c r="U56" s="62">
        <f t="shared" si="13"/>
        <v>101496.22349468413</v>
      </c>
      <c r="V56" s="62">
        <f t="shared" si="13"/>
        <v>101496.22349468413</v>
      </c>
      <c r="W56" s="62">
        <f t="shared" si="13"/>
        <v>101496.22349468413</v>
      </c>
      <c r="X56" s="62">
        <f t="shared" si="13"/>
        <v>101496.22349468413</v>
      </c>
      <c r="Y56" s="62">
        <f t="shared" si="13"/>
        <v>101496.22349468413</v>
      </c>
      <c r="Z56" s="62">
        <f t="shared" si="13"/>
        <v>101496.22349468413</v>
      </c>
      <c r="AA56" s="62">
        <f t="shared" si="13"/>
        <v>101496.22349468413</v>
      </c>
      <c r="AB56" s="62">
        <f t="shared" si="13"/>
        <v>101496.22349468413</v>
      </c>
      <c r="AC56" s="62">
        <f t="shared" si="13"/>
        <v>101496.22349468413</v>
      </c>
    </row>
    <row r="57" spans="1:33" x14ac:dyDescent="0.25">
      <c r="A57" s="30" t="str">
        <f>A40</f>
        <v>Fuel Cost</v>
      </c>
      <c r="B57" s="62">
        <f>B39*B40*B47</f>
        <v>2016601.6463383522</v>
      </c>
      <c r="C57" s="62">
        <f t="shared" ref="C57:AC57" si="14">C39*C40*C47</f>
        <v>1877396.0596961828</v>
      </c>
      <c r="D57" s="62">
        <f t="shared" si="14"/>
        <v>1738157.8929535446</v>
      </c>
      <c r="E57" s="62">
        <f t="shared" si="14"/>
        <v>1598879.1618886387</v>
      </c>
      <c r="F57" s="62">
        <f t="shared" si="14"/>
        <v>1459551.1447038057</v>
      </c>
      <c r="G57" s="62">
        <f t="shared" si="14"/>
        <v>1320165.2828480438</v>
      </c>
      <c r="H57" s="62">
        <f t="shared" si="14"/>
        <v>1180715.010052663</v>
      </c>
      <c r="I57" s="62">
        <f t="shared" si="14"/>
        <v>1041199.1125372326</v>
      </c>
      <c r="J57" s="62">
        <f t="shared" si="14"/>
        <v>1019284.9225651143</v>
      </c>
      <c r="K57" s="62">
        <f t="shared" si="14"/>
        <v>997072.28353884362</v>
      </c>
      <c r="L57" s="62">
        <f t="shared" si="14"/>
        <v>974465.93581482011</v>
      </c>
      <c r="M57" s="62">
        <f t="shared" si="14"/>
        <v>951355.36975263874</v>
      </c>
      <c r="N57" s="62">
        <f t="shared" si="14"/>
        <v>927626.7897224084</v>
      </c>
      <c r="O57" s="62">
        <f t="shared" si="14"/>
        <v>903188.87759881245</v>
      </c>
      <c r="P57" s="62">
        <f t="shared" si="14"/>
        <v>878014.90025594714</v>
      </c>
      <c r="Q57" s="62">
        <f t="shared" si="14"/>
        <v>852193.9035026104</v>
      </c>
      <c r="R57" s="62">
        <f t="shared" si="14"/>
        <v>825966.87856994744</v>
      </c>
      <c r="S57" s="62">
        <f t="shared" si="14"/>
        <v>799712.58759018383</v>
      </c>
      <c r="T57" s="62">
        <f t="shared" si="14"/>
        <v>773864.94731231174</v>
      </c>
      <c r="U57" s="62">
        <f t="shared" si="14"/>
        <v>748791.94002792984</v>
      </c>
      <c r="V57" s="62">
        <f t="shared" si="14"/>
        <v>724702.19376327144</v>
      </c>
      <c r="W57" s="62">
        <f t="shared" si="14"/>
        <v>701625.60706388811</v>
      </c>
      <c r="X57" s="62">
        <f t="shared" si="14"/>
        <v>679459.03194522974</v>
      </c>
      <c r="Y57" s="62">
        <f t="shared" si="14"/>
        <v>658034.5257560059</v>
      </c>
      <c r="Z57" s="62">
        <f t="shared" si="14"/>
        <v>637174.92248860688</v>
      </c>
      <c r="AA57" s="62">
        <f t="shared" si="14"/>
        <v>616724.92889380688</v>
      </c>
      <c r="AB57" s="62">
        <f t="shared" si="14"/>
        <v>596561.97616320604</v>
      </c>
      <c r="AC57" s="62">
        <f t="shared" si="14"/>
        <v>576595.44474159461</v>
      </c>
    </row>
    <row r="58" spans="1:33" ht="15.75" thickBot="1" x14ac:dyDescent="0.3">
      <c r="A58" s="59" t="str">
        <f>A21</f>
        <v>Emission Cost</v>
      </c>
      <c r="B58" s="62">
        <f>B41*B47</f>
        <v>0</v>
      </c>
      <c r="C58" s="62">
        <f t="shared" ref="C58:AC58" si="15">C41*C47</f>
        <v>0</v>
      </c>
      <c r="D58" s="62">
        <f t="shared" si="15"/>
        <v>0</v>
      </c>
      <c r="E58" s="62">
        <f t="shared" si="15"/>
        <v>0</v>
      </c>
      <c r="F58" s="62">
        <f t="shared" si="15"/>
        <v>0</v>
      </c>
      <c r="G58" s="62">
        <f t="shared" si="15"/>
        <v>0</v>
      </c>
      <c r="H58" s="62">
        <f t="shared" si="15"/>
        <v>0</v>
      </c>
      <c r="I58" s="62">
        <f t="shared" si="15"/>
        <v>0</v>
      </c>
      <c r="J58" s="62">
        <f t="shared" si="15"/>
        <v>0</v>
      </c>
      <c r="K58" s="62">
        <f t="shared" si="15"/>
        <v>0</v>
      </c>
      <c r="L58" s="62">
        <f t="shared" si="15"/>
        <v>0</v>
      </c>
      <c r="M58" s="62">
        <f t="shared" si="15"/>
        <v>0</v>
      </c>
      <c r="N58" s="62">
        <f t="shared" si="15"/>
        <v>0</v>
      </c>
      <c r="O58" s="62">
        <f t="shared" si="15"/>
        <v>0</v>
      </c>
      <c r="P58" s="62">
        <f t="shared" si="15"/>
        <v>0</v>
      </c>
      <c r="Q58" s="62">
        <f t="shared" si="15"/>
        <v>0</v>
      </c>
      <c r="R58" s="62">
        <f t="shared" si="15"/>
        <v>0</v>
      </c>
      <c r="S58" s="62">
        <f t="shared" si="15"/>
        <v>0</v>
      </c>
      <c r="T58" s="62">
        <f t="shared" si="15"/>
        <v>0</v>
      </c>
      <c r="U58" s="62">
        <f t="shared" si="15"/>
        <v>0</v>
      </c>
      <c r="V58" s="62">
        <f t="shared" si="15"/>
        <v>0</v>
      </c>
      <c r="W58" s="62">
        <f t="shared" si="15"/>
        <v>0</v>
      </c>
      <c r="X58" s="62">
        <f t="shared" si="15"/>
        <v>0</v>
      </c>
      <c r="Y58" s="62">
        <f t="shared" si="15"/>
        <v>0</v>
      </c>
      <c r="Z58" s="62">
        <f t="shared" si="15"/>
        <v>0</v>
      </c>
      <c r="AA58" s="62">
        <f t="shared" si="15"/>
        <v>0</v>
      </c>
      <c r="AB58" s="62">
        <f t="shared" si="15"/>
        <v>0</v>
      </c>
      <c r="AC58" s="62">
        <f t="shared" si="15"/>
        <v>0</v>
      </c>
    </row>
    <row r="59" spans="1:33" ht="15.75" thickBot="1" x14ac:dyDescent="0.3">
      <c r="A59" s="31" t="s">
        <v>209</v>
      </c>
      <c r="B59" s="64">
        <f>B50+B51+B52+B53+B54+B55+B56+B57+B58</f>
        <v>4941162.0546653224</v>
      </c>
      <c r="C59" s="64">
        <f t="shared" ref="C59:AC59" si="16">C50+C51+C52+C53+C54+C55+C56+C57+C58</f>
        <v>4802012.2134942831</v>
      </c>
      <c r="D59" s="64">
        <f t="shared" si="16"/>
        <v>4662853.8451519376</v>
      </c>
      <c r="E59" s="64">
        <f t="shared" si="16"/>
        <v>4523689.2713103238</v>
      </c>
      <c r="F59" s="64">
        <f t="shared" si="16"/>
        <v>4384524.4099876182</v>
      </c>
      <c r="G59" s="64">
        <f t="shared" si="16"/>
        <v>4245371.4068065565</v>
      </c>
      <c r="H59" s="64">
        <f t="shared" si="16"/>
        <v>4106252.7818904333</v>
      </c>
      <c r="I59" s="64">
        <f t="shared" si="16"/>
        <v>3967207.7768212329</v>
      </c>
      <c r="J59" s="64">
        <f t="shared" si="16"/>
        <v>3945959.1480719852</v>
      </c>
      <c r="K59" s="64">
        <f t="shared" si="16"/>
        <v>3924680.9449949069</v>
      </c>
      <c r="L59" s="64">
        <f t="shared" si="16"/>
        <v>3903373.8024510136</v>
      </c>
      <c r="M59" s="64">
        <f t="shared" si="16"/>
        <v>3882044.3980874289</v>
      </c>
      <c r="N59" s="64">
        <f t="shared" si="16"/>
        <v>3860709.5085185403</v>
      </c>
      <c r="O59" s="64">
        <f t="shared" si="16"/>
        <v>3839400.6122549069</v>
      </c>
      <c r="P59" s="64">
        <f t="shared" si="16"/>
        <v>3818167.1015153406</v>
      </c>
      <c r="Q59" s="64">
        <f t="shared" si="16"/>
        <v>3797074.5515748505</v>
      </c>
      <c r="R59" s="64">
        <f t="shared" si="16"/>
        <v>3776194.32972256</v>
      </c>
      <c r="S59" s="64">
        <f t="shared" si="16"/>
        <v>3755584.636817365</v>
      </c>
      <c r="T59" s="64">
        <f t="shared" si="16"/>
        <v>3735270.5194818778</v>
      </c>
      <c r="U59" s="64">
        <f t="shared" si="16"/>
        <v>3715234.79203152</v>
      </c>
      <c r="V59" s="64">
        <f t="shared" si="16"/>
        <v>3695426.0163033395</v>
      </c>
      <c r="W59" s="64">
        <f t="shared" si="16"/>
        <v>3675777.7203252902</v>
      </c>
      <c r="X59" s="64">
        <f t="shared" si="16"/>
        <v>3656227.0831854101</v>
      </c>
      <c r="Y59" s="64">
        <f t="shared" si="16"/>
        <v>3636725.5012091175</v>
      </c>
      <c r="Z59" s="64">
        <f t="shared" si="16"/>
        <v>3617240.7609356646</v>
      </c>
      <c r="AA59" s="64">
        <f t="shared" si="16"/>
        <v>3597754.3432603348</v>
      </c>
      <c r="AB59" s="64">
        <f t="shared" si="16"/>
        <v>3578257.2807160928</v>
      </c>
      <c r="AC59" s="64">
        <f t="shared" si="16"/>
        <v>3558746.4511315869</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4876528.5762686767</v>
      </c>
    </row>
    <row r="62" spans="1:33" x14ac:dyDescent="0.25">
      <c r="A62" s="29" t="str">
        <f t="shared" ref="A62:A69" si="17">A50</f>
        <v>Capex vehicle</v>
      </c>
      <c r="B62" s="65">
        <f>((1+B35)^B42)*B35/(((1+B35)^B42)-1)*(B31)/B47</f>
        <v>9.7783397765342439</v>
      </c>
      <c r="C62" s="65">
        <f t="shared" ref="C62:AC62" si="18">((1+C35)^C42)*C35/(((1+C35)^C42)-1)*(C31)/C47</f>
        <v>9.7783397765342439</v>
      </c>
      <c r="D62" s="65">
        <f t="shared" si="18"/>
        <v>9.7783397765342439</v>
      </c>
      <c r="E62" s="65">
        <f t="shared" si="18"/>
        <v>9.7783397765342439</v>
      </c>
      <c r="F62" s="65">
        <f t="shared" si="18"/>
        <v>9.7783397765342439</v>
      </c>
      <c r="G62" s="65">
        <f t="shared" si="18"/>
        <v>9.7783397765342439</v>
      </c>
      <c r="H62" s="65">
        <f t="shared" si="18"/>
        <v>9.7783397765342439</v>
      </c>
      <c r="I62" s="65">
        <f t="shared" si="18"/>
        <v>9.7783397765342439</v>
      </c>
      <c r="J62" s="65">
        <f t="shared" si="18"/>
        <v>9.7783397765342439</v>
      </c>
      <c r="K62" s="65">
        <f t="shared" si="18"/>
        <v>9.7783397765342439</v>
      </c>
      <c r="L62" s="65">
        <f t="shared" si="18"/>
        <v>9.7783397765342439</v>
      </c>
      <c r="M62" s="65">
        <f t="shared" si="18"/>
        <v>9.7783397765342439</v>
      </c>
      <c r="N62" s="65">
        <f t="shared" si="18"/>
        <v>9.7783397765342439</v>
      </c>
      <c r="O62" s="65">
        <f t="shared" si="18"/>
        <v>9.7783397765342439</v>
      </c>
      <c r="P62" s="65">
        <f t="shared" si="18"/>
        <v>9.7783397765342439</v>
      </c>
      <c r="Q62" s="65">
        <f t="shared" si="18"/>
        <v>9.7783397765342439</v>
      </c>
      <c r="R62" s="65">
        <f t="shared" si="18"/>
        <v>9.7783397765342439</v>
      </c>
      <c r="S62" s="65">
        <f t="shared" si="18"/>
        <v>9.7783397765342439</v>
      </c>
      <c r="T62" s="65">
        <f t="shared" si="18"/>
        <v>9.7783397765342439</v>
      </c>
      <c r="U62" s="65">
        <f t="shared" si="18"/>
        <v>9.7783397765342439</v>
      </c>
      <c r="V62" s="65">
        <f t="shared" si="18"/>
        <v>9.7783397765342439</v>
      </c>
      <c r="W62" s="65">
        <f t="shared" si="18"/>
        <v>9.7783397765342439</v>
      </c>
      <c r="X62" s="65">
        <f t="shared" si="18"/>
        <v>9.7783397765342439</v>
      </c>
      <c r="Y62" s="65">
        <f t="shared" si="18"/>
        <v>9.7783397765342439</v>
      </c>
      <c r="Z62" s="65">
        <f t="shared" si="18"/>
        <v>9.7783397765342439</v>
      </c>
      <c r="AA62" s="65">
        <f t="shared" si="18"/>
        <v>9.7783397765342439</v>
      </c>
      <c r="AB62" s="65">
        <f t="shared" si="18"/>
        <v>9.7783397765342439</v>
      </c>
      <c r="AC62" s="65">
        <f t="shared" si="18"/>
        <v>9.7783397765342439</v>
      </c>
      <c r="AG62" s="4">
        <f>AG61/B27</f>
        <v>40.637738135572306</v>
      </c>
    </row>
    <row r="63" spans="1:33" x14ac:dyDescent="0.25">
      <c r="A63" s="30" t="str">
        <f t="shared" si="17"/>
        <v>Residual value (vehicle)</v>
      </c>
      <c r="B63" s="66">
        <f>((1+B35)^B42)*B35/(((1+B35)^B42)-1)*(B32)/B47</f>
        <v>-0.97676019148470272</v>
      </c>
      <c r="C63" s="66">
        <f t="shared" ref="C63:AC63" si="19">((1+C35)^C42)*C35/(((1+C35)^C42)-1)*(C32)/C47</f>
        <v>-0.97629564589195228</v>
      </c>
      <c r="D63" s="66">
        <f t="shared" si="19"/>
        <v>-0.97563065922284864</v>
      </c>
      <c r="E63" s="66">
        <f t="shared" si="19"/>
        <v>-0.97467934902874298</v>
      </c>
      <c r="F63" s="66">
        <f t="shared" si="19"/>
        <v>-0.97331971684434948</v>
      </c>
      <c r="G63" s="66">
        <f t="shared" si="19"/>
        <v>-0.97137922788852038</v>
      </c>
      <c r="H63" s="66">
        <f t="shared" si="19"/>
        <v>-0.96861549556136939</v>
      </c>
      <c r="I63" s="66">
        <f t="shared" si="19"/>
        <v>-0.96469139184278574</v>
      </c>
      <c r="J63" s="66">
        <f t="shared" si="19"/>
        <v>-0.95914504831885961</v>
      </c>
      <c r="K63" s="66">
        <f t="shared" si="19"/>
        <v>-0.95135808207559314</v>
      </c>
      <c r="L63" s="66">
        <f t="shared" si="19"/>
        <v>-0.94053137224117322</v>
      </c>
      <c r="M63" s="66">
        <f t="shared" si="19"/>
        <v>-0.92568835808620409</v>
      </c>
      <c r="N63" s="66">
        <f t="shared" si="19"/>
        <v>-0.90574093757501994</v>
      </c>
      <c r="O63" s="66">
        <f t="shared" si="19"/>
        <v>-0.87966580540866446</v>
      </c>
      <c r="P63" s="66">
        <f t="shared" si="19"/>
        <v>-0.84682858371450898</v>
      </c>
      <c r="Q63" s="66">
        <f t="shared" si="19"/>
        <v>-0.80742486027411864</v>
      </c>
      <c r="R63" s="66">
        <f t="shared" si="19"/>
        <v>-0.7628681679376812</v>
      </c>
      <c r="S63" s="66">
        <f t="shared" si="19"/>
        <v>-0.71582985064961269</v>
      </c>
      <c r="T63" s="66">
        <f t="shared" si="19"/>
        <v>-0.66971715946306853</v>
      </c>
      <c r="U63" s="66">
        <f t="shared" si="19"/>
        <v>-0.62773982751286628</v>
      </c>
      <c r="V63" s="66">
        <f t="shared" si="19"/>
        <v>-0.59206507304221667</v>
      </c>
      <c r="W63" s="66">
        <f t="shared" si="19"/>
        <v>-0.56349598369776865</v>
      </c>
      <c r="X63" s="66">
        <f t="shared" si="19"/>
        <v>-0.54169650054128426</v>
      </c>
      <c r="Y63" s="66">
        <f t="shared" si="19"/>
        <v>-0.52567213210019181</v>
      </c>
      <c r="Z63" s="66">
        <f t="shared" si="19"/>
        <v>-0.51421494048397043</v>
      </c>
      <c r="AA63" s="66">
        <f t="shared" si="19"/>
        <v>-0.50618514115505298</v>
      </c>
      <c r="AB63" s="66">
        <f t="shared" si="19"/>
        <v>-0.50063605626873253</v>
      </c>
      <c r="AC63" s="66">
        <f t="shared" si="19"/>
        <v>-0.49683854095951707</v>
      </c>
    </row>
    <row r="64" spans="1:33" x14ac:dyDescent="0.25">
      <c r="A64" s="30" t="str">
        <f t="shared" si="17"/>
        <v>Capex costumization</v>
      </c>
      <c r="B64" s="66">
        <f>((1+B35)^B43)*B35/(((1+B35)^B43)-1)*(B33)/B47</f>
        <v>0.65188931843561626</v>
      </c>
      <c r="C64" s="66">
        <f t="shared" ref="C64:AC64" si="20">((1+C35)^C43)*C35/(((1+C35)^C43)-1)*(C33)/C47</f>
        <v>0.65188931843561626</v>
      </c>
      <c r="D64" s="66">
        <f t="shared" si="20"/>
        <v>0.65188931843561626</v>
      </c>
      <c r="E64" s="66">
        <f t="shared" si="20"/>
        <v>0.65188931843561626</v>
      </c>
      <c r="F64" s="66">
        <f t="shared" si="20"/>
        <v>0.65188931843561626</v>
      </c>
      <c r="G64" s="66">
        <f t="shared" si="20"/>
        <v>0.65188931843561626</v>
      </c>
      <c r="H64" s="66">
        <f t="shared" si="20"/>
        <v>0.65188931843561626</v>
      </c>
      <c r="I64" s="66">
        <f t="shared" si="20"/>
        <v>0.65188931843561626</v>
      </c>
      <c r="J64" s="66">
        <f t="shared" si="20"/>
        <v>0.65188931843561626</v>
      </c>
      <c r="K64" s="66">
        <f t="shared" si="20"/>
        <v>0.65188931843561626</v>
      </c>
      <c r="L64" s="66">
        <f t="shared" si="20"/>
        <v>0.65188931843561626</v>
      </c>
      <c r="M64" s="66">
        <f t="shared" si="20"/>
        <v>0.65188931843561626</v>
      </c>
      <c r="N64" s="66">
        <f t="shared" si="20"/>
        <v>0.65188931843561626</v>
      </c>
      <c r="O64" s="66">
        <f t="shared" si="20"/>
        <v>0.65188931843561626</v>
      </c>
      <c r="P64" s="66">
        <f t="shared" si="20"/>
        <v>0.65188931843561626</v>
      </c>
      <c r="Q64" s="66">
        <f t="shared" si="20"/>
        <v>0.65188931843561626</v>
      </c>
      <c r="R64" s="66">
        <f t="shared" si="20"/>
        <v>0.65188931843561626</v>
      </c>
      <c r="S64" s="66">
        <f t="shared" si="20"/>
        <v>0.65188931843561626</v>
      </c>
      <c r="T64" s="66">
        <f t="shared" si="20"/>
        <v>0.65188931843561626</v>
      </c>
      <c r="U64" s="66">
        <f t="shared" si="20"/>
        <v>0.65188931843561626</v>
      </c>
      <c r="V64" s="66">
        <f t="shared" si="20"/>
        <v>0.65188931843561626</v>
      </c>
      <c r="W64" s="66">
        <f t="shared" si="20"/>
        <v>0.65188931843561626</v>
      </c>
      <c r="X64" s="66">
        <f t="shared" si="20"/>
        <v>0.65188931843561626</v>
      </c>
      <c r="Y64" s="66">
        <f t="shared" si="20"/>
        <v>0.65188931843561626</v>
      </c>
      <c r="Z64" s="66">
        <f t="shared" si="20"/>
        <v>0.65188931843561626</v>
      </c>
      <c r="AA64" s="66">
        <f t="shared" si="20"/>
        <v>0.65188931843561626</v>
      </c>
      <c r="AB64" s="66">
        <f t="shared" si="20"/>
        <v>0.65188931843561626</v>
      </c>
      <c r="AC64" s="66">
        <f t="shared" si="20"/>
        <v>0.65188931843561626</v>
      </c>
    </row>
    <row r="65" spans="1:29" x14ac:dyDescent="0.25">
      <c r="A65" s="30" t="str">
        <f t="shared" si="17"/>
        <v>Residual value (costumization)</v>
      </c>
      <c r="B65" s="66">
        <f>((1+B35)^B43)*B35/(((1+B35)^B43)-1)*(B34)/B47</f>
        <v>-6.5188931843561615E-2</v>
      </c>
      <c r="C65" s="66">
        <f t="shared" ref="C65:AC65" si="21">((1+C35)^C43)*C35/(((1+C35)^C43)-1)*(C34)/C47</f>
        <v>-6.5188931843561615E-2</v>
      </c>
      <c r="D65" s="66">
        <f t="shared" si="21"/>
        <v>-6.5188931843561615E-2</v>
      </c>
      <c r="E65" s="66">
        <f t="shared" si="21"/>
        <v>-6.5188931843561615E-2</v>
      </c>
      <c r="F65" s="66">
        <f t="shared" si="21"/>
        <v>-6.5188931843561615E-2</v>
      </c>
      <c r="G65" s="66">
        <f t="shared" si="21"/>
        <v>-6.5188931843561615E-2</v>
      </c>
      <c r="H65" s="66">
        <f t="shared" si="21"/>
        <v>-6.5188931843561615E-2</v>
      </c>
      <c r="I65" s="66">
        <f t="shared" si="21"/>
        <v>-6.5188931843561615E-2</v>
      </c>
      <c r="J65" s="66">
        <f t="shared" si="21"/>
        <v>-6.5188931843561615E-2</v>
      </c>
      <c r="K65" s="66">
        <f t="shared" si="21"/>
        <v>-6.5188931843561615E-2</v>
      </c>
      <c r="L65" s="66">
        <f t="shared" si="21"/>
        <v>-6.5188931843561615E-2</v>
      </c>
      <c r="M65" s="66">
        <f t="shared" si="21"/>
        <v>-6.5188931843561615E-2</v>
      </c>
      <c r="N65" s="66">
        <f t="shared" si="21"/>
        <v>-6.5188931843561615E-2</v>
      </c>
      <c r="O65" s="66">
        <f t="shared" si="21"/>
        <v>-6.5188931843561615E-2</v>
      </c>
      <c r="P65" s="66">
        <f t="shared" si="21"/>
        <v>-6.5188931843561615E-2</v>
      </c>
      <c r="Q65" s="66">
        <f t="shared" si="21"/>
        <v>-6.5188931843561615E-2</v>
      </c>
      <c r="R65" s="66">
        <f t="shared" si="21"/>
        <v>-6.5188931843561615E-2</v>
      </c>
      <c r="S65" s="66">
        <f t="shared" si="21"/>
        <v>-6.5188931843561615E-2</v>
      </c>
      <c r="T65" s="66">
        <f t="shared" si="21"/>
        <v>-6.5188931843561615E-2</v>
      </c>
      <c r="U65" s="66">
        <f t="shared" si="21"/>
        <v>-6.5188931843561615E-2</v>
      </c>
      <c r="V65" s="66">
        <f t="shared" si="21"/>
        <v>-6.5188931843561615E-2</v>
      </c>
      <c r="W65" s="66">
        <f t="shared" si="21"/>
        <v>-6.5188931843561615E-2</v>
      </c>
      <c r="X65" s="66">
        <f t="shared" si="21"/>
        <v>-6.5188931843561615E-2</v>
      </c>
      <c r="Y65" s="66">
        <f t="shared" si="21"/>
        <v>-6.5188931843561615E-2</v>
      </c>
      <c r="Z65" s="66">
        <f t="shared" si="21"/>
        <v>-6.5188931843561615E-2</v>
      </c>
      <c r="AA65" s="66">
        <f t="shared" si="21"/>
        <v>-6.5188931843561615E-2</v>
      </c>
      <c r="AB65" s="66">
        <f t="shared" si="21"/>
        <v>-6.5188931843561615E-2</v>
      </c>
      <c r="AC65" s="66">
        <f t="shared" si="21"/>
        <v>-6.5188931843561615E-2</v>
      </c>
    </row>
    <row r="66" spans="1:29" x14ac:dyDescent="0.25">
      <c r="A66" s="30" t="str">
        <f t="shared" si="17"/>
        <v>Opex fix (admin, crew, insurance)</v>
      </c>
      <c r="B66" s="66">
        <f>B36/B47</f>
        <v>10.068627450980392</v>
      </c>
      <c r="C66" s="66">
        <f t="shared" ref="C66:AC66" si="22">C36/C47</f>
        <v>10.068627450980392</v>
      </c>
      <c r="D66" s="66">
        <f t="shared" si="22"/>
        <v>10.068627450980392</v>
      </c>
      <c r="E66" s="66">
        <f t="shared" si="22"/>
        <v>10.068627450980392</v>
      </c>
      <c r="F66" s="66">
        <f t="shared" si="22"/>
        <v>10.068627450980392</v>
      </c>
      <c r="G66" s="66">
        <f t="shared" si="22"/>
        <v>10.068627450980392</v>
      </c>
      <c r="H66" s="66">
        <f t="shared" si="22"/>
        <v>10.068627450980392</v>
      </c>
      <c r="I66" s="66">
        <f t="shared" si="22"/>
        <v>10.068627450980392</v>
      </c>
      <c r="J66" s="66">
        <f t="shared" si="22"/>
        <v>10.068627450980392</v>
      </c>
      <c r="K66" s="66">
        <f t="shared" si="22"/>
        <v>10.068627450980392</v>
      </c>
      <c r="L66" s="66">
        <f t="shared" si="22"/>
        <v>10.068627450980392</v>
      </c>
      <c r="M66" s="66">
        <f t="shared" si="22"/>
        <v>10.068627450980392</v>
      </c>
      <c r="N66" s="66">
        <f t="shared" si="22"/>
        <v>10.068627450980392</v>
      </c>
      <c r="O66" s="66">
        <f t="shared" si="22"/>
        <v>10.068627450980392</v>
      </c>
      <c r="P66" s="66">
        <f t="shared" si="22"/>
        <v>10.068627450980392</v>
      </c>
      <c r="Q66" s="66">
        <f t="shared" si="22"/>
        <v>10.068627450980392</v>
      </c>
      <c r="R66" s="66">
        <f t="shared" si="22"/>
        <v>10.068627450980392</v>
      </c>
      <c r="S66" s="66">
        <f t="shared" si="22"/>
        <v>10.068627450980392</v>
      </c>
      <c r="T66" s="66">
        <f t="shared" si="22"/>
        <v>10.068627450980392</v>
      </c>
      <c r="U66" s="66">
        <f t="shared" si="22"/>
        <v>10.068627450980392</v>
      </c>
      <c r="V66" s="66">
        <f t="shared" si="22"/>
        <v>10.068627450980392</v>
      </c>
      <c r="W66" s="66">
        <f t="shared" si="22"/>
        <v>10.068627450980392</v>
      </c>
      <c r="X66" s="66">
        <f t="shared" si="22"/>
        <v>10.068627450980392</v>
      </c>
      <c r="Y66" s="66">
        <f t="shared" si="22"/>
        <v>10.068627450980392</v>
      </c>
      <c r="Z66" s="66">
        <f t="shared" si="22"/>
        <v>10.068627450980392</v>
      </c>
      <c r="AA66" s="66">
        <f t="shared" si="22"/>
        <v>10.068627450980392</v>
      </c>
      <c r="AB66" s="66">
        <f t="shared" si="22"/>
        <v>10.068627450980392</v>
      </c>
      <c r="AC66" s="66">
        <f t="shared" si="22"/>
        <v>10.068627450980392</v>
      </c>
    </row>
    <row r="67" spans="1:29" x14ac:dyDescent="0.25">
      <c r="A67" s="30" t="str">
        <f t="shared" si="17"/>
        <v>Opex maintenance &amp; repair</v>
      </c>
      <c r="B67" s="66">
        <f>B37/B47</f>
        <v>4.0686274509803919</v>
      </c>
      <c r="C67" s="66">
        <f t="shared" ref="C67:AC67" si="23">C37/C47</f>
        <v>4.0686274509803919</v>
      </c>
      <c r="D67" s="66">
        <f t="shared" si="23"/>
        <v>4.0686274509803919</v>
      </c>
      <c r="E67" s="66">
        <f t="shared" si="23"/>
        <v>4.0686274509803919</v>
      </c>
      <c r="F67" s="66">
        <f t="shared" si="23"/>
        <v>4.0686274509803919</v>
      </c>
      <c r="G67" s="66">
        <f t="shared" si="23"/>
        <v>4.0686274509803919</v>
      </c>
      <c r="H67" s="66">
        <f t="shared" si="23"/>
        <v>4.0686274509803919</v>
      </c>
      <c r="I67" s="66">
        <f t="shared" si="23"/>
        <v>4.0686274509803919</v>
      </c>
      <c r="J67" s="66">
        <f t="shared" si="23"/>
        <v>4.0686274509803919</v>
      </c>
      <c r="K67" s="66">
        <f t="shared" si="23"/>
        <v>4.0686274509803919</v>
      </c>
      <c r="L67" s="66">
        <f t="shared" si="23"/>
        <v>4.0686274509803919</v>
      </c>
      <c r="M67" s="66">
        <f t="shared" si="23"/>
        <v>4.0686274509803919</v>
      </c>
      <c r="N67" s="66">
        <f t="shared" si="23"/>
        <v>4.0686274509803919</v>
      </c>
      <c r="O67" s="66">
        <f t="shared" si="23"/>
        <v>4.0686274509803919</v>
      </c>
      <c r="P67" s="66">
        <f t="shared" si="23"/>
        <v>4.0686274509803919</v>
      </c>
      <c r="Q67" s="66">
        <f t="shared" si="23"/>
        <v>4.0686274509803919</v>
      </c>
      <c r="R67" s="66">
        <f t="shared" si="23"/>
        <v>4.0686274509803919</v>
      </c>
      <c r="S67" s="66">
        <f t="shared" si="23"/>
        <v>4.0686274509803919</v>
      </c>
      <c r="T67" s="66">
        <f t="shared" si="23"/>
        <v>4.0686274509803919</v>
      </c>
      <c r="U67" s="66">
        <f t="shared" si="23"/>
        <v>4.0686274509803919</v>
      </c>
      <c r="V67" s="66">
        <f t="shared" si="23"/>
        <v>4.0686274509803919</v>
      </c>
      <c r="W67" s="66">
        <f t="shared" si="23"/>
        <v>4.0686274509803919</v>
      </c>
      <c r="X67" s="66">
        <f t="shared" si="23"/>
        <v>4.0686274509803919</v>
      </c>
      <c r="Y67" s="66">
        <f t="shared" si="23"/>
        <v>4.0686274509803919</v>
      </c>
      <c r="Z67" s="66">
        <f t="shared" si="23"/>
        <v>4.0686274509803919</v>
      </c>
      <c r="AA67" s="66">
        <f t="shared" si="23"/>
        <v>4.0686274509803919</v>
      </c>
      <c r="AB67" s="66">
        <f t="shared" si="23"/>
        <v>4.0686274509803919</v>
      </c>
      <c r="AC67" s="66">
        <f t="shared" si="23"/>
        <v>4.0686274509803919</v>
      </c>
    </row>
    <row r="68" spans="1:29" x14ac:dyDescent="0.25">
      <c r="A68" s="30" t="str">
        <f t="shared" si="17"/>
        <v>Opex var (mode-fees)</v>
      </c>
      <c r="B68" s="66">
        <f>B38*B47/B47</f>
        <v>0.8458018624557011</v>
      </c>
      <c r="C68" s="66">
        <f t="shared" ref="C68:AC68" si="24">C38*C47/C47</f>
        <v>0.8458018624557011</v>
      </c>
      <c r="D68" s="66">
        <f t="shared" si="24"/>
        <v>0.8458018624557011</v>
      </c>
      <c r="E68" s="66">
        <f t="shared" si="24"/>
        <v>0.8458018624557011</v>
      </c>
      <c r="F68" s="66">
        <f t="shared" si="24"/>
        <v>0.8458018624557011</v>
      </c>
      <c r="G68" s="66">
        <f t="shared" si="24"/>
        <v>0.8458018624557011</v>
      </c>
      <c r="H68" s="66">
        <f t="shared" si="24"/>
        <v>0.8458018624557011</v>
      </c>
      <c r="I68" s="66">
        <f t="shared" si="24"/>
        <v>0.8458018624557011</v>
      </c>
      <c r="J68" s="66">
        <f t="shared" si="24"/>
        <v>0.8458018624557011</v>
      </c>
      <c r="K68" s="66">
        <f t="shared" si="24"/>
        <v>0.8458018624557011</v>
      </c>
      <c r="L68" s="66">
        <f t="shared" si="24"/>
        <v>0.8458018624557011</v>
      </c>
      <c r="M68" s="66">
        <f t="shared" si="24"/>
        <v>0.8458018624557011</v>
      </c>
      <c r="N68" s="66">
        <f t="shared" si="24"/>
        <v>0.8458018624557011</v>
      </c>
      <c r="O68" s="66">
        <f t="shared" si="24"/>
        <v>0.8458018624557011</v>
      </c>
      <c r="P68" s="66">
        <f t="shared" si="24"/>
        <v>0.8458018624557011</v>
      </c>
      <c r="Q68" s="66">
        <f t="shared" si="24"/>
        <v>0.8458018624557011</v>
      </c>
      <c r="R68" s="66">
        <f t="shared" si="24"/>
        <v>0.8458018624557011</v>
      </c>
      <c r="S68" s="66">
        <f t="shared" si="24"/>
        <v>0.8458018624557011</v>
      </c>
      <c r="T68" s="66">
        <f t="shared" si="24"/>
        <v>0.8458018624557011</v>
      </c>
      <c r="U68" s="66">
        <f t="shared" si="24"/>
        <v>0.8458018624557011</v>
      </c>
      <c r="V68" s="66">
        <f t="shared" si="24"/>
        <v>0.8458018624557011</v>
      </c>
      <c r="W68" s="66">
        <f t="shared" si="24"/>
        <v>0.8458018624557011</v>
      </c>
      <c r="X68" s="66">
        <f t="shared" si="24"/>
        <v>0.8458018624557011</v>
      </c>
      <c r="Y68" s="66">
        <f t="shared" si="24"/>
        <v>0.8458018624557011</v>
      </c>
      <c r="Z68" s="66">
        <f t="shared" si="24"/>
        <v>0.8458018624557011</v>
      </c>
      <c r="AA68" s="66">
        <f t="shared" si="24"/>
        <v>0.8458018624557011</v>
      </c>
      <c r="AB68" s="66">
        <f t="shared" si="24"/>
        <v>0.8458018624557011</v>
      </c>
      <c r="AC68" s="66">
        <f t="shared" si="24"/>
        <v>0.8458018624557011</v>
      </c>
    </row>
    <row r="69" spans="1:29" x14ac:dyDescent="0.25">
      <c r="A69" s="30" t="str">
        <f t="shared" si="17"/>
        <v>Fuel Cost</v>
      </c>
      <c r="B69" s="66">
        <f>B39*B40*B47/B47</f>
        <v>16.805013719486269</v>
      </c>
      <c r="C69" s="66">
        <f t="shared" ref="C69:AC69" si="25">C39*C40*C47/C47</f>
        <v>15.644967164134856</v>
      </c>
      <c r="D69" s="66">
        <f t="shared" si="25"/>
        <v>14.484649107946206</v>
      </c>
      <c r="E69" s="66">
        <f t="shared" si="25"/>
        <v>13.323993015738656</v>
      </c>
      <c r="F69" s="66">
        <f t="shared" si="25"/>
        <v>12.162926205865046</v>
      </c>
      <c r="G69" s="66">
        <f t="shared" si="25"/>
        <v>11.001377357067032</v>
      </c>
      <c r="H69" s="66">
        <f t="shared" si="25"/>
        <v>9.8392917504388588</v>
      </c>
      <c r="I69" s="66">
        <f t="shared" si="25"/>
        <v>8.6766592711436044</v>
      </c>
      <c r="J69" s="66">
        <f t="shared" si="25"/>
        <v>8.4940410213759527</v>
      </c>
      <c r="K69" s="66">
        <f t="shared" si="25"/>
        <v>8.3089356961570306</v>
      </c>
      <c r="L69" s="66">
        <f t="shared" si="25"/>
        <v>8.1205494651235011</v>
      </c>
      <c r="M69" s="66">
        <f t="shared" si="25"/>
        <v>7.9279614146053232</v>
      </c>
      <c r="N69" s="66">
        <f t="shared" si="25"/>
        <v>7.7302232476867365</v>
      </c>
      <c r="O69" s="66">
        <f t="shared" si="25"/>
        <v>7.5265739799901041</v>
      </c>
      <c r="P69" s="66">
        <f t="shared" si="25"/>
        <v>7.3167908354662261</v>
      </c>
      <c r="Q69" s="66">
        <f t="shared" si="25"/>
        <v>7.1016158625217534</v>
      </c>
      <c r="R69" s="66">
        <f t="shared" si="25"/>
        <v>6.8830573214162287</v>
      </c>
      <c r="S69" s="66">
        <f t="shared" si="25"/>
        <v>6.6642715632515319</v>
      </c>
      <c r="T69" s="66">
        <f t="shared" si="25"/>
        <v>6.4488745609359315</v>
      </c>
      <c r="U69" s="66">
        <f t="shared" si="25"/>
        <v>6.2399328335660824</v>
      </c>
      <c r="V69" s="66">
        <f t="shared" si="25"/>
        <v>6.0391849480272617</v>
      </c>
      <c r="W69" s="66">
        <f t="shared" si="25"/>
        <v>5.8468800588657341</v>
      </c>
      <c r="X69" s="66">
        <f t="shared" si="25"/>
        <v>5.6621585995435808</v>
      </c>
      <c r="Y69" s="66">
        <f t="shared" si="25"/>
        <v>5.4836210479667162</v>
      </c>
      <c r="Z69" s="66">
        <f t="shared" si="25"/>
        <v>5.3097910207383903</v>
      </c>
      <c r="AA69" s="66">
        <f t="shared" si="25"/>
        <v>5.1393744074483907</v>
      </c>
      <c r="AB69" s="66">
        <f t="shared" si="25"/>
        <v>4.9713498013600503</v>
      </c>
      <c r="AC69" s="66">
        <f t="shared" si="25"/>
        <v>4.8049620395132884</v>
      </c>
    </row>
    <row r="70" spans="1:29" ht="15.75" thickBot="1" x14ac:dyDescent="0.3">
      <c r="A70" s="59" t="str">
        <f>A21</f>
        <v>Emission Cost</v>
      </c>
      <c r="B70" s="66">
        <f>B41</f>
        <v>0</v>
      </c>
      <c r="C70" s="66">
        <f t="shared" ref="C70:AC70" si="26">C41</f>
        <v>0</v>
      </c>
      <c r="D70" s="66">
        <f t="shared" si="26"/>
        <v>0</v>
      </c>
      <c r="E70" s="66">
        <f t="shared" si="26"/>
        <v>0</v>
      </c>
      <c r="F70" s="66">
        <f t="shared" si="26"/>
        <v>0</v>
      </c>
      <c r="G70" s="66">
        <f t="shared" si="26"/>
        <v>0</v>
      </c>
      <c r="H70" s="66">
        <f t="shared" si="26"/>
        <v>0</v>
      </c>
      <c r="I70" s="66">
        <f t="shared" si="26"/>
        <v>0</v>
      </c>
      <c r="J70" s="66">
        <f t="shared" si="26"/>
        <v>0</v>
      </c>
      <c r="K70" s="66">
        <f t="shared" si="26"/>
        <v>0</v>
      </c>
      <c r="L70" s="66">
        <f t="shared" si="26"/>
        <v>0</v>
      </c>
      <c r="M70" s="66">
        <f t="shared" si="26"/>
        <v>0</v>
      </c>
      <c r="N70" s="66">
        <f t="shared" si="26"/>
        <v>0</v>
      </c>
      <c r="O70" s="66">
        <f t="shared" si="26"/>
        <v>0</v>
      </c>
      <c r="P70" s="66">
        <f t="shared" si="26"/>
        <v>0</v>
      </c>
      <c r="Q70" s="66">
        <f t="shared" si="26"/>
        <v>0</v>
      </c>
      <c r="R70" s="66">
        <f t="shared" si="26"/>
        <v>0</v>
      </c>
      <c r="S70" s="66">
        <f t="shared" si="26"/>
        <v>0</v>
      </c>
      <c r="T70" s="66">
        <f t="shared" si="26"/>
        <v>0</v>
      </c>
      <c r="U70" s="66">
        <f t="shared" si="26"/>
        <v>0</v>
      </c>
      <c r="V70" s="66">
        <f t="shared" si="26"/>
        <v>0</v>
      </c>
      <c r="W70" s="66">
        <f t="shared" si="26"/>
        <v>0</v>
      </c>
      <c r="X70" s="66">
        <f t="shared" si="26"/>
        <v>0</v>
      </c>
      <c r="Y70" s="66">
        <f t="shared" si="26"/>
        <v>0</v>
      </c>
      <c r="Z70" s="66">
        <f t="shared" si="26"/>
        <v>0</v>
      </c>
      <c r="AA70" s="66">
        <f t="shared" si="26"/>
        <v>0</v>
      </c>
      <c r="AB70" s="66">
        <f t="shared" si="26"/>
        <v>0</v>
      </c>
      <c r="AC70" s="66">
        <f t="shared" si="26"/>
        <v>0</v>
      </c>
    </row>
    <row r="71" spans="1:29" ht="15.75" thickBot="1" x14ac:dyDescent="0.3">
      <c r="A71" s="31" t="s">
        <v>63</v>
      </c>
      <c r="B71" s="76">
        <f>B62+B63+B64-B65+B66+B67+B68+B69+B70</f>
        <v>41.306728319231475</v>
      </c>
      <c r="C71" s="76">
        <f t="shared" ref="C71:AC71" si="27">C62+C63+C64-C65+C66+C67+C68+C69+C70</f>
        <v>40.147146309472809</v>
      </c>
      <c r="D71" s="76">
        <f t="shared" si="27"/>
        <v>38.98749323995326</v>
      </c>
      <c r="E71" s="76">
        <f t="shared" si="27"/>
        <v>37.827788457939825</v>
      </c>
      <c r="F71" s="76">
        <f t="shared" si="27"/>
        <v>36.668081280250604</v>
      </c>
      <c r="G71" s="76">
        <f t="shared" si="27"/>
        <v>35.508472920408423</v>
      </c>
      <c r="H71" s="76">
        <f t="shared" si="27"/>
        <v>34.349151046107401</v>
      </c>
      <c r="I71" s="76">
        <f t="shared" si="27"/>
        <v>33.190442670530729</v>
      </c>
      <c r="J71" s="76">
        <f t="shared" si="27"/>
        <v>33.013370764287004</v>
      </c>
      <c r="K71" s="76">
        <f t="shared" si="27"/>
        <v>32.836052405311342</v>
      </c>
      <c r="L71" s="76">
        <f t="shared" si="27"/>
        <v>32.658492884112235</v>
      </c>
      <c r="M71" s="76">
        <f t="shared" si="27"/>
        <v>32.480747847749022</v>
      </c>
      <c r="N71" s="76">
        <f t="shared" si="27"/>
        <v>32.302957101341626</v>
      </c>
      <c r="O71" s="76">
        <f t="shared" si="27"/>
        <v>32.125382965811347</v>
      </c>
      <c r="P71" s="76">
        <f t="shared" si="27"/>
        <v>31.948437042981627</v>
      </c>
      <c r="Q71" s="76">
        <f t="shared" si="27"/>
        <v>31.772665793477543</v>
      </c>
      <c r="R71" s="76">
        <f t="shared" si="27"/>
        <v>31.598663944708452</v>
      </c>
      <c r="S71" s="76">
        <f t="shared" si="27"/>
        <v>31.426916503831826</v>
      </c>
      <c r="T71" s="76">
        <f t="shared" si="27"/>
        <v>31.257632192702768</v>
      </c>
      <c r="U71" s="76">
        <f t="shared" si="27"/>
        <v>31.090667797283121</v>
      </c>
      <c r="V71" s="76">
        <f t="shared" si="27"/>
        <v>30.925594666214955</v>
      </c>
      <c r="W71" s="76">
        <f t="shared" si="27"/>
        <v>30.761858866397873</v>
      </c>
      <c r="X71" s="76">
        <f t="shared" si="27"/>
        <v>30.598936890232203</v>
      </c>
      <c r="Y71" s="76">
        <f t="shared" si="27"/>
        <v>30.436423707096431</v>
      </c>
      <c r="Z71" s="76">
        <f t="shared" si="27"/>
        <v>30.274050871484331</v>
      </c>
      <c r="AA71" s="76">
        <f t="shared" si="27"/>
        <v>30.111664057523246</v>
      </c>
      <c r="AB71" s="76">
        <f t="shared" si="27"/>
        <v>29.949188536321223</v>
      </c>
      <c r="AC71" s="76">
        <f t="shared" si="27"/>
        <v>29.786598289783679</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8">A50</f>
        <v>Capex vehicle</v>
      </c>
      <c r="B74" s="65">
        <f>((1+B35)^B42)*B35/(((1+B35)^B42)-1)*(B31)/B47/(B44)</f>
        <v>1.0347449498978036E-3</v>
      </c>
      <c r="C74" s="65">
        <f t="shared" ref="C74:AC74" si="29">((1+C35)^C42)*C35/(((1+C35)^C42)-1)*(C31)/C47/(C44)</f>
        <v>1.0347449498978036E-3</v>
      </c>
      <c r="D74" s="65">
        <f t="shared" si="29"/>
        <v>1.0347449498978036E-3</v>
      </c>
      <c r="E74" s="65">
        <f t="shared" si="29"/>
        <v>1.0347449498978036E-3</v>
      </c>
      <c r="F74" s="65">
        <f t="shared" si="29"/>
        <v>1.0347449498978036E-3</v>
      </c>
      <c r="G74" s="65">
        <f t="shared" si="29"/>
        <v>1.0347449498978036E-3</v>
      </c>
      <c r="H74" s="65">
        <f t="shared" si="29"/>
        <v>1.0347449498978036E-3</v>
      </c>
      <c r="I74" s="65">
        <f t="shared" si="29"/>
        <v>1.0347449498978036E-3</v>
      </c>
      <c r="J74" s="65">
        <f t="shared" si="29"/>
        <v>1.0347449498978036E-3</v>
      </c>
      <c r="K74" s="65">
        <f t="shared" si="29"/>
        <v>1.0347449498978036E-3</v>
      </c>
      <c r="L74" s="65">
        <f t="shared" si="29"/>
        <v>1.0347449498978036E-3</v>
      </c>
      <c r="M74" s="65">
        <f t="shared" si="29"/>
        <v>1.0347449498978036E-3</v>
      </c>
      <c r="N74" s="65">
        <f t="shared" si="29"/>
        <v>1.0347449498978036E-3</v>
      </c>
      <c r="O74" s="65">
        <f t="shared" si="29"/>
        <v>1.0347449498978036E-3</v>
      </c>
      <c r="P74" s="65">
        <f t="shared" si="29"/>
        <v>1.0347449498978036E-3</v>
      </c>
      <c r="Q74" s="65">
        <f t="shared" si="29"/>
        <v>1.0347449498978036E-3</v>
      </c>
      <c r="R74" s="65">
        <f t="shared" si="29"/>
        <v>1.0347449498978036E-3</v>
      </c>
      <c r="S74" s="65">
        <f t="shared" si="29"/>
        <v>1.0347449498978036E-3</v>
      </c>
      <c r="T74" s="65">
        <f t="shared" si="29"/>
        <v>1.0347449498978036E-3</v>
      </c>
      <c r="U74" s="65">
        <f t="shared" si="29"/>
        <v>1.0347449498978036E-3</v>
      </c>
      <c r="V74" s="65">
        <f t="shared" si="29"/>
        <v>1.0347449498978036E-3</v>
      </c>
      <c r="W74" s="65">
        <f t="shared" si="29"/>
        <v>1.0347449498978036E-3</v>
      </c>
      <c r="X74" s="65">
        <f t="shared" si="29"/>
        <v>1.0347449498978036E-3</v>
      </c>
      <c r="Y74" s="65">
        <f t="shared" si="29"/>
        <v>1.0347449498978036E-3</v>
      </c>
      <c r="Z74" s="65">
        <f t="shared" si="29"/>
        <v>1.0347449498978036E-3</v>
      </c>
      <c r="AA74" s="65">
        <f t="shared" si="29"/>
        <v>1.0347449498978036E-3</v>
      </c>
      <c r="AB74" s="65">
        <f t="shared" si="29"/>
        <v>1.0347449498978036E-3</v>
      </c>
      <c r="AC74" s="65">
        <f t="shared" si="29"/>
        <v>1.0347449498978036E-3</v>
      </c>
    </row>
    <row r="75" spans="1:29" x14ac:dyDescent="0.25">
      <c r="A75" s="30" t="str">
        <f t="shared" si="28"/>
        <v>Residual value (vehicle)</v>
      </c>
      <c r="B75" s="68">
        <f>((1+B35)^B42)*B35/(((1+B35)^B42)-1)*(B32)/B47/(B44)</f>
        <v>-1.0336086682377807E-4</v>
      </c>
      <c r="C75" s="68">
        <f t="shared" ref="C75:AC75" si="30">((1+C35)^C42)*C35/(((1+C35)^C42)-1)*(C32)/C47/(C44)</f>
        <v>-1.0331170855999495E-4</v>
      </c>
      <c r="D75" s="68">
        <f t="shared" si="30"/>
        <v>-1.0324133960030145E-4</v>
      </c>
      <c r="E75" s="68">
        <f t="shared" si="30"/>
        <v>-1.0314067185489343E-4</v>
      </c>
      <c r="F75" s="68">
        <f t="shared" si="30"/>
        <v>-1.0299679543326449E-4</v>
      </c>
      <c r="G75" s="68">
        <f t="shared" si="30"/>
        <v>-1.0279145268661591E-4</v>
      </c>
      <c r="H75" s="68">
        <f t="shared" si="30"/>
        <v>-1.0249899423929835E-4</v>
      </c>
      <c r="I75" s="68">
        <f t="shared" si="30"/>
        <v>-1.0208374516854875E-4</v>
      </c>
      <c r="J75" s="68">
        <f t="shared" si="30"/>
        <v>-1.0149683050993223E-4</v>
      </c>
      <c r="K75" s="68">
        <f t="shared" si="30"/>
        <v>-1.0067281291805218E-4</v>
      </c>
      <c r="L75" s="68">
        <f t="shared" si="30"/>
        <v>-9.9527129337690295E-5</v>
      </c>
      <c r="M75" s="68">
        <f t="shared" si="30"/>
        <v>-9.7956440009122124E-5</v>
      </c>
      <c r="N75" s="68">
        <f t="shared" si="30"/>
        <v>-9.5845601859790468E-5</v>
      </c>
      <c r="O75" s="68">
        <f t="shared" si="30"/>
        <v>-9.3086328614673487E-5</v>
      </c>
      <c r="P75" s="68">
        <f t="shared" si="30"/>
        <v>-8.9611490340159677E-5</v>
      </c>
      <c r="Q75" s="68">
        <f t="shared" si="30"/>
        <v>-8.5441784155991385E-5</v>
      </c>
      <c r="R75" s="68">
        <f t="shared" si="30"/>
        <v>-8.0726790257955685E-5</v>
      </c>
      <c r="S75" s="68">
        <f t="shared" si="30"/>
        <v>-7.5749190544932557E-5</v>
      </c>
      <c r="T75" s="68">
        <f t="shared" si="30"/>
        <v>-7.086954068392259E-5</v>
      </c>
      <c r="U75" s="68">
        <f t="shared" si="30"/>
        <v>-6.6427494974906487E-5</v>
      </c>
      <c r="V75" s="68">
        <f t="shared" si="30"/>
        <v>-6.2652388681716054E-5</v>
      </c>
      <c r="W75" s="68">
        <f t="shared" si="30"/>
        <v>-5.9629204624102501E-5</v>
      </c>
      <c r="X75" s="68">
        <f t="shared" si="30"/>
        <v>-5.7322381009659713E-5</v>
      </c>
      <c r="Y75" s="68">
        <f t="shared" si="30"/>
        <v>-5.5626680645522941E-5</v>
      </c>
      <c r="Z75" s="68">
        <f t="shared" si="30"/>
        <v>-5.4414279416293167E-5</v>
      </c>
      <c r="AA75" s="68">
        <f t="shared" si="30"/>
        <v>-5.3564565201592909E-5</v>
      </c>
      <c r="AB75" s="68">
        <f t="shared" si="30"/>
        <v>-5.2977360451717727E-5</v>
      </c>
      <c r="AC75" s="68">
        <f t="shared" si="30"/>
        <v>-5.2575506979843073E-5</v>
      </c>
    </row>
    <row r="76" spans="1:29" x14ac:dyDescent="0.25">
      <c r="A76" s="30" t="str">
        <f t="shared" si="28"/>
        <v>Capex costumization</v>
      </c>
      <c r="B76" s="66">
        <f>((1+B35)^B43)*B35/(((1+B35)^B43)-1)*(B33)/B47/(B44)</f>
        <v>6.8982996659853576E-5</v>
      </c>
      <c r="C76" s="66">
        <f t="shared" ref="C76:AC76" si="31">((1+C35)^C43)*C35/(((1+C35)^C43)-1)*(C33)/C47/(C44)</f>
        <v>6.8982996659853576E-5</v>
      </c>
      <c r="D76" s="66">
        <f t="shared" si="31"/>
        <v>6.8982996659853576E-5</v>
      </c>
      <c r="E76" s="66">
        <f t="shared" si="31"/>
        <v>6.8982996659853576E-5</v>
      </c>
      <c r="F76" s="66">
        <f t="shared" si="31"/>
        <v>6.8982996659853576E-5</v>
      </c>
      <c r="G76" s="66">
        <f t="shared" si="31"/>
        <v>6.8982996659853576E-5</v>
      </c>
      <c r="H76" s="66">
        <f t="shared" si="31"/>
        <v>6.8982996659853576E-5</v>
      </c>
      <c r="I76" s="66">
        <f t="shared" si="31"/>
        <v>6.8982996659853576E-5</v>
      </c>
      <c r="J76" s="66">
        <f t="shared" si="31"/>
        <v>6.8982996659853576E-5</v>
      </c>
      <c r="K76" s="66">
        <f t="shared" si="31"/>
        <v>6.8982996659853576E-5</v>
      </c>
      <c r="L76" s="66">
        <f t="shared" si="31"/>
        <v>6.8982996659853576E-5</v>
      </c>
      <c r="M76" s="66">
        <f t="shared" si="31"/>
        <v>6.8982996659853576E-5</v>
      </c>
      <c r="N76" s="66">
        <f t="shared" si="31"/>
        <v>6.8982996659853576E-5</v>
      </c>
      <c r="O76" s="66">
        <f t="shared" si="31"/>
        <v>6.8982996659853576E-5</v>
      </c>
      <c r="P76" s="66">
        <f t="shared" si="31"/>
        <v>6.8982996659853576E-5</v>
      </c>
      <c r="Q76" s="66">
        <f t="shared" si="31"/>
        <v>6.8982996659853576E-5</v>
      </c>
      <c r="R76" s="66">
        <f t="shared" si="31"/>
        <v>6.8982996659853576E-5</v>
      </c>
      <c r="S76" s="66">
        <f t="shared" si="31"/>
        <v>6.8982996659853576E-5</v>
      </c>
      <c r="T76" s="66">
        <f t="shared" si="31"/>
        <v>6.8982996659853576E-5</v>
      </c>
      <c r="U76" s="66">
        <f t="shared" si="31"/>
        <v>6.8982996659853576E-5</v>
      </c>
      <c r="V76" s="66">
        <f t="shared" si="31"/>
        <v>6.8982996659853576E-5</v>
      </c>
      <c r="W76" s="66">
        <f t="shared" si="31"/>
        <v>6.8982996659853576E-5</v>
      </c>
      <c r="X76" s="66">
        <f t="shared" si="31"/>
        <v>6.8982996659853576E-5</v>
      </c>
      <c r="Y76" s="66">
        <f t="shared" si="31"/>
        <v>6.8982996659853576E-5</v>
      </c>
      <c r="Z76" s="66">
        <f t="shared" si="31"/>
        <v>6.8982996659853576E-5</v>
      </c>
      <c r="AA76" s="66">
        <f t="shared" si="31"/>
        <v>6.8982996659853576E-5</v>
      </c>
      <c r="AB76" s="66">
        <f t="shared" si="31"/>
        <v>6.8982996659853576E-5</v>
      </c>
      <c r="AC76" s="66">
        <f t="shared" si="31"/>
        <v>6.8982996659853576E-5</v>
      </c>
    </row>
    <row r="77" spans="1:29" x14ac:dyDescent="0.25">
      <c r="A77" s="30" t="str">
        <f t="shared" si="28"/>
        <v>Residual value (costumization)</v>
      </c>
      <c r="B77" s="69">
        <f>((1+B35)^B43)*B35/(((1+B35)^B43)-1)*(B34)/B47/(B44)</f>
        <v>-6.8982996659853564E-6</v>
      </c>
      <c r="C77" s="69">
        <f t="shared" ref="C77:AC77" si="32">((1+C35)^C43)*C35/(((1+C35)^C43)-1)*(C34)/C47/(C44)</f>
        <v>-6.8982996659853564E-6</v>
      </c>
      <c r="D77" s="69">
        <f t="shared" si="32"/>
        <v>-6.8982996659853564E-6</v>
      </c>
      <c r="E77" s="69">
        <f t="shared" si="32"/>
        <v>-6.8982996659853564E-6</v>
      </c>
      <c r="F77" s="69">
        <f t="shared" si="32"/>
        <v>-6.8982996659853564E-6</v>
      </c>
      <c r="G77" s="69">
        <f t="shared" si="32"/>
        <v>-6.8982996659853564E-6</v>
      </c>
      <c r="H77" s="69">
        <f t="shared" si="32"/>
        <v>-6.8982996659853564E-6</v>
      </c>
      <c r="I77" s="69">
        <f t="shared" si="32"/>
        <v>-6.8982996659853564E-6</v>
      </c>
      <c r="J77" s="69">
        <f t="shared" si="32"/>
        <v>-6.8982996659853564E-6</v>
      </c>
      <c r="K77" s="69">
        <f t="shared" si="32"/>
        <v>-6.8982996659853564E-6</v>
      </c>
      <c r="L77" s="69">
        <f t="shared" si="32"/>
        <v>-6.8982996659853564E-6</v>
      </c>
      <c r="M77" s="69">
        <f t="shared" si="32"/>
        <v>-6.8982996659853564E-6</v>
      </c>
      <c r="N77" s="69">
        <f t="shared" si="32"/>
        <v>-6.8982996659853564E-6</v>
      </c>
      <c r="O77" s="69">
        <f t="shared" si="32"/>
        <v>-6.8982996659853564E-6</v>
      </c>
      <c r="P77" s="69">
        <f t="shared" si="32"/>
        <v>-6.8982996659853564E-6</v>
      </c>
      <c r="Q77" s="69">
        <f t="shared" si="32"/>
        <v>-6.8982996659853564E-6</v>
      </c>
      <c r="R77" s="69">
        <f t="shared" si="32"/>
        <v>-6.8982996659853564E-6</v>
      </c>
      <c r="S77" s="69">
        <f t="shared" si="32"/>
        <v>-6.8982996659853564E-6</v>
      </c>
      <c r="T77" s="69">
        <f t="shared" si="32"/>
        <v>-6.8982996659853564E-6</v>
      </c>
      <c r="U77" s="69">
        <f t="shared" si="32"/>
        <v>-6.8982996659853564E-6</v>
      </c>
      <c r="V77" s="69">
        <f t="shared" si="32"/>
        <v>-6.8982996659853564E-6</v>
      </c>
      <c r="W77" s="69">
        <f t="shared" si="32"/>
        <v>-6.8982996659853564E-6</v>
      </c>
      <c r="X77" s="69">
        <f t="shared" si="32"/>
        <v>-6.8982996659853564E-6</v>
      </c>
      <c r="Y77" s="69">
        <f t="shared" si="32"/>
        <v>-6.8982996659853564E-6</v>
      </c>
      <c r="Z77" s="69">
        <f t="shared" si="32"/>
        <v>-6.8982996659853564E-6</v>
      </c>
      <c r="AA77" s="69">
        <f t="shared" si="32"/>
        <v>-6.8982996659853564E-6</v>
      </c>
      <c r="AB77" s="69">
        <f t="shared" si="32"/>
        <v>-6.8982996659853564E-6</v>
      </c>
      <c r="AC77" s="69">
        <f t="shared" si="32"/>
        <v>-6.8982996659853564E-6</v>
      </c>
    </row>
    <row r="78" spans="1:29" x14ac:dyDescent="0.25">
      <c r="A78" s="30" t="str">
        <f t="shared" si="28"/>
        <v>Opex fix (admin, crew, insurance)</v>
      </c>
      <c r="B78" s="66">
        <f>B36/B47/(B44)</f>
        <v>1.0654632223259673E-3</v>
      </c>
      <c r="C78" s="66">
        <f t="shared" ref="C78:AC78" si="33">C36/C47/(C44)</f>
        <v>1.0654632223259673E-3</v>
      </c>
      <c r="D78" s="66">
        <f t="shared" si="33"/>
        <v>1.0654632223259673E-3</v>
      </c>
      <c r="E78" s="66">
        <f t="shared" si="33"/>
        <v>1.0654632223259673E-3</v>
      </c>
      <c r="F78" s="66">
        <f t="shared" si="33"/>
        <v>1.0654632223259673E-3</v>
      </c>
      <c r="G78" s="66">
        <f t="shared" si="33"/>
        <v>1.0654632223259673E-3</v>
      </c>
      <c r="H78" s="66">
        <f t="shared" si="33"/>
        <v>1.0654632223259673E-3</v>
      </c>
      <c r="I78" s="66">
        <f t="shared" si="33"/>
        <v>1.0654632223259673E-3</v>
      </c>
      <c r="J78" s="66">
        <f t="shared" si="33"/>
        <v>1.0654632223259673E-3</v>
      </c>
      <c r="K78" s="66">
        <f t="shared" si="33"/>
        <v>1.0654632223259673E-3</v>
      </c>
      <c r="L78" s="66">
        <f t="shared" si="33"/>
        <v>1.0654632223259673E-3</v>
      </c>
      <c r="M78" s="66">
        <f t="shared" si="33"/>
        <v>1.0654632223259673E-3</v>
      </c>
      <c r="N78" s="66">
        <f t="shared" si="33"/>
        <v>1.0654632223259673E-3</v>
      </c>
      <c r="O78" s="66">
        <f t="shared" si="33"/>
        <v>1.0654632223259673E-3</v>
      </c>
      <c r="P78" s="66">
        <f t="shared" si="33"/>
        <v>1.0654632223259673E-3</v>
      </c>
      <c r="Q78" s="66">
        <f t="shared" si="33"/>
        <v>1.0654632223259673E-3</v>
      </c>
      <c r="R78" s="66">
        <f t="shared" si="33"/>
        <v>1.0654632223259673E-3</v>
      </c>
      <c r="S78" s="66">
        <f t="shared" si="33"/>
        <v>1.0654632223259673E-3</v>
      </c>
      <c r="T78" s="66">
        <f t="shared" si="33"/>
        <v>1.0654632223259673E-3</v>
      </c>
      <c r="U78" s="66">
        <f t="shared" si="33"/>
        <v>1.0654632223259673E-3</v>
      </c>
      <c r="V78" s="66">
        <f t="shared" si="33"/>
        <v>1.0654632223259673E-3</v>
      </c>
      <c r="W78" s="66">
        <f t="shared" si="33"/>
        <v>1.0654632223259673E-3</v>
      </c>
      <c r="X78" s="66">
        <f t="shared" si="33"/>
        <v>1.0654632223259673E-3</v>
      </c>
      <c r="Y78" s="66">
        <f t="shared" si="33"/>
        <v>1.0654632223259673E-3</v>
      </c>
      <c r="Z78" s="66">
        <f t="shared" si="33"/>
        <v>1.0654632223259673E-3</v>
      </c>
      <c r="AA78" s="66">
        <f t="shared" si="33"/>
        <v>1.0654632223259673E-3</v>
      </c>
      <c r="AB78" s="66">
        <f t="shared" si="33"/>
        <v>1.0654632223259673E-3</v>
      </c>
      <c r="AC78" s="66">
        <f t="shared" si="33"/>
        <v>1.0654632223259673E-3</v>
      </c>
    </row>
    <row r="79" spans="1:29" x14ac:dyDescent="0.25">
      <c r="A79" s="30" t="str">
        <f t="shared" si="28"/>
        <v>Opex maintenance &amp; repair</v>
      </c>
      <c r="B79" s="66">
        <f>B37/B47/(B44)</f>
        <v>4.305425874053325E-4</v>
      </c>
      <c r="C79" s="66">
        <f t="shared" ref="C79:AC79" si="34">C37/C47/(C44)</f>
        <v>4.305425874053325E-4</v>
      </c>
      <c r="D79" s="66">
        <f t="shared" si="34"/>
        <v>4.305425874053325E-4</v>
      </c>
      <c r="E79" s="66">
        <f t="shared" si="34"/>
        <v>4.305425874053325E-4</v>
      </c>
      <c r="F79" s="66">
        <f t="shared" si="34"/>
        <v>4.305425874053325E-4</v>
      </c>
      <c r="G79" s="66">
        <f t="shared" si="34"/>
        <v>4.305425874053325E-4</v>
      </c>
      <c r="H79" s="66">
        <f t="shared" si="34"/>
        <v>4.305425874053325E-4</v>
      </c>
      <c r="I79" s="66">
        <f t="shared" si="34"/>
        <v>4.305425874053325E-4</v>
      </c>
      <c r="J79" s="66">
        <f t="shared" si="34"/>
        <v>4.305425874053325E-4</v>
      </c>
      <c r="K79" s="66">
        <f t="shared" si="34"/>
        <v>4.305425874053325E-4</v>
      </c>
      <c r="L79" s="66">
        <f t="shared" si="34"/>
        <v>4.305425874053325E-4</v>
      </c>
      <c r="M79" s="66">
        <f t="shared" si="34"/>
        <v>4.305425874053325E-4</v>
      </c>
      <c r="N79" s="66">
        <f t="shared" si="34"/>
        <v>4.305425874053325E-4</v>
      </c>
      <c r="O79" s="66">
        <f t="shared" si="34"/>
        <v>4.305425874053325E-4</v>
      </c>
      <c r="P79" s="66">
        <f t="shared" si="34"/>
        <v>4.305425874053325E-4</v>
      </c>
      <c r="Q79" s="66">
        <f t="shared" si="34"/>
        <v>4.305425874053325E-4</v>
      </c>
      <c r="R79" s="66">
        <f t="shared" si="34"/>
        <v>4.305425874053325E-4</v>
      </c>
      <c r="S79" s="66">
        <f t="shared" si="34"/>
        <v>4.305425874053325E-4</v>
      </c>
      <c r="T79" s="66">
        <f t="shared" si="34"/>
        <v>4.305425874053325E-4</v>
      </c>
      <c r="U79" s="66">
        <f t="shared" si="34"/>
        <v>4.305425874053325E-4</v>
      </c>
      <c r="V79" s="66">
        <f t="shared" si="34"/>
        <v>4.305425874053325E-4</v>
      </c>
      <c r="W79" s="66">
        <f t="shared" si="34"/>
        <v>4.305425874053325E-4</v>
      </c>
      <c r="X79" s="66">
        <f t="shared" si="34"/>
        <v>4.305425874053325E-4</v>
      </c>
      <c r="Y79" s="66">
        <f t="shared" si="34"/>
        <v>4.305425874053325E-4</v>
      </c>
      <c r="Z79" s="66">
        <f t="shared" si="34"/>
        <v>4.305425874053325E-4</v>
      </c>
      <c r="AA79" s="66">
        <f t="shared" si="34"/>
        <v>4.305425874053325E-4</v>
      </c>
      <c r="AB79" s="66">
        <f t="shared" si="34"/>
        <v>4.305425874053325E-4</v>
      </c>
      <c r="AC79" s="66">
        <f t="shared" si="34"/>
        <v>4.305425874053325E-4</v>
      </c>
    </row>
    <row r="80" spans="1:29" x14ac:dyDescent="0.25">
      <c r="A80" s="30" t="str">
        <f t="shared" si="28"/>
        <v>Opex var (mode-fees)</v>
      </c>
      <c r="B80" s="66">
        <f>B38*B47/B47/(B44)</f>
        <v>8.9502842587904882E-5</v>
      </c>
      <c r="C80" s="66">
        <f t="shared" ref="C80:AC80" si="35">C38*C47/C47/(C44)</f>
        <v>8.9502842587904882E-5</v>
      </c>
      <c r="D80" s="66">
        <f t="shared" si="35"/>
        <v>8.9502842587904882E-5</v>
      </c>
      <c r="E80" s="66">
        <f t="shared" si="35"/>
        <v>8.9502842587904882E-5</v>
      </c>
      <c r="F80" s="66">
        <f t="shared" si="35"/>
        <v>8.9502842587904882E-5</v>
      </c>
      <c r="G80" s="66">
        <f t="shared" si="35"/>
        <v>8.9502842587904882E-5</v>
      </c>
      <c r="H80" s="66">
        <f t="shared" si="35"/>
        <v>8.9502842587904882E-5</v>
      </c>
      <c r="I80" s="66">
        <f t="shared" si="35"/>
        <v>8.9502842587904882E-5</v>
      </c>
      <c r="J80" s="66">
        <f t="shared" si="35"/>
        <v>8.9502842587904882E-5</v>
      </c>
      <c r="K80" s="66">
        <f t="shared" si="35"/>
        <v>8.9502842587904882E-5</v>
      </c>
      <c r="L80" s="66">
        <f t="shared" si="35"/>
        <v>8.9502842587904882E-5</v>
      </c>
      <c r="M80" s="66">
        <f t="shared" si="35"/>
        <v>8.9502842587904882E-5</v>
      </c>
      <c r="N80" s="66">
        <f t="shared" si="35"/>
        <v>8.9502842587904882E-5</v>
      </c>
      <c r="O80" s="66">
        <f t="shared" si="35"/>
        <v>8.9502842587904882E-5</v>
      </c>
      <c r="P80" s="66">
        <f t="shared" si="35"/>
        <v>8.9502842587904882E-5</v>
      </c>
      <c r="Q80" s="66">
        <f t="shared" si="35"/>
        <v>8.9502842587904882E-5</v>
      </c>
      <c r="R80" s="66">
        <f t="shared" si="35"/>
        <v>8.9502842587904882E-5</v>
      </c>
      <c r="S80" s="66">
        <f t="shared" si="35"/>
        <v>8.9502842587904882E-5</v>
      </c>
      <c r="T80" s="66">
        <f t="shared" si="35"/>
        <v>8.9502842587904882E-5</v>
      </c>
      <c r="U80" s="66">
        <f t="shared" si="35"/>
        <v>8.9502842587904882E-5</v>
      </c>
      <c r="V80" s="66">
        <f t="shared" si="35"/>
        <v>8.9502842587904882E-5</v>
      </c>
      <c r="W80" s="66">
        <f t="shared" si="35"/>
        <v>8.9502842587904882E-5</v>
      </c>
      <c r="X80" s="66">
        <f t="shared" si="35"/>
        <v>8.9502842587904882E-5</v>
      </c>
      <c r="Y80" s="66">
        <f t="shared" si="35"/>
        <v>8.9502842587904882E-5</v>
      </c>
      <c r="Z80" s="66">
        <f t="shared" si="35"/>
        <v>8.9502842587904882E-5</v>
      </c>
      <c r="AA80" s="66">
        <f t="shared" si="35"/>
        <v>8.9502842587904882E-5</v>
      </c>
      <c r="AB80" s="66">
        <f t="shared" si="35"/>
        <v>8.9502842587904882E-5</v>
      </c>
      <c r="AC80" s="66">
        <f t="shared" si="35"/>
        <v>8.9502842587904882E-5</v>
      </c>
    </row>
    <row r="81" spans="1:29" x14ac:dyDescent="0.25">
      <c r="A81" s="30" t="str">
        <f t="shared" si="28"/>
        <v>Fuel Cost</v>
      </c>
      <c r="B81" s="66">
        <f>B39*B40*B47/B47/(B44)</f>
        <v>1.7783083301043669E-3</v>
      </c>
      <c r="C81" s="66">
        <f t="shared" ref="C81:AC81" si="36">C39*C40*C47/C47/(C44)</f>
        <v>1.6555520808608313E-3</v>
      </c>
      <c r="D81" s="66">
        <f t="shared" si="36"/>
        <v>1.5327671013699688E-3</v>
      </c>
      <c r="E81" s="66">
        <f t="shared" si="36"/>
        <v>1.4099463508718156E-3</v>
      </c>
      <c r="F81" s="66">
        <f t="shared" si="36"/>
        <v>1.2870821381867775E-3</v>
      </c>
      <c r="G81" s="66">
        <f t="shared" si="36"/>
        <v>1.1641669160917494E-3</v>
      </c>
      <c r="H81" s="66">
        <f t="shared" si="36"/>
        <v>1.0411948942263343E-3</v>
      </c>
      <c r="I81" s="66">
        <f t="shared" si="36"/>
        <v>9.1816500223741845E-4</v>
      </c>
      <c r="J81" s="66">
        <f t="shared" si="36"/>
        <v>8.9884031972232309E-4</v>
      </c>
      <c r="K81" s="66">
        <f t="shared" si="36"/>
        <v>8.7925245461979165E-4</v>
      </c>
      <c r="L81" s="66">
        <f t="shared" si="36"/>
        <v>8.5931740371677264E-4</v>
      </c>
      <c r="M81" s="66">
        <f t="shared" si="36"/>
        <v>8.3893771583125115E-4</v>
      </c>
      <c r="N81" s="66">
        <f t="shared" si="36"/>
        <v>8.1801304208325249E-4</v>
      </c>
      <c r="O81" s="66">
        <f t="shared" si="36"/>
        <v>7.9646285502540785E-4</v>
      </c>
      <c r="P81" s="66">
        <f t="shared" si="36"/>
        <v>7.7426358047261656E-4</v>
      </c>
      <c r="Q81" s="66">
        <f t="shared" si="36"/>
        <v>7.5149374206579401E-4</v>
      </c>
      <c r="R81" s="66">
        <f t="shared" si="36"/>
        <v>7.2836585411811946E-4</v>
      </c>
      <c r="S81" s="66">
        <f t="shared" si="36"/>
        <v>7.0521392203719919E-4</v>
      </c>
      <c r="T81" s="66">
        <f t="shared" si="36"/>
        <v>6.8242058845882875E-4</v>
      </c>
      <c r="U81" s="66">
        <f t="shared" si="36"/>
        <v>6.6031035275831561E-4</v>
      </c>
      <c r="V81" s="66">
        <f t="shared" si="36"/>
        <v>6.3906719026743505E-4</v>
      </c>
      <c r="W81" s="66">
        <f t="shared" si="36"/>
        <v>6.1871746654663853E-4</v>
      </c>
      <c r="X81" s="66">
        <f t="shared" si="36"/>
        <v>5.991702221739239E-4</v>
      </c>
      <c r="Y81" s="66">
        <f t="shared" si="36"/>
        <v>5.8027735957319753E-4</v>
      </c>
      <c r="Z81" s="66">
        <f t="shared" si="36"/>
        <v>5.6188264769718417E-4</v>
      </c>
      <c r="AA81" s="66">
        <f t="shared" si="36"/>
        <v>5.4384914364533239E-4</v>
      </c>
      <c r="AB81" s="66">
        <f t="shared" si="36"/>
        <v>5.260687620486826E-4</v>
      </c>
      <c r="AC81" s="66">
        <f t="shared" si="36"/>
        <v>5.0846159148288761E-4</v>
      </c>
    </row>
    <row r="82" spans="1:29" x14ac:dyDescent="0.25">
      <c r="A82" s="59" t="str">
        <f>A45</f>
        <v>Market failure (av. utilization)</v>
      </c>
      <c r="B82" s="66">
        <f t="shared" ref="B82:AC82" si="37">B71/B45-B71/B44</f>
        <v>2.0569799349757336E-3</v>
      </c>
      <c r="C82" s="66">
        <f t="shared" si="37"/>
        <v>1.9992354215734968E-3</v>
      </c>
      <c r="D82" s="66">
        <f t="shared" si="37"/>
        <v>1.9414873695588293E-3</v>
      </c>
      <c r="E82" s="66">
        <f t="shared" si="37"/>
        <v>1.8837367423810668E-3</v>
      </c>
      <c r="F82" s="66">
        <f t="shared" si="37"/>
        <v>1.825985995904169E-3</v>
      </c>
      <c r="G82" s="66">
        <f t="shared" si="37"/>
        <v>1.7682401703284609E-3</v>
      </c>
      <c r="H82" s="66">
        <f t="shared" si="37"/>
        <v>1.7105086110728858E-3</v>
      </c>
      <c r="I82" s="66">
        <f t="shared" si="37"/>
        <v>1.6528076026408071E-3</v>
      </c>
      <c r="J82" s="66">
        <f t="shared" si="37"/>
        <v>1.6439898295318761E-3</v>
      </c>
      <c r="K82" s="66">
        <f t="shared" si="37"/>
        <v>1.635159783644511E-3</v>
      </c>
      <c r="L82" s="66">
        <f t="shared" si="37"/>
        <v>1.6263177284338484E-3</v>
      </c>
      <c r="M82" s="66">
        <f t="shared" si="37"/>
        <v>1.6174664349952817E-3</v>
      </c>
      <c r="N82" s="66">
        <f t="shared" si="37"/>
        <v>1.6086128653017922E-3</v>
      </c>
      <c r="O82" s="66">
        <f t="shared" si="37"/>
        <v>1.5997700823310963E-3</v>
      </c>
      <c r="P82" s="66">
        <f t="shared" si="37"/>
        <v>1.5909585829060251E-3</v>
      </c>
      <c r="Q82" s="66">
        <f t="shared" si="37"/>
        <v>1.5822055795071282E-3</v>
      </c>
      <c r="R82" s="66">
        <f t="shared" si="37"/>
        <v>1.5735406881896511E-3</v>
      </c>
      <c r="S82" s="66">
        <f t="shared" si="37"/>
        <v>1.564988061192994E-3</v>
      </c>
      <c r="T82" s="66">
        <f t="shared" si="37"/>
        <v>1.5565580923848246E-3</v>
      </c>
      <c r="U82" s="66">
        <f t="shared" si="37"/>
        <v>1.5482436500358849E-3</v>
      </c>
      <c r="V82" s="66">
        <f t="shared" si="37"/>
        <v>1.5400233882957954E-3</v>
      </c>
      <c r="W82" s="66">
        <f t="shared" si="37"/>
        <v>1.5318697225719445E-3</v>
      </c>
      <c r="X82" s="66">
        <f t="shared" si="37"/>
        <v>1.5237565833915814E-3</v>
      </c>
      <c r="Y82" s="66">
        <f t="shared" si="37"/>
        <v>1.5156638011625981E-3</v>
      </c>
      <c r="Z82" s="66">
        <f t="shared" si="37"/>
        <v>1.5075780079170532E-3</v>
      </c>
      <c r="AA82" s="66">
        <f t="shared" si="37"/>
        <v>1.4994915185819226E-3</v>
      </c>
      <c r="AB82" s="66">
        <f t="shared" si="37"/>
        <v>1.491400611830499E-3</v>
      </c>
      <c r="AC82" s="66">
        <f t="shared" si="37"/>
        <v>1.4833039920215956E-3</v>
      </c>
    </row>
    <row r="83" spans="1:29" x14ac:dyDescent="0.25">
      <c r="A83" s="59" t="str">
        <f>A46</f>
        <v>Payload loss (fuel)</v>
      </c>
      <c r="B83" s="66">
        <f>B71/(B44-B46)-B71/B44</f>
        <v>0</v>
      </c>
      <c r="C83" s="66">
        <f t="shared" ref="C83:AC83" si="38">C71/(C44-C46)-C71/C44</f>
        <v>0</v>
      </c>
      <c r="D83" s="66">
        <f t="shared" si="38"/>
        <v>0</v>
      </c>
      <c r="E83" s="66">
        <f t="shared" si="38"/>
        <v>0</v>
      </c>
      <c r="F83" s="66">
        <f t="shared" si="38"/>
        <v>0</v>
      </c>
      <c r="G83" s="66">
        <f t="shared" si="38"/>
        <v>0</v>
      </c>
      <c r="H83" s="66">
        <f t="shared" si="38"/>
        <v>0</v>
      </c>
      <c r="I83" s="66">
        <f t="shared" si="38"/>
        <v>0</v>
      </c>
      <c r="J83" s="66">
        <f t="shared" si="38"/>
        <v>0</v>
      </c>
      <c r="K83" s="66">
        <f t="shared" si="38"/>
        <v>0</v>
      </c>
      <c r="L83" s="66">
        <f t="shared" si="38"/>
        <v>0</v>
      </c>
      <c r="M83" s="66">
        <f t="shared" si="38"/>
        <v>0</v>
      </c>
      <c r="N83" s="66">
        <f t="shared" si="38"/>
        <v>0</v>
      </c>
      <c r="O83" s="66">
        <f t="shared" si="38"/>
        <v>0</v>
      </c>
      <c r="P83" s="66">
        <f t="shared" si="38"/>
        <v>0</v>
      </c>
      <c r="Q83" s="66">
        <f t="shared" si="38"/>
        <v>0</v>
      </c>
      <c r="R83" s="66">
        <f t="shared" si="38"/>
        <v>0</v>
      </c>
      <c r="S83" s="66">
        <f t="shared" si="38"/>
        <v>0</v>
      </c>
      <c r="T83" s="66">
        <f t="shared" si="38"/>
        <v>0</v>
      </c>
      <c r="U83" s="66">
        <f t="shared" si="38"/>
        <v>0</v>
      </c>
      <c r="V83" s="66">
        <f t="shared" si="38"/>
        <v>0</v>
      </c>
      <c r="W83" s="66">
        <f t="shared" si="38"/>
        <v>0</v>
      </c>
      <c r="X83" s="66">
        <f t="shared" si="38"/>
        <v>0</v>
      </c>
      <c r="Y83" s="66">
        <f t="shared" si="38"/>
        <v>0</v>
      </c>
      <c r="Z83" s="66">
        <f t="shared" si="38"/>
        <v>0</v>
      </c>
      <c r="AA83" s="66">
        <f t="shared" si="38"/>
        <v>0</v>
      </c>
      <c r="AB83" s="66">
        <f t="shared" si="38"/>
        <v>0</v>
      </c>
      <c r="AC83" s="66">
        <f t="shared" si="38"/>
        <v>0</v>
      </c>
    </row>
    <row r="84" spans="1:29" ht="15.75" thickBot="1" x14ac:dyDescent="0.3">
      <c r="A84" s="59" t="str">
        <f>A21</f>
        <v>Emission Cost</v>
      </c>
      <c r="B84" s="68">
        <f>B41*B47/B47/(B44)</f>
        <v>0</v>
      </c>
      <c r="C84" s="68">
        <f t="shared" ref="C84:AC84" si="39">C41*C47/C47/(C44)</f>
        <v>0</v>
      </c>
      <c r="D84" s="68">
        <f t="shared" si="39"/>
        <v>0</v>
      </c>
      <c r="E84" s="68">
        <f t="shared" si="39"/>
        <v>0</v>
      </c>
      <c r="F84" s="68">
        <f t="shared" si="39"/>
        <v>0</v>
      </c>
      <c r="G84" s="68">
        <f t="shared" si="39"/>
        <v>0</v>
      </c>
      <c r="H84" s="68">
        <f t="shared" si="39"/>
        <v>0</v>
      </c>
      <c r="I84" s="68">
        <f t="shared" si="39"/>
        <v>0</v>
      </c>
      <c r="J84" s="68">
        <f t="shared" si="39"/>
        <v>0</v>
      </c>
      <c r="K84" s="68">
        <f t="shared" si="39"/>
        <v>0</v>
      </c>
      <c r="L84" s="68">
        <f t="shared" si="39"/>
        <v>0</v>
      </c>
      <c r="M84" s="68">
        <f t="shared" si="39"/>
        <v>0</v>
      </c>
      <c r="N84" s="68">
        <f t="shared" si="39"/>
        <v>0</v>
      </c>
      <c r="O84" s="68">
        <f t="shared" si="39"/>
        <v>0</v>
      </c>
      <c r="P84" s="68">
        <f t="shared" si="39"/>
        <v>0</v>
      </c>
      <c r="Q84" s="68">
        <f t="shared" si="39"/>
        <v>0</v>
      </c>
      <c r="R84" s="68">
        <f t="shared" si="39"/>
        <v>0</v>
      </c>
      <c r="S84" s="68">
        <f t="shared" si="39"/>
        <v>0</v>
      </c>
      <c r="T84" s="68">
        <f t="shared" si="39"/>
        <v>0</v>
      </c>
      <c r="U84" s="68">
        <f t="shared" si="39"/>
        <v>0</v>
      </c>
      <c r="V84" s="68">
        <f t="shared" si="39"/>
        <v>0</v>
      </c>
      <c r="W84" s="68">
        <f t="shared" si="39"/>
        <v>0</v>
      </c>
      <c r="X84" s="68">
        <f t="shared" si="39"/>
        <v>0</v>
      </c>
      <c r="Y84" s="68">
        <f t="shared" si="39"/>
        <v>0</v>
      </c>
      <c r="Z84" s="68">
        <f t="shared" si="39"/>
        <v>0</v>
      </c>
      <c r="AA84" s="68">
        <f t="shared" si="39"/>
        <v>0</v>
      </c>
      <c r="AB84" s="68">
        <f t="shared" si="39"/>
        <v>0</v>
      </c>
      <c r="AC84" s="68">
        <f t="shared" si="39"/>
        <v>0</v>
      </c>
    </row>
    <row r="85" spans="1:29" ht="15.75" thickBot="1" x14ac:dyDescent="0.3">
      <c r="A85" s="31" t="s">
        <v>210</v>
      </c>
      <c r="B85" s="77">
        <f>B74+B75+B76+B77+B78+B79+B80+B81+B82+B83+B84</f>
        <v>6.4142656974671992E-3</v>
      </c>
      <c r="C85" s="77">
        <f t="shared" ref="C85:AC85" si="40">C74+C75+C76+C77+C78+C79+C80+C81+C82+C83+C84</f>
        <v>6.2338140930852095E-3</v>
      </c>
      <c r="D85" s="77">
        <f t="shared" si="40"/>
        <v>6.0533514305393735E-3</v>
      </c>
      <c r="E85" s="77">
        <f t="shared" si="40"/>
        <v>5.8728807206088656E-3</v>
      </c>
      <c r="F85" s="77">
        <f t="shared" si="40"/>
        <v>5.692409637868559E-3</v>
      </c>
      <c r="G85" s="77">
        <f t="shared" si="40"/>
        <v>5.5119539329444717E-3</v>
      </c>
      <c r="H85" s="77">
        <f t="shared" si="40"/>
        <v>5.3315428102707983E-3</v>
      </c>
      <c r="I85" s="77">
        <f t="shared" si="40"/>
        <v>5.1512271589205533E-3</v>
      </c>
      <c r="J85" s="77">
        <f t="shared" si="40"/>
        <v>5.1236716179551434E-3</v>
      </c>
      <c r="K85" s="77">
        <f t="shared" si="40"/>
        <v>5.096077724557127E-3</v>
      </c>
      <c r="L85" s="77">
        <f t="shared" si="40"/>
        <v>5.0684463020238078E-3</v>
      </c>
      <c r="M85" s="77">
        <f t="shared" si="40"/>
        <v>5.0407860100282875E-3</v>
      </c>
      <c r="N85" s="77">
        <f t="shared" si="40"/>
        <v>5.0131186047361305E-3</v>
      </c>
      <c r="O85" s="77">
        <f t="shared" si="40"/>
        <v>4.985484907952707E-3</v>
      </c>
      <c r="P85" s="77">
        <f t="shared" si="40"/>
        <v>4.9579489722493585E-3</v>
      </c>
      <c r="Q85" s="77">
        <f t="shared" si="40"/>
        <v>4.9305958366278081E-3</v>
      </c>
      <c r="R85" s="77">
        <f t="shared" si="40"/>
        <v>4.9035180512606909E-3</v>
      </c>
      <c r="S85" s="77">
        <f t="shared" si="40"/>
        <v>4.8767910918961366E-3</v>
      </c>
      <c r="T85" s="77">
        <f t="shared" si="40"/>
        <v>4.8504474393706067E-3</v>
      </c>
      <c r="U85" s="77">
        <f t="shared" si="40"/>
        <v>4.8244648070301707E-3</v>
      </c>
      <c r="V85" s="77">
        <f t="shared" si="40"/>
        <v>4.798776489092391E-3</v>
      </c>
      <c r="W85" s="77">
        <f t="shared" si="40"/>
        <v>4.7732962837053576E-3</v>
      </c>
      <c r="X85" s="77">
        <f t="shared" si="40"/>
        <v>4.7479427237667217E-3</v>
      </c>
      <c r="Y85" s="77">
        <f t="shared" si="40"/>
        <v>4.7226527793011487E-3</v>
      </c>
      <c r="Z85" s="77">
        <f t="shared" si="40"/>
        <v>4.6973846754088215E-3</v>
      </c>
      <c r="AA85" s="77">
        <f t="shared" si="40"/>
        <v>4.672114396236539E-3</v>
      </c>
      <c r="AB85" s="77">
        <f t="shared" si="40"/>
        <v>4.6468303126383399E-3</v>
      </c>
      <c r="AC85" s="77">
        <f t="shared" si="40"/>
        <v>4.6215283757355171E-3</v>
      </c>
    </row>
    <row r="87" spans="1:29" x14ac:dyDescent="0.25">
      <c r="B87" s="40"/>
    </row>
    <row r="107" spans="1:2" s="3" customFormat="1" ht="21" x14ac:dyDescent="0.35">
      <c r="A107" s="2" t="str">
        <f>'Parameter Input'!A223</f>
        <v>Short-sea: Container</v>
      </c>
    </row>
    <row r="108" spans="1:2" s="3" customFormat="1" ht="21" x14ac:dyDescent="0.35">
      <c r="A108" s="2" t="s">
        <v>280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Input'!$L$224</f>
        <v>15000000</v>
      </c>
      <c r="C117" s="42">
        <f>'Parameter Input'!$M$224</f>
        <v>15000000</v>
      </c>
      <c r="D117" s="1" t="s">
        <v>15</v>
      </c>
      <c r="L117" s="51">
        <f>'Parameter Input'!$O$212</f>
        <v>17</v>
      </c>
      <c r="M117" s="52">
        <v>0</v>
      </c>
      <c r="N117" s="52">
        <v>1</v>
      </c>
      <c r="O117" s="52">
        <f>'Parameter Input'!$P$212</f>
        <v>0.9</v>
      </c>
      <c r="P117" s="53">
        <f>'Parameter Input'!$Q$212</f>
        <v>0.4</v>
      </c>
      <c r="Q117" s="4">
        <f t="shared" ref="Q117:AR126" si="41">$N117+($M117-$N117)*((1/(1+EXP(-$P117*(Q$9-$L117)))^$O117))</f>
        <v>0.99780374543478534</v>
      </c>
      <c r="R117" s="4">
        <f t="shared" si="41"/>
        <v>0.99685359315256394</v>
      </c>
      <c r="S117" s="4">
        <f t="shared" si="41"/>
        <v>0.99549347132349975</v>
      </c>
      <c r="T117" s="4">
        <f t="shared" si="41"/>
        <v>0.99354772139898062</v>
      </c>
      <c r="U117" s="4">
        <f t="shared" si="41"/>
        <v>0.99076681540580536</v>
      </c>
      <c r="V117" s="4">
        <f t="shared" si="41"/>
        <v>0.9867978615748374</v>
      </c>
      <c r="W117" s="4">
        <f t="shared" si="41"/>
        <v>0.98114509762858249</v>
      </c>
      <c r="X117" s="4">
        <f t="shared" si="41"/>
        <v>0.97311898315872036</v>
      </c>
      <c r="Y117" s="4">
        <f t="shared" si="41"/>
        <v>0.96177484161592774</v>
      </c>
      <c r="Z117" s="4">
        <f t="shared" si="41"/>
        <v>0.94584787155511363</v>
      </c>
      <c r="AA117" s="4">
        <f t="shared" si="41"/>
        <v>0.92370360150141495</v>
      </c>
      <c r="AB117" s="4">
        <f t="shared" si="41"/>
        <v>0.89334463567658451</v>
      </c>
      <c r="AC117" s="4">
        <f t="shared" si="41"/>
        <v>0.85254543874327005</v>
      </c>
      <c r="AD117" s="4">
        <f t="shared" si="41"/>
        <v>0.79921300652623883</v>
      </c>
      <c r="AE117" s="4">
        <f t="shared" si="41"/>
        <v>0.73204982249993378</v>
      </c>
      <c r="AF117" s="4">
        <f t="shared" si="41"/>
        <v>0.65145592958786691</v>
      </c>
      <c r="AG117" s="4">
        <f t="shared" si="41"/>
        <v>0.56032247880849573</v>
      </c>
      <c r="AH117" s="4">
        <f t="shared" si="41"/>
        <v>0.46411326873185343</v>
      </c>
      <c r="AI117" s="4">
        <f t="shared" si="41"/>
        <v>0.36979727595523937</v>
      </c>
      <c r="AJ117" s="4">
        <f t="shared" si="41"/>
        <v>0.28393948637231203</v>
      </c>
      <c r="AK117" s="4">
        <f t="shared" si="41"/>
        <v>0.21097259161117732</v>
      </c>
      <c r="AL117" s="4">
        <f t="shared" si="41"/>
        <v>0.15253917653798199</v>
      </c>
      <c r="AM117" s="4">
        <f t="shared" si="41"/>
        <v>0.10795188737709993</v>
      </c>
      <c r="AN117" s="4">
        <f t="shared" si="41"/>
        <v>7.5176653938091809E-2</v>
      </c>
      <c r="AO117" s="4">
        <f t="shared" si="41"/>
        <v>5.1742836177502194E-2</v>
      </c>
      <c r="AP117" s="4">
        <f t="shared" si="41"/>
        <v>3.5319190625345942E-2</v>
      </c>
      <c r="AQ117" s="4">
        <f t="shared" si="41"/>
        <v>2.3969442072658165E-2</v>
      </c>
      <c r="AR117" s="4">
        <f t="shared" si="41"/>
        <v>1.6202243558389728E-2</v>
      </c>
    </row>
    <row r="118" spans="1:44" x14ac:dyDescent="0.25">
      <c r="A118" s="24" t="s">
        <v>28</v>
      </c>
      <c r="B118" s="60">
        <f>'Parameter Input'!$L$225</f>
        <v>-1500000</v>
      </c>
      <c r="C118" s="61">
        <f>'Parameter Input'!$M$225</f>
        <v>-750000</v>
      </c>
      <c r="D118" s="1" t="s">
        <v>15</v>
      </c>
      <c r="L118" s="54">
        <f>'Parameter Input'!$O$213</f>
        <v>17</v>
      </c>
      <c r="M118" s="37">
        <v>0</v>
      </c>
      <c r="N118" s="37">
        <v>1</v>
      </c>
      <c r="O118" s="37">
        <f>'Parameter Input'!$P$213</f>
        <v>0.9</v>
      </c>
      <c r="P118" s="55">
        <f>'Parameter Input'!$Q$213</f>
        <v>0.4</v>
      </c>
      <c r="Q118" s="4">
        <f t="shared" si="41"/>
        <v>0.99780374543478534</v>
      </c>
      <c r="R118" s="4">
        <f t="shared" si="41"/>
        <v>0.99685359315256394</v>
      </c>
      <c r="S118" s="4">
        <f t="shared" si="41"/>
        <v>0.99549347132349975</v>
      </c>
      <c r="T118" s="4">
        <f t="shared" si="41"/>
        <v>0.99354772139898062</v>
      </c>
      <c r="U118" s="4">
        <f t="shared" si="41"/>
        <v>0.99076681540580536</v>
      </c>
      <c r="V118" s="4">
        <f t="shared" si="41"/>
        <v>0.9867978615748374</v>
      </c>
      <c r="W118" s="4">
        <f t="shared" si="41"/>
        <v>0.98114509762858249</v>
      </c>
      <c r="X118" s="4">
        <f t="shared" si="41"/>
        <v>0.97311898315872036</v>
      </c>
      <c r="Y118" s="4">
        <f t="shared" si="41"/>
        <v>0.96177484161592774</v>
      </c>
      <c r="Z118" s="4">
        <f t="shared" si="41"/>
        <v>0.94584787155511363</v>
      </c>
      <c r="AA118" s="4">
        <f t="shared" si="41"/>
        <v>0.92370360150141495</v>
      </c>
      <c r="AB118" s="4">
        <f t="shared" si="41"/>
        <v>0.89334463567658451</v>
      </c>
      <c r="AC118" s="4">
        <f t="shared" si="41"/>
        <v>0.85254543874327005</v>
      </c>
      <c r="AD118" s="4">
        <f t="shared" si="41"/>
        <v>0.79921300652623883</v>
      </c>
      <c r="AE118" s="4">
        <f t="shared" si="41"/>
        <v>0.73204982249993378</v>
      </c>
      <c r="AF118" s="4">
        <f t="shared" si="41"/>
        <v>0.65145592958786691</v>
      </c>
      <c r="AG118" s="4">
        <f t="shared" si="41"/>
        <v>0.56032247880849573</v>
      </c>
      <c r="AH118" s="4">
        <f t="shared" si="41"/>
        <v>0.46411326873185343</v>
      </c>
      <c r="AI118" s="4">
        <f t="shared" si="41"/>
        <v>0.36979727595523937</v>
      </c>
      <c r="AJ118" s="4">
        <f t="shared" si="41"/>
        <v>0.28393948637231203</v>
      </c>
      <c r="AK118" s="4">
        <f t="shared" si="41"/>
        <v>0.21097259161117732</v>
      </c>
      <c r="AL118" s="4">
        <f t="shared" si="41"/>
        <v>0.15253917653798199</v>
      </c>
      <c r="AM118" s="4">
        <f t="shared" si="41"/>
        <v>0.10795188737709993</v>
      </c>
      <c r="AN118" s="4">
        <f t="shared" si="41"/>
        <v>7.5176653938091809E-2</v>
      </c>
      <c r="AO118" s="4">
        <f t="shared" si="41"/>
        <v>5.1742836177502194E-2</v>
      </c>
      <c r="AP118" s="4">
        <f t="shared" si="41"/>
        <v>3.5319190625345942E-2</v>
      </c>
      <c r="AQ118" s="4">
        <f t="shared" si="41"/>
        <v>2.3969442072658165E-2</v>
      </c>
      <c r="AR118" s="4">
        <f t="shared" si="41"/>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41"/>
        <v>0.99780374543478534</v>
      </c>
      <c r="R119" s="4">
        <f t="shared" si="41"/>
        <v>0.99685359315256394</v>
      </c>
      <c r="S119" s="4">
        <f t="shared" si="41"/>
        <v>0.99549347132349975</v>
      </c>
      <c r="T119" s="4">
        <f t="shared" si="41"/>
        <v>0.99354772139898062</v>
      </c>
      <c r="U119" s="4">
        <f t="shared" si="41"/>
        <v>0.99076681540580536</v>
      </c>
      <c r="V119" s="4">
        <f t="shared" si="41"/>
        <v>0.9867978615748374</v>
      </c>
      <c r="W119" s="4">
        <f t="shared" si="41"/>
        <v>0.98114509762858249</v>
      </c>
      <c r="X119" s="4">
        <f t="shared" si="41"/>
        <v>0.97311898315872036</v>
      </c>
      <c r="Y119" s="4">
        <f t="shared" si="41"/>
        <v>0.96177484161592774</v>
      </c>
      <c r="Z119" s="4">
        <f t="shared" si="41"/>
        <v>0.94584787155511363</v>
      </c>
      <c r="AA119" s="4">
        <f t="shared" si="41"/>
        <v>0.92370360150141495</v>
      </c>
      <c r="AB119" s="4">
        <f t="shared" si="41"/>
        <v>0.89334463567658451</v>
      </c>
      <c r="AC119" s="4">
        <f t="shared" si="41"/>
        <v>0.85254543874327005</v>
      </c>
      <c r="AD119" s="4">
        <f t="shared" si="41"/>
        <v>0.79921300652623883</v>
      </c>
      <c r="AE119" s="4">
        <f t="shared" si="41"/>
        <v>0.73204982249993378</v>
      </c>
      <c r="AF119" s="4">
        <f t="shared" si="41"/>
        <v>0.65145592958786691</v>
      </c>
      <c r="AG119" s="4">
        <f t="shared" si="41"/>
        <v>0.56032247880849573</v>
      </c>
      <c r="AH119" s="4">
        <f t="shared" si="41"/>
        <v>0.46411326873185343</v>
      </c>
      <c r="AI119" s="4">
        <f t="shared" si="41"/>
        <v>0.36979727595523937</v>
      </c>
      <c r="AJ119" s="4">
        <f t="shared" si="41"/>
        <v>0.28393948637231203</v>
      </c>
      <c r="AK119" s="4">
        <f t="shared" si="41"/>
        <v>0.21097259161117732</v>
      </c>
      <c r="AL119" s="4">
        <f t="shared" si="41"/>
        <v>0.15253917653798199</v>
      </c>
      <c r="AM119" s="4">
        <f t="shared" si="41"/>
        <v>0.10795188737709993</v>
      </c>
      <c r="AN119" s="4">
        <f t="shared" si="41"/>
        <v>7.5176653938091809E-2</v>
      </c>
      <c r="AO119" s="4">
        <f t="shared" si="41"/>
        <v>5.1742836177502194E-2</v>
      </c>
      <c r="AP119" s="4">
        <f t="shared" si="41"/>
        <v>3.5319190625345942E-2</v>
      </c>
      <c r="AQ119" s="4">
        <f t="shared" si="41"/>
        <v>2.3969442072658165E-2</v>
      </c>
      <c r="AR119" s="4">
        <f t="shared" si="41"/>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41"/>
        <v>0.99780374543478534</v>
      </c>
      <c r="R120" s="4">
        <f t="shared" si="41"/>
        <v>0.99685359315256394</v>
      </c>
      <c r="S120" s="4">
        <f t="shared" si="41"/>
        <v>0.99549347132349975</v>
      </c>
      <c r="T120" s="4">
        <f t="shared" si="41"/>
        <v>0.99354772139898062</v>
      </c>
      <c r="U120" s="4">
        <f t="shared" si="41"/>
        <v>0.99076681540580536</v>
      </c>
      <c r="V120" s="4">
        <f t="shared" si="41"/>
        <v>0.9867978615748374</v>
      </c>
      <c r="W120" s="4">
        <f t="shared" si="41"/>
        <v>0.98114509762858249</v>
      </c>
      <c r="X120" s="4">
        <f t="shared" si="41"/>
        <v>0.97311898315872036</v>
      </c>
      <c r="Y120" s="4">
        <f t="shared" si="41"/>
        <v>0.96177484161592774</v>
      </c>
      <c r="Z120" s="4">
        <f t="shared" si="41"/>
        <v>0.94584787155511363</v>
      </c>
      <c r="AA120" s="4">
        <f t="shared" si="41"/>
        <v>0.92370360150141495</v>
      </c>
      <c r="AB120" s="4">
        <f t="shared" si="41"/>
        <v>0.89334463567658451</v>
      </c>
      <c r="AC120" s="4">
        <f t="shared" si="41"/>
        <v>0.85254543874327005</v>
      </c>
      <c r="AD120" s="4">
        <f t="shared" si="41"/>
        <v>0.79921300652623883</v>
      </c>
      <c r="AE120" s="4">
        <f t="shared" si="41"/>
        <v>0.73204982249993378</v>
      </c>
      <c r="AF120" s="4">
        <f t="shared" si="41"/>
        <v>0.65145592958786691</v>
      </c>
      <c r="AG120" s="4">
        <f t="shared" si="41"/>
        <v>0.56032247880849573</v>
      </c>
      <c r="AH120" s="4">
        <f t="shared" si="41"/>
        <v>0.46411326873185343</v>
      </c>
      <c r="AI120" s="4">
        <f t="shared" si="41"/>
        <v>0.36979727595523937</v>
      </c>
      <c r="AJ120" s="4">
        <f t="shared" si="41"/>
        <v>0.28393948637231203</v>
      </c>
      <c r="AK120" s="4">
        <f t="shared" si="41"/>
        <v>0.21097259161117732</v>
      </c>
      <c r="AL120" s="4">
        <f t="shared" si="41"/>
        <v>0.15253917653798199</v>
      </c>
      <c r="AM120" s="4">
        <f t="shared" si="41"/>
        <v>0.10795188737709993</v>
      </c>
      <c r="AN120" s="4">
        <f t="shared" si="41"/>
        <v>7.5176653938091809E-2</v>
      </c>
      <c r="AO120" s="4">
        <f t="shared" si="41"/>
        <v>5.1742836177502194E-2</v>
      </c>
      <c r="AP120" s="4">
        <f t="shared" si="41"/>
        <v>3.5319190625345942E-2</v>
      </c>
      <c r="AQ120" s="4">
        <f t="shared" si="41"/>
        <v>2.3969442072658165E-2</v>
      </c>
      <c r="AR120" s="4">
        <f t="shared" si="41"/>
        <v>1.6202243558389728E-2</v>
      </c>
    </row>
    <row r="121" spans="1:44" x14ac:dyDescent="0.25">
      <c r="A121" s="24" t="s">
        <v>79</v>
      </c>
      <c r="B121" s="92">
        <f>'Parameter Input'!$L$231</f>
        <v>0.06</v>
      </c>
      <c r="C121" s="91">
        <f>'Parameter Input'!$M$231</f>
        <v>0.06</v>
      </c>
      <c r="D121" s="1" t="s">
        <v>57</v>
      </c>
      <c r="L121" s="54">
        <f>'Parameter Input'!$O$219</f>
        <v>17</v>
      </c>
      <c r="M121" s="37">
        <v>0</v>
      </c>
      <c r="N121" s="37">
        <v>1</v>
      </c>
      <c r="O121" s="37">
        <f>'Parameter Input'!$P$219</f>
        <v>0.9</v>
      </c>
      <c r="P121" s="55">
        <f>'Parameter Input'!$Q$219</f>
        <v>0.4</v>
      </c>
      <c r="Q121" s="4">
        <f t="shared" si="41"/>
        <v>0.99780374543478534</v>
      </c>
      <c r="R121" s="4">
        <f t="shared" si="41"/>
        <v>0.99685359315256394</v>
      </c>
      <c r="S121" s="4">
        <f t="shared" si="41"/>
        <v>0.99549347132349975</v>
      </c>
      <c r="T121" s="4">
        <f t="shared" si="41"/>
        <v>0.99354772139898062</v>
      </c>
      <c r="U121" s="4">
        <f t="shared" si="41"/>
        <v>0.99076681540580536</v>
      </c>
      <c r="V121" s="4">
        <f t="shared" si="41"/>
        <v>0.9867978615748374</v>
      </c>
      <c r="W121" s="4">
        <f t="shared" si="41"/>
        <v>0.98114509762858249</v>
      </c>
      <c r="X121" s="4">
        <f t="shared" si="41"/>
        <v>0.97311898315872036</v>
      </c>
      <c r="Y121" s="4">
        <f t="shared" si="41"/>
        <v>0.96177484161592774</v>
      </c>
      <c r="Z121" s="4">
        <f t="shared" si="41"/>
        <v>0.94584787155511363</v>
      </c>
      <c r="AA121" s="4">
        <f t="shared" si="41"/>
        <v>0.92370360150141495</v>
      </c>
      <c r="AB121" s="4">
        <f t="shared" si="41"/>
        <v>0.89334463567658451</v>
      </c>
      <c r="AC121" s="4">
        <f t="shared" si="41"/>
        <v>0.85254543874327005</v>
      </c>
      <c r="AD121" s="4">
        <f t="shared" si="41"/>
        <v>0.79921300652623883</v>
      </c>
      <c r="AE121" s="4">
        <f t="shared" si="41"/>
        <v>0.73204982249993378</v>
      </c>
      <c r="AF121" s="4">
        <f t="shared" si="41"/>
        <v>0.65145592958786691</v>
      </c>
      <c r="AG121" s="4">
        <f t="shared" si="41"/>
        <v>0.56032247880849573</v>
      </c>
      <c r="AH121" s="4">
        <f t="shared" si="41"/>
        <v>0.46411326873185343</v>
      </c>
      <c r="AI121" s="4">
        <f t="shared" si="41"/>
        <v>0.36979727595523937</v>
      </c>
      <c r="AJ121" s="4">
        <f t="shared" si="41"/>
        <v>0.28393948637231203</v>
      </c>
      <c r="AK121" s="4">
        <f t="shared" si="41"/>
        <v>0.21097259161117732</v>
      </c>
      <c r="AL121" s="4">
        <f t="shared" si="41"/>
        <v>0.15253917653798199</v>
      </c>
      <c r="AM121" s="4">
        <f t="shared" si="41"/>
        <v>0.10795188737709993</v>
      </c>
      <c r="AN121" s="4">
        <f t="shared" si="41"/>
        <v>7.5176653938091809E-2</v>
      </c>
      <c r="AO121" s="4">
        <f t="shared" si="41"/>
        <v>5.1742836177502194E-2</v>
      </c>
      <c r="AP121" s="4">
        <f t="shared" si="41"/>
        <v>3.5319190625345942E-2</v>
      </c>
      <c r="AQ121" s="4">
        <f t="shared" si="41"/>
        <v>2.3969442072658165E-2</v>
      </c>
      <c r="AR121" s="4">
        <f t="shared" si="41"/>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41"/>
        <v>0.99780374543478534</v>
      </c>
      <c r="R122" s="4">
        <f t="shared" si="41"/>
        <v>0.99685359315256394</v>
      </c>
      <c r="S122" s="4">
        <f t="shared" si="41"/>
        <v>0.99549347132349975</v>
      </c>
      <c r="T122" s="4">
        <f t="shared" si="41"/>
        <v>0.99354772139898062</v>
      </c>
      <c r="U122" s="4">
        <f t="shared" si="41"/>
        <v>0.99076681540580536</v>
      </c>
      <c r="V122" s="4">
        <f t="shared" si="41"/>
        <v>0.9867978615748374</v>
      </c>
      <c r="W122" s="4">
        <f t="shared" si="41"/>
        <v>0.98114509762858249</v>
      </c>
      <c r="X122" s="4">
        <f t="shared" si="41"/>
        <v>0.97311898315872036</v>
      </c>
      <c r="Y122" s="4">
        <f t="shared" si="41"/>
        <v>0.96177484161592774</v>
      </c>
      <c r="Z122" s="4">
        <f t="shared" si="41"/>
        <v>0.94584787155511363</v>
      </c>
      <c r="AA122" s="4">
        <f t="shared" si="41"/>
        <v>0.92370360150141495</v>
      </c>
      <c r="AB122" s="4">
        <f t="shared" si="41"/>
        <v>0.89334463567658451</v>
      </c>
      <c r="AC122" s="4">
        <f t="shared" si="41"/>
        <v>0.85254543874327005</v>
      </c>
      <c r="AD122" s="4">
        <f t="shared" si="41"/>
        <v>0.79921300652623883</v>
      </c>
      <c r="AE122" s="4">
        <f t="shared" si="41"/>
        <v>0.73204982249993378</v>
      </c>
      <c r="AF122" s="4">
        <f t="shared" si="41"/>
        <v>0.65145592958786691</v>
      </c>
      <c r="AG122" s="4">
        <f t="shared" si="41"/>
        <v>0.56032247880849573</v>
      </c>
      <c r="AH122" s="4">
        <f t="shared" si="41"/>
        <v>0.46411326873185343</v>
      </c>
      <c r="AI122" s="4">
        <f t="shared" si="41"/>
        <v>0.36979727595523937</v>
      </c>
      <c r="AJ122" s="4">
        <f t="shared" si="41"/>
        <v>0.28393948637231203</v>
      </c>
      <c r="AK122" s="4">
        <f t="shared" si="41"/>
        <v>0.21097259161117732</v>
      </c>
      <c r="AL122" s="4">
        <f t="shared" si="41"/>
        <v>0.15253917653798199</v>
      </c>
      <c r="AM122" s="4">
        <f t="shared" si="41"/>
        <v>0.10795188737709993</v>
      </c>
      <c r="AN122" s="4">
        <f t="shared" si="41"/>
        <v>7.5176653938091809E-2</v>
      </c>
      <c r="AO122" s="4">
        <f t="shared" si="41"/>
        <v>5.1742836177502194E-2</v>
      </c>
      <c r="AP122" s="4">
        <f t="shared" si="41"/>
        <v>3.5319190625345942E-2</v>
      </c>
      <c r="AQ122" s="4">
        <f t="shared" si="41"/>
        <v>2.3969442072658165E-2</v>
      </c>
      <c r="AR122" s="4">
        <f t="shared" si="41"/>
        <v>1.6202243558389728E-2</v>
      </c>
    </row>
    <row r="123" spans="1:44" x14ac:dyDescent="0.25">
      <c r="A123" s="24" t="s">
        <v>52</v>
      </c>
      <c r="B123" s="60">
        <f>'Parameter Input'!$L$227</f>
        <v>488235.29411764705</v>
      </c>
      <c r="C123" s="61">
        <f>'Parameter Input'!$M$227</f>
        <v>488235.29411764705</v>
      </c>
      <c r="D123" s="1" t="s">
        <v>38</v>
      </c>
      <c r="L123" s="54">
        <f>'Parameter Input'!$O$215</f>
        <v>17</v>
      </c>
      <c r="M123" s="37">
        <v>0</v>
      </c>
      <c r="N123" s="37">
        <v>1</v>
      </c>
      <c r="O123" s="37">
        <f>'Parameter Input'!$P$215</f>
        <v>0.9</v>
      </c>
      <c r="P123" s="55">
        <f>'Parameter Input'!$Q$215</f>
        <v>0.4</v>
      </c>
      <c r="Q123" s="4">
        <f t="shared" si="41"/>
        <v>0.99780374543478534</v>
      </c>
      <c r="R123" s="4">
        <f t="shared" si="41"/>
        <v>0.99685359315256394</v>
      </c>
      <c r="S123" s="4">
        <f t="shared" si="41"/>
        <v>0.99549347132349975</v>
      </c>
      <c r="T123" s="4">
        <f t="shared" si="41"/>
        <v>0.99354772139898062</v>
      </c>
      <c r="U123" s="4">
        <f t="shared" si="41"/>
        <v>0.99076681540580536</v>
      </c>
      <c r="V123" s="4">
        <f t="shared" si="41"/>
        <v>0.9867978615748374</v>
      </c>
      <c r="W123" s="4">
        <f t="shared" si="41"/>
        <v>0.98114509762858249</v>
      </c>
      <c r="X123" s="4">
        <f t="shared" si="41"/>
        <v>0.97311898315872036</v>
      </c>
      <c r="Y123" s="4">
        <f t="shared" si="41"/>
        <v>0.96177484161592774</v>
      </c>
      <c r="Z123" s="4">
        <f t="shared" si="41"/>
        <v>0.94584787155511363</v>
      </c>
      <c r="AA123" s="4">
        <f t="shared" si="41"/>
        <v>0.92370360150141495</v>
      </c>
      <c r="AB123" s="4">
        <f t="shared" si="41"/>
        <v>0.89334463567658451</v>
      </c>
      <c r="AC123" s="4">
        <f t="shared" si="41"/>
        <v>0.85254543874327005</v>
      </c>
      <c r="AD123" s="4">
        <f t="shared" si="41"/>
        <v>0.79921300652623883</v>
      </c>
      <c r="AE123" s="4">
        <f t="shared" si="41"/>
        <v>0.73204982249993378</v>
      </c>
      <c r="AF123" s="4">
        <f t="shared" si="41"/>
        <v>0.65145592958786691</v>
      </c>
      <c r="AG123" s="4">
        <f t="shared" si="41"/>
        <v>0.56032247880849573</v>
      </c>
      <c r="AH123" s="4">
        <f t="shared" si="41"/>
        <v>0.46411326873185343</v>
      </c>
      <c r="AI123" s="4">
        <f t="shared" si="41"/>
        <v>0.36979727595523937</v>
      </c>
      <c r="AJ123" s="4">
        <f t="shared" si="41"/>
        <v>0.28393948637231203</v>
      </c>
      <c r="AK123" s="4">
        <f t="shared" si="41"/>
        <v>0.21097259161117732</v>
      </c>
      <c r="AL123" s="4">
        <f t="shared" si="41"/>
        <v>0.15253917653798199</v>
      </c>
      <c r="AM123" s="4">
        <f t="shared" si="41"/>
        <v>0.10795188737709993</v>
      </c>
      <c r="AN123" s="4">
        <f t="shared" si="41"/>
        <v>7.5176653938091809E-2</v>
      </c>
      <c r="AO123" s="4">
        <f t="shared" si="41"/>
        <v>5.1742836177502194E-2</v>
      </c>
      <c r="AP123" s="4">
        <f t="shared" si="41"/>
        <v>3.5319190625345942E-2</v>
      </c>
      <c r="AQ123" s="4">
        <f t="shared" si="41"/>
        <v>2.3969442072658165E-2</v>
      </c>
      <c r="AR123" s="4">
        <f t="shared" si="41"/>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41"/>
        <v>0.99780374543478534</v>
      </c>
      <c r="R124" s="4">
        <f t="shared" si="41"/>
        <v>0.99685359315256394</v>
      </c>
      <c r="S124" s="4">
        <f t="shared" si="41"/>
        <v>0.99549347132349975</v>
      </c>
      <c r="T124" s="4">
        <f t="shared" si="41"/>
        <v>0.99354772139898062</v>
      </c>
      <c r="U124" s="4">
        <f t="shared" si="41"/>
        <v>0.99076681540580536</v>
      </c>
      <c r="V124" s="4">
        <f t="shared" si="41"/>
        <v>0.9867978615748374</v>
      </c>
      <c r="W124" s="4">
        <f t="shared" si="41"/>
        <v>0.98114509762858249</v>
      </c>
      <c r="X124" s="4">
        <f t="shared" si="41"/>
        <v>0.97311898315872036</v>
      </c>
      <c r="Y124" s="4">
        <f t="shared" si="41"/>
        <v>0.96177484161592774</v>
      </c>
      <c r="Z124" s="4">
        <f t="shared" si="41"/>
        <v>0.94584787155511363</v>
      </c>
      <c r="AA124" s="4">
        <f t="shared" si="41"/>
        <v>0.92370360150141495</v>
      </c>
      <c r="AB124" s="4">
        <f t="shared" si="41"/>
        <v>0.89334463567658451</v>
      </c>
      <c r="AC124" s="4">
        <f t="shared" si="41"/>
        <v>0.85254543874327005</v>
      </c>
      <c r="AD124" s="4">
        <f t="shared" si="41"/>
        <v>0.79921300652623883</v>
      </c>
      <c r="AE124" s="4">
        <f t="shared" si="41"/>
        <v>0.73204982249993378</v>
      </c>
      <c r="AF124" s="4">
        <f t="shared" si="41"/>
        <v>0.65145592958786691</v>
      </c>
      <c r="AG124" s="4">
        <f t="shared" si="41"/>
        <v>0.56032247880849573</v>
      </c>
      <c r="AH124" s="4">
        <f t="shared" si="41"/>
        <v>0.46411326873185343</v>
      </c>
      <c r="AI124" s="4">
        <f t="shared" si="41"/>
        <v>0.36979727595523937</v>
      </c>
      <c r="AJ124" s="4">
        <f t="shared" si="41"/>
        <v>0.28393948637231203</v>
      </c>
      <c r="AK124" s="4">
        <f t="shared" si="41"/>
        <v>0.21097259161117732</v>
      </c>
      <c r="AL124" s="4">
        <f t="shared" si="41"/>
        <v>0.15253917653798199</v>
      </c>
      <c r="AM124" s="4">
        <f t="shared" si="41"/>
        <v>0.10795188737709993</v>
      </c>
      <c r="AN124" s="4">
        <f t="shared" si="41"/>
        <v>7.5176653938091809E-2</v>
      </c>
      <c r="AO124" s="4">
        <f t="shared" si="41"/>
        <v>5.1742836177502194E-2</v>
      </c>
      <c r="AP124" s="4">
        <f t="shared" si="41"/>
        <v>3.5319190625345942E-2</v>
      </c>
      <c r="AQ124" s="4">
        <f t="shared" si="41"/>
        <v>2.3969442072658165E-2</v>
      </c>
      <c r="AR124" s="4">
        <f t="shared" si="41"/>
        <v>1.6202243558389728E-2</v>
      </c>
    </row>
    <row r="125" spans="1:44" x14ac:dyDescent="0.25">
      <c r="A125" s="24" t="s">
        <v>59</v>
      </c>
      <c r="B125" s="60">
        <f>'Parameter Input'!$L$228</f>
        <v>647</v>
      </c>
      <c r="C125" s="61">
        <f>'Parameter Input'!$M$228</f>
        <v>600</v>
      </c>
      <c r="D125" s="1" t="s">
        <v>60</v>
      </c>
      <c r="L125" s="54">
        <f>'Parameter Input'!$O$216</f>
        <v>17</v>
      </c>
      <c r="M125" s="37">
        <v>0</v>
      </c>
      <c r="N125" s="37">
        <v>1</v>
      </c>
      <c r="O125" s="37">
        <f>'Parameter Input'!$P$216</f>
        <v>0.9</v>
      </c>
      <c r="P125" s="55">
        <f>'Parameter Input'!$Q$216</f>
        <v>0.4</v>
      </c>
      <c r="Q125" s="4">
        <f t="shared" si="41"/>
        <v>0.99780374543478534</v>
      </c>
      <c r="R125" s="4">
        <f t="shared" si="41"/>
        <v>0.99685359315256394</v>
      </c>
      <c r="S125" s="4">
        <f t="shared" si="41"/>
        <v>0.99549347132349975</v>
      </c>
      <c r="T125" s="4">
        <f t="shared" si="41"/>
        <v>0.99354772139898062</v>
      </c>
      <c r="U125" s="4">
        <f t="shared" si="41"/>
        <v>0.99076681540580536</v>
      </c>
      <c r="V125" s="4">
        <f t="shared" si="41"/>
        <v>0.9867978615748374</v>
      </c>
      <c r="W125" s="4">
        <f t="shared" si="41"/>
        <v>0.98114509762858249</v>
      </c>
      <c r="X125" s="4">
        <f t="shared" si="41"/>
        <v>0.97311898315872036</v>
      </c>
      <c r="Y125" s="4">
        <f t="shared" si="41"/>
        <v>0.96177484161592774</v>
      </c>
      <c r="Z125" s="4">
        <f t="shared" si="41"/>
        <v>0.94584787155511363</v>
      </c>
      <c r="AA125" s="4">
        <f t="shared" si="41"/>
        <v>0.92370360150141495</v>
      </c>
      <c r="AB125" s="4">
        <f t="shared" si="41"/>
        <v>0.89334463567658451</v>
      </c>
      <c r="AC125" s="4">
        <f t="shared" si="41"/>
        <v>0.85254543874327005</v>
      </c>
      <c r="AD125" s="4">
        <f t="shared" si="41"/>
        <v>0.79921300652623883</v>
      </c>
      <c r="AE125" s="4">
        <f t="shared" si="41"/>
        <v>0.73204982249993378</v>
      </c>
      <c r="AF125" s="4">
        <f t="shared" si="41"/>
        <v>0.65145592958786691</v>
      </c>
      <c r="AG125" s="4">
        <f t="shared" si="41"/>
        <v>0.56032247880849573</v>
      </c>
      <c r="AH125" s="4">
        <f t="shared" si="41"/>
        <v>0.46411326873185343</v>
      </c>
      <c r="AI125" s="4">
        <f t="shared" si="41"/>
        <v>0.36979727595523937</v>
      </c>
      <c r="AJ125" s="4">
        <f t="shared" si="41"/>
        <v>0.28393948637231203</v>
      </c>
      <c r="AK125" s="4">
        <f t="shared" si="41"/>
        <v>0.21097259161117732</v>
      </c>
      <c r="AL125" s="4">
        <f t="shared" si="41"/>
        <v>0.15253917653798199</v>
      </c>
      <c r="AM125" s="4">
        <f t="shared" si="41"/>
        <v>0.10795188737709993</v>
      </c>
      <c r="AN125" s="4">
        <f t="shared" si="41"/>
        <v>7.5176653938091809E-2</v>
      </c>
      <c r="AO125" s="4">
        <f t="shared" si="41"/>
        <v>5.1742836177502194E-2</v>
      </c>
      <c r="AP125" s="4">
        <f t="shared" si="41"/>
        <v>3.5319190625345942E-2</v>
      </c>
      <c r="AQ125" s="4">
        <f t="shared" si="41"/>
        <v>2.3969442072658165E-2</v>
      </c>
      <c r="AR125" s="4">
        <f t="shared" si="41"/>
        <v>1.6202243558389728E-2</v>
      </c>
    </row>
    <row r="126" spans="1:44" x14ac:dyDescent="0.25">
      <c r="A126" s="24" t="s">
        <v>67</v>
      </c>
      <c r="B126" s="78">
        <f>'Parameter Input'!$L$229</f>
        <v>3.1399999999999997E-2</v>
      </c>
      <c r="C126" s="61">
        <f>'Parameter Input'!$M$229</f>
        <v>3.1399999999999997E-2</v>
      </c>
      <c r="D126" s="1" t="s">
        <v>68</v>
      </c>
      <c r="L126" s="54">
        <f>'Parameter Input'!$O$217</f>
        <v>17</v>
      </c>
      <c r="M126" s="37">
        <v>0</v>
      </c>
      <c r="N126" s="37">
        <v>1</v>
      </c>
      <c r="O126" s="37">
        <f>'Parameter Input'!$P$217</f>
        <v>0.9</v>
      </c>
      <c r="P126" s="55">
        <f>'Parameter Input'!$Q$217</f>
        <v>0.4</v>
      </c>
      <c r="Q126" s="4">
        <f t="shared" si="41"/>
        <v>0.99780374543478534</v>
      </c>
      <c r="R126" s="4">
        <f t="shared" si="41"/>
        <v>0.99685359315256394</v>
      </c>
      <c r="S126" s="4">
        <f t="shared" si="41"/>
        <v>0.99549347132349975</v>
      </c>
      <c r="T126" s="4">
        <f t="shared" ref="T126:AI133" si="42">$N126+($M126-$N126)*((1/(1+EXP(-$P126*(T$9-$L126)))^$O126))</f>
        <v>0.99354772139898062</v>
      </c>
      <c r="U126" s="4">
        <f t="shared" si="42"/>
        <v>0.99076681540580536</v>
      </c>
      <c r="V126" s="4">
        <f t="shared" si="42"/>
        <v>0.9867978615748374</v>
      </c>
      <c r="W126" s="4">
        <f t="shared" si="42"/>
        <v>0.98114509762858249</v>
      </c>
      <c r="X126" s="4">
        <f t="shared" si="42"/>
        <v>0.97311898315872036</v>
      </c>
      <c r="Y126" s="4">
        <f t="shared" si="42"/>
        <v>0.96177484161592774</v>
      </c>
      <c r="Z126" s="4">
        <f t="shared" si="42"/>
        <v>0.94584787155511363</v>
      </c>
      <c r="AA126" s="4">
        <f t="shared" si="42"/>
        <v>0.92370360150141495</v>
      </c>
      <c r="AB126" s="4">
        <f t="shared" si="42"/>
        <v>0.89334463567658451</v>
      </c>
      <c r="AC126" s="4">
        <f t="shared" si="42"/>
        <v>0.85254543874327005</v>
      </c>
      <c r="AD126" s="4">
        <f t="shared" si="42"/>
        <v>0.79921300652623883</v>
      </c>
      <c r="AE126" s="4">
        <f t="shared" si="42"/>
        <v>0.73204982249993378</v>
      </c>
      <c r="AF126" s="4">
        <f t="shared" si="42"/>
        <v>0.65145592958786691</v>
      </c>
      <c r="AG126" s="4">
        <f t="shared" si="42"/>
        <v>0.56032247880849573</v>
      </c>
      <c r="AH126" s="4">
        <f t="shared" si="42"/>
        <v>0.46411326873185343</v>
      </c>
      <c r="AI126" s="4">
        <f t="shared" si="42"/>
        <v>0.36979727595523937</v>
      </c>
      <c r="AJ126" s="4">
        <f t="shared" ref="AJ126:AR133" si="43">$N126+($M126-$N126)*((1/(1+EXP(-$P126*(AJ$9-$L126)))^$O126))</f>
        <v>0.28393948637231203</v>
      </c>
      <c r="AK126" s="4">
        <f t="shared" si="43"/>
        <v>0.21097259161117732</v>
      </c>
      <c r="AL126" s="4">
        <f t="shared" si="43"/>
        <v>0.15253917653798199</v>
      </c>
      <c r="AM126" s="4">
        <f t="shared" si="43"/>
        <v>0.10795188737709993</v>
      </c>
      <c r="AN126" s="4">
        <f t="shared" si="43"/>
        <v>7.5176653938091809E-2</v>
      </c>
      <c r="AO126" s="4">
        <f t="shared" si="43"/>
        <v>5.1742836177502194E-2</v>
      </c>
      <c r="AP126" s="4">
        <f t="shared" si="43"/>
        <v>3.5319190625345942E-2</v>
      </c>
      <c r="AQ126" s="4">
        <f t="shared" si="43"/>
        <v>2.3969442072658165E-2</v>
      </c>
      <c r="AR126" s="4">
        <f t="shared" si="43"/>
        <v>1.6202243558389728E-2</v>
      </c>
    </row>
    <row r="127" spans="1:44" x14ac:dyDescent="0.25">
      <c r="A127" s="24" t="s">
        <v>206</v>
      </c>
      <c r="B127" s="78">
        <f>'Parameter Input'!$L$232</f>
        <v>0</v>
      </c>
      <c r="C127" s="61">
        <f>'Parameter Input'!$M$232</f>
        <v>0</v>
      </c>
      <c r="D127" s="1"/>
      <c r="L127" s="54">
        <f>'Parameter Input'!O220</f>
        <v>17</v>
      </c>
      <c r="M127" s="37">
        <v>0</v>
      </c>
      <c r="N127" s="37">
        <v>1</v>
      </c>
      <c r="O127" s="37">
        <f>'Parameter Input'!P220</f>
        <v>0.9</v>
      </c>
      <c r="P127" s="55">
        <f>'Parameter Input'!Q220</f>
        <v>0.4</v>
      </c>
      <c r="Q127" s="4">
        <f t="shared" ref="Q127:AR133" si="44">$N127+($M127-$N127)*((1/(1+EXP(-$P127*(Q$9-$L127)))^$O127))</f>
        <v>0.99780374543478534</v>
      </c>
      <c r="R127" s="4">
        <f t="shared" si="44"/>
        <v>0.99685359315256394</v>
      </c>
      <c r="S127" s="4">
        <f t="shared" si="44"/>
        <v>0.99549347132349975</v>
      </c>
      <c r="T127" s="4">
        <f t="shared" si="44"/>
        <v>0.99354772139898062</v>
      </c>
      <c r="U127" s="4">
        <f t="shared" si="44"/>
        <v>0.99076681540580536</v>
      </c>
      <c r="V127" s="4">
        <f t="shared" si="44"/>
        <v>0.9867978615748374</v>
      </c>
      <c r="W127" s="4">
        <f t="shared" si="44"/>
        <v>0.98114509762858249</v>
      </c>
      <c r="X127" s="4">
        <f t="shared" si="44"/>
        <v>0.97311898315872036</v>
      </c>
      <c r="Y127" s="4">
        <f t="shared" si="44"/>
        <v>0.96177484161592774</v>
      </c>
      <c r="Z127" s="4">
        <f t="shared" si="44"/>
        <v>0.94584787155511363</v>
      </c>
      <c r="AA127" s="4">
        <f t="shared" si="44"/>
        <v>0.92370360150141495</v>
      </c>
      <c r="AB127" s="4">
        <f t="shared" si="44"/>
        <v>0.89334463567658451</v>
      </c>
      <c r="AC127" s="4">
        <f t="shared" si="44"/>
        <v>0.85254543874327005</v>
      </c>
      <c r="AD127" s="4">
        <f t="shared" si="44"/>
        <v>0.79921300652623883</v>
      </c>
      <c r="AE127" s="4">
        <f t="shared" si="44"/>
        <v>0.73204982249993378</v>
      </c>
      <c r="AF127" s="4">
        <f t="shared" si="44"/>
        <v>0.65145592958786691</v>
      </c>
      <c r="AG127" s="4">
        <f t="shared" si="44"/>
        <v>0.56032247880849573</v>
      </c>
      <c r="AH127" s="4">
        <f t="shared" si="44"/>
        <v>0.46411326873185343</v>
      </c>
      <c r="AI127" s="4">
        <f t="shared" si="44"/>
        <v>0.36979727595523937</v>
      </c>
      <c r="AJ127" s="4">
        <f t="shared" si="44"/>
        <v>0.28393948637231203</v>
      </c>
      <c r="AK127" s="4">
        <f t="shared" si="44"/>
        <v>0.21097259161117732</v>
      </c>
      <c r="AL127" s="4">
        <f t="shared" si="44"/>
        <v>0.15253917653798199</v>
      </c>
      <c r="AM127" s="4">
        <f t="shared" si="44"/>
        <v>0.10795188737709993</v>
      </c>
      <c r="AN127" s="4">
        <f t="shared" si="44"/>
        <v>7.5176653938091809E-2</v>
      </c>
      <c r="AO127" s="4">
        <f t="shared" si="44"/>
        <v>5.1742836177502194E-2</v>
      </c>
      <c r="AP127" s="4">
        <f t="shared" si="44"/>
        <v>3.5319190625345942E-2</v>
      </c>
      <c r="AQ127" s="4">
        <f t="shared" si="44"/>
        <v>2.3969442072658165E-2</v>
      </c>
      <c r="AR127" s="4">
        <f t="shared" si="44"/>
        <v>1.6202243558389728E-2</v>
      </c>
    </row>
    <row r="128" spans="1:44" x14ac:dyDescent="0.25">
      <c r="A128" s="24" t="s">
        <v>41</v>
      </c>
      <c r="B128" s="60">
        <f>'Parameter Input'!$L$226</f>
        <v>25</v>
      </c>
      <c r="C128" s="61">
        <f>'Parameter Input'!$M$226</f>
        <v>25</v>
      </c>
      <c r="D128" s="1" t="s">
        <v>42</v>
      </c>
      <c r="L128" s="54">
        <f>'Parameter Input'!$O$214</f>
        <v>17</v>
      </c>
      <c r="M128" s="37">
        <v>0</v>
      </c>
      <c r="N128" s="37">
        <v>1</v>
      </c>
      <c r="O128" s="37">
        <f>'Parameter Input'!$P$214</f>
        <v>0.9</v>
      </c>
      <c r="P128" s="55">
        <f>'Parameter Input'!$Q$214</f>
        <v>0.4</v>
      </c>
      <c r="Q128" s="4">
        <f t="shared" si="44"/>
        <v>0.99780374543478534</v>
      </c>
      <c r="R128" s="4">
        <f t="shared" si="44"/>
        <v>0.99685359315256394</v>
      </c>
      <c r="S128" s="4">
        <f t="shared" si="44"/>
        <v>0.99549347132349975</v>
      </c>
      <c r="T128" s="4">
        <f t="shared" si="44"/>
        <v>0.99354772139898062</v>
      </c>
      <c r="U128" s="4">
        <f t="shared" si="44"/>
        <v>0.99076681540580536</v>
      </c>
      <c r="V128" s="4">
        <f t="shared" si="44"/>
        <v>0.9867978615748374</v>
      </c>
      <c r="W128" s="4">
        <f t="shared" si="44"/>
        <v>0.98114509762858249</v>
      </c>
      <c r="X128" s="4">
        <f t="shared" si="44"/>
        <v>0.97311898315872036</v>
      </c>
      <c r="Y128" s="4">
        <f t="shared" si="44"/>
        <v>0.96177484161592774</v>
      </c>
      <c r="Z128" s="4">
        <f t="shared" si="44"/>
        <v>0.94584787155511363</v>
      </c>
      <c r="AA128" s="4">
        <f t="shared" si="44"/>
        <v>0.92370360150141495</v>
      </c>
      <c r="AB128" s="4">
        <f t="shared" si="44"/>
        <v>0.89334463567658451</v>
      </c>
      <c r="AC128" s="4">
        <f t="shared" si="44"/>
        <v>0.85254543874327005</v>
      </c>
      <c r="AD128" s="4">
        <f t="shared" si="44"/>
        <v>0.79921300652623883</v>
      </c>
      <c r="AE128" s="4">
        <f t="shared" si="44"/>
        <v>0.73204982249993378</v>
      </c>
      <c r="AF128" s="4">
        <f t="shared" si="44"/>
        <v>0.65145592958786691</v>
      </c>
      <c r="AG128" s="4">
        <f t="shared" si="42"/>
        <v>0.56032247880849573</v>
      </c>
      <c r="AH128" s="4">
        <f t="shared" si="42"/>
        <v>0.46411326873185343</v>
      </c>
      <c r="AI128" s="4">
        <f t="shared" si="42"/>
        <v>0.36979727595523937</v>
      </c>
      <c r="AJ128" s="4">
        <f t="shared" si="43"/>
        <v>0.28393948637231203</v>
      </c>
      <c r="AK128" s="4">
        <f t="shared" si="43"/>
        <v>0.21097259161117732</v>
      </c>
      <c r="AL128" s="4">
        <f t="shared" si="43"/>
        <v>0.15253917653798199</v>
      </c>
      <c r="AM128" s="4">
        <f t="shared" si="43"/>
        <v>0.10795188737709993</v>
      </c>
      <c r="AN128" s="4">
        <f t="shared" si="43"/>
        <v>7.5176653938091809E-2</v>
      </c>
      <c r="AO128" s="4">
        <f t="shared" si="43"/>
        <v>5.1742836177502194E-2</v>
      </c>
      <c r="AP128" s="4">
        <f t="shared" si="43"/>
        <v>3.5319190625345942E-2</v>
      </c>
      <c r="AQ128" s="4">
        <f t="shared" si="43"/>
        <v>2.3969442072658165E-2</v>
      </c>
      <c r="AR128" s="4">
        <f t="shared" si="43"/>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44"/>
        <v>0.99780374543478534</v>
      </c>
      <c r="R129" s="4">
        <f t="shared" si="44"/>
        <v>0.99685359315256394</v>
      </c>
      <c r="S129" s="4">
        <f t="shared" si="44"/>
        <v>0.99549347132349975</v>
      </c>
      <c r="T129" s="4">
        <f t="shared" si="44"/>
        <v>0.99354772139898062</v>
      </c>
      <c r="U129" s="4">
        <f t="shared" si="44"/>
        <v>0.99076681540580536</v>
      </c>
      <c r="V129" s="4">
        <f t="shared" si="44"/>
        <v>0.9867978615748374</v>
      </c>
      <c r="W129" s="4">
        <f t="shared" si="44"/>
        <v>0.98114509762858249</v>
      </c>
      <c r="X129" s="4">
        <f t="shared" si="44"/>
        <v>0.97311898315872036</v>
      </c>
      <c r="Y129" s="4">
        <f t="shared" si="44"/>
        <v>0.96177484161592774</v>
      </c>
      <c r="Z129" s="4">
        <f t="shared" si="44"/>
        <v>0.94584787155511363</v>
      </c>
      <c r="AA129" s="4">
        <f t="shared" si="44"/>
        <v>0.92370360150141495</v>
      </c>
      <c r="AB129" s="4">
        <f t="shared" si="44"/>
        <v>0.89334463567658451</v>
      </c>
      <c r="AC129" s="4">
        <f t="shared" si="44"/>
        <v>0.85254543874327005</v>
      </c>
      <c r="AD129" s="4">
        <f t="shared" si="44"/>
        <v>0.79921300652623883</v>
      </c>
      <c r="AE129" s="4">
        <f t="shared" si="44"/>
        <v>0.73204982249993378</v>
      </c>
      <c r="AF129" s="4">
        <f t="shared" si="44"/>
        <v>0.65145592958786691</v>
      </c>
      <c r="AG129" s="4">
        <f t="shared" si="42"/>
        <v>0.56032247880849573</v>
      </c>
      <c r="AH129" s="4">
        <f t="shared" si="42"/>
        <v>0.46411326873185343</v>
      </c>
      <c r="AI129" s="4">
        <f t="shared" si="42"/>
        <v>0.36979727595523937</v>
      </c>
      <c r="AJ129" s="4">
        <f t="shared" si="43"/>
        <v>0.28393948637231203</v>
      </c>
      <c r="AK129" s="4">
        <f t="shared" si="43"/>
        <v>0.21097259161117732</v>
      </c>
      <c r="AL129" s="4">
        <f t="shared" si="43"/>
        <v>0.15253917653798199</v>
      </c>
      <c r="AM129" s="4">
        <f t="shared" si="43"/>
        <v>0.10795188737709993</v>
      </c>
      <c r="AN129" s="4">
        <f t="shared" si="43"/>
        <v>7.5176653938091809E-2</v>
      </c>
      <c r="AO129" s="4">
        <f t="shared" si="43"/>
        <v>5.1742836177502194E-2</v>
      </c>
      <c r="AP129" s="4">
        <f t="shared" si="43"/>
        <v>3.5319190625345942E-2</v>
      </c>
      <c r="AQ129" s="4">
        <f t="shared" si="43"/>
        <v>2.3969442072658165E-2</v>
      </c>
      <c r="AR129" s="4">
        <f t="shared" si="43"/>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44"/>
        <v>0.99780374543478534</v>
      </c>
      <c r="R130" s="4">
        <f t="shared" si="44"/>
        <v>0.99685359315256394</v>
      </c>
      <c r="S130" s="4">
        <f t="shared" si="44"/>
        <v>0.99549347132349975</v>
      </c>
      <c r="T130" s="4">
        <f t="shared" si="44"/>
        <v>0.99354772139898062</v>
      </c>
      <c r="U130" s="4">
        <f t="shared" si="44"/>
        <v>0.99076681540580536</v>
      </c>
      <c r="V130" s="4">
        <f t="shared" si="44"/>
        <v>0.9867978615748374</v>
      </c>
      <c r="W130" s="4">
        <f t="shared" si="44"/>
        <v>0.98114509762858249</v>
      </c>
      <c r="X130" s="4">
        <f t="shared" si="44"/>
        <v>0.97311898315872036</v>
      </c>
      <c r="Y130" s="4">
        <f t="shared" si="44"/>
        <v>0.96177484161592774</v>
      </c>
      <c r="Z130" s="4">
        <f t="shared" si="44"/>
        <v>0.94584787155511363</v>
      </c>
      <c r="AA130" s="4">
        <f t="shared" si="44"/>
        <v>0.92370360150141495</v>
      </c>
      <c r="AB130" s="4">
        <f t="shared" si="44"/>
        <v>0.89334463567658451</v>
      </c>
      <c r="AC130" s="4">
        <f t="shared" si="44"/>
        <v>0.85254543874327005</v>
      </c>
      <c r="AD130" s="4">
        <f t="shared" si="44"/>
        <v>0.79921300652623883</v>
      </c>
      <c r="AE130" s="4">
        <f t="shared" si="44"/>
        <v>0.73204982249993378</v>
      </c>
      <c r="AF130" s="4">
        <f t="shared" si="44"/>
        <v>0.65145592958786691</v>
      </c>
      <c r="AG130" s="4">
        <f t="shared" si="42"/>
        <v>0.56032247880849573</v>
      </c>
      <c r="AH130" s="4">
        <f t="shared" si="42"/>
        <v>0.46411326873185343</v>
      </c>
      <c r="AI130" s="4">
        <f t="shared" si="42"/>
        <v>0.36979727595523937</v>
      </c>
      <c r="AJ130" s="4">
        <f t="shared" si="43"/>
        <v>0.28393948637231203</v>
      </c>
      <c r="AK130" s="4">
        <f t="shared" si="43"/>
        <v>0.21097259161117732</v>
      </c>
      <c r="AL130" s="4">
        <f t="shared" si="43"/>
        <v>0.15253917653798199</v>
      </c>
      <c r="AM130" s="4">
        <f t="shared" si="43"/>
        <v>0.10795188737709993</v>
      </c>
      <c r="AN130" s="4">
        <f t="shared" si="43"/>
        <v>7.5176653938091809E-2</v>
      </c>
      <c r="AO130" s="4">
        <f t="shared" si="43"/>
        <v>5.1742836177502194E-2</v>
      </c>
      <c r="AP130" s="4">
        <f t="shared" si="43"/>
        <v>3.5319190625345942E-2</v>
      </c>
      <c r="AQ130" s="4">
        <f t="shared" si="43"/>
        <v>2.3969442072658165E-2</v>
      </c>
      <c r="AR130" s="4">
        <f t="shared" si="43"/>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44"/>
        <v>0.99780374543478534</v>
      </c>
      <c r="R131" s="4">
        <f t="shared" si="44"/>
        <v>0.99685359315256394</v>
      </c>
      <c r="S131" s="4">
        <f t="shared" si="44"/>
        <v>0.99549347132349975</v>
      </c>
      <c r="T131" s="4">
        <f t="shared" si="44"/>
        <v>0.99354772139898062</v>
      </c>
      <c r="U131" s="4">
        <f t="shared" si="44"/>
        <v>0.99076681540580536</v>
      </c>
      <c r="V131" s="4">
        <f t="shared" si="44"/>
        <v>0.9867978615748374</v>
      </c>
      <c r="W131" s="4">
        <f t="shared" si="44"/>
        <v>0.98114509762858249</v>
      </c>
      <c r="X131" s="4">
        <f t="shared" si="44"/>
        <v>0.97311898315872036</v>
      </c>
      <c r="Y131" s="4">
        <f t="shared" si="44"/>
        <v>0.96177484161592774</v>
      </c>
      <c r="Z131" s="4">
        <f t="shared" si="44"/>
        <v>0.94584787155511363</v>
      </c>
      <c r="AA131" s="4">
        <f t="shared" si="44"/>
        <v>0.92370360150141495</v>
      </c>
      <c r="AB131" s="4">
        <f t="shared" si="44"/>
        <v>0.89334463567658451</v>
      </c>
      <c r="AC131" s="4">
        <f t="shared" si="44"/>
        <v>0.85254543874327005</v>
      </c>
      <c r="AD131" s="4">
        <f t="shared" si="44"/>
        <v>0.79921300652623883</v>
      </c>
      <c r="AE131" s="4">
        <f t="shared" si="44"/>
        <v>0.73204982249993378</v>
      </c>
      <c r="AF131" s="4">
        <f t="shared" si="44"/>
        <v>0.65145592958786691</v>
      </c>
      <c r="AG131" s="4">
        <f t="shared" si="42"/>
        <v>0.56032247880849573</v>
      </c>
      <c r="AH131" s="4">
        <f t="shared" si="42"/>
        <v>0.46411326873185343</v>
      </c>
      <c r="AI131" s="4">
        <f t="shared" si="42"/>
        <v>0.36979727595523937</v>
      </c>
      <c r="AJ131" s="4">
        <f t="shared" si="43"/>
        <v>0.28393948637231203</v>
      </c>
      <c r="AK131" s="4">
        <f t="shared" si="43"/>
        <v>0.21097259161117732</v>
      </c>
      <c r="AL131" s="4">
        <f t="shared" si="43"/>
        <v>0.15253917653798199</v>
      </c>
      <c r="AM131" s="4">
        <f t="shared" si="43"/>
        <v>0.10795188737709993</v>
      </c>
      <c r="AN131" s="4">
        <f t="shared" si="43"/>
        <v>7.5176653938091809E-2</v>
      </c>
      <c r="AO131" s="4">
        <f t="shared" si="43"/>
        <v>5.1742836177502194E-2</v>
      </c>
      <c r="AP131" s="4">
        <f t="shared" si="43"/>
        <v>3.5319190625345942E-2</v>
      </c>
      <c r="AQ131" s="4">
        <f t="shared" si="43"/>
        <v>2.3969442072658165E-2</v>
      </c>
      <c r="AR131" s="4">
        <f t="shared" si="43"/>
        <v>1.6202243558389728E-2</v>
      </c>
    </row>
    <row r="132" spans="1:44" x14ac:dyDescent="0.25">
      <c r="A132" s="24" t="s">
        <v>73</v>
      </c>
      <c r="B132" s="45">
        <f>'Parameter Input'!$L$230</f>
        <v>0</v>
      </c>
      <c r="C132" s="46">
        <f>'Parameter Input'!$M$230</f>
        <v>0</v>
      </c>
      <c r="D132" s="1" t="s">
        <v>57</v>
      </c>
      <c r="L132" s="54">
        <f>'Parameter Input'!$O$218</f>
        <v>17</v>
      </c>
      <c r="M132" s="37">
        <v>0</v>
      </c>
      <c r="N132" s="37">
        <v>1</v>
      </c>
      <c r="O132" s="37">
        <f>'Parameter Input'!$P$218</f>
        <v>0.9</v>
      </c>
      <c r="P132" s="55">
        <f>'Parameter Input'!$Q$218</f>
        <v>0.4</v>
      </c>
      <c r="Q132" s="4">
        <f t="shared" si="44"/>
        <v>0.99780374543478534</v>
      </c>
      <c r="R132" s="4">
        <f t="shared" si="44"/>
        <v>0.99685359315256394</v>
      </c>
      <c r="S132" s="4">
        <f t="shared" si="44"/>
        <v>0.99549347132349975</v>
      </c>
      <c r="T132" s="4">
        <f t="shared" si="44"/>
        <v>0.99354772139898062</v>
      </c>
      <c r="U132" s="4">
        <f t="shared" si="44"/>
        <v>0.99076681540580536</v>
      </c>
      <c r="V132" s="4">
        <f t="shared" si="44"/>
        <v>0.9867978615748374</v>
      </c>
      <c r="W132" s="4">
        <f t="shared" si="44"/>
        <v>0.98114509762858249</v>
      </c>
      <c r="X132" s="4">
        <f t="shared" si="44"/>
        <v>0.97311898315872036</v>
      </c>
      <c r="Y132" s="4">
        <f t="shared" si="44"/>
        <v>0.96177484161592774</v>
      </c>
      <c r="Z132" s="4">
        <f t="shared" si="44"/>
        <v>0.94584787155511363</v>
      </c>
      <c r="AA132" s="4">
        <f t="shared" si="44"/>
        <v>0.92370360150141495</v>
      </c>
      <c r="AB132" s="4">
        <f t="shared" si="44"/>
        <v>0.89334463567658451</v>
      </c>
      <c r="AC132" s="4">
        <f t="shared" si="44"/>
        <v>0.85254543874327005</v>
      </c>
      <c r="AD132" s="4">
        <f t="shared" si="44"/>
        <v>0.79921300652623883</v>
      </c>
      <c r="AE132" s="4">
        <f t="shared" si="44"/>
        <v>0.73204982249993378</v>
      </c>
      <c r="AF132" s="4">
        <f t="shared" si="44"/>
        <v>0.65145592958786691</v>
      </c>
      <c r="AG132" s="4">
        <f t="shared" si="42"/>
        <v>0.56032247880849573</v>
      </c>
      <c r="AH132" s="4">
        <f t="shared" si="42"/>
        <v>0.46411326873185343</v>
      </c>
      <c r="AI132" s="4">
        <f t="shared" si="42"/>
        <v>0.36979727595523937</v>
      </c>
      <c r="AJ132" s="4">
        <f t="shared" si="43"/>
        <v>0.28393948637231203</v>
      </c>
      <c r="AK132" s="4">
        <f t="shared" si="43"/>
        <v>0.21097259161117732</v>
      </c>
      <c r="AL132" s="4">
        <f t="shared" si="43"/>
        <v>0.15253917653798199</v>
      </c>
      <c r="AM132" s="4">
        <f t="shared" si="43"/>
        <v>0.10795188737709993</v>
      </c>
      <c r="AN132" s="4">
        <f t="shared" si="43"/>
        <v>7.5176653938091809E-2</v>
      </c>
      <c r="AO132" s="4">
        <f t="shared" si="43"/>
        <v>5.1742836177502194E-2</v>
      </c>
      <c r="AP132" s="4">
        <f t="shared" si="43"/>
        <v>3.5319190625345942E-2</v>
      </c>
      <c r="AQ132" s="4">
        <f t="shared" si="43"/>
        <v>2.3969442072658165E-2</v>
      </c>
      <c r="AR132" s="4">
        <f t="shared" si="43"/>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44"/>
        <v>0.99780374543478534</v>
      </c>
      <c r="R133" s="4">
        <f t="shared" si="44"/>
        <v>0.99685359315256394</v>
      </c>
      <c r="S133" s="4">
        <f t="shared" si="44"/>
        <v>0.99549347132349975</v>
      </c>
      <c r="T133" s="4">
        <f t="shared" si="44"/>
        <v>0.99354772139898062</v>
      </c>
      <c r="U133" s="4">
        <f t="shared" si="44"/>
        <v>0.99076681540580536</v>
      </c>
      <c r="V133" s="4">
        <f t="shared" si="44"/>
        <v>0.9867978615748374</v>
      </c>
      <c r="W133" s="4">
        <f t="shared" si="44"/>
        <v>0.98114509762858249</v>
      </c>
      <c r="X133" s="4">
        <f t="shared" si="44"/>
        <v>0.97311898315872036</v>
      </c>
      <c r="Y133" s="4">
        <f t="shared" si="44"/>
        <v>0.96177484161592774</v>
      </c>
      <c r="Z133" s="4">
        <f t="shared" si="44"/>
        <v>0.94584787155511363</v>
      </c>
      <c r="AA133" s="4">
        <f t="shared" si="44"/>
        <v>0.92370360150141495</v>
      </c>
      <c r="AB133" s="4">
        <f t="shared" si="44"/>
        <v>0.89334463567658451</v>
      </c>
      <c r="AC133" s="4">
        <f t="shared" si="44"/>
        <v>0.85254543874327005</v>
      </c>
      <c r="AD133" s="4">
        <f t="shared" si="44"/>
        <v>0.79921300652623883</v>
      </c>
      <c r="AE133" s="4">
        <f t="shared" si="44"/>
        <v>0.73204982249993378</v>
      </c>
      <c r="AF133" s="4">
        <f t="shared" si="44"/>
        <v>0.65145592958786691</v>
      </c>
      <c r="AG133" s="4">
        <f t="shared" si="42"/>
        <v>0.56032247880849573</v>
      </c>
      <c r="AH133" s="4">
        <f t="shared" si="42"/>
        <v>0.46411326873185343</v>
      </c>
      <c r="AI133" s="4">
        <f t="shared" si="42"/>
        <v>0.36979727595523937</v>
      </c>
      <c r="AJ133" s="4">
        <f t="shared" si="43"/>
        <v>0.28393948637231203</v>
      </c>
      <c r="AK133" s="4">
        <f t="shared" si="43"/>
        <v>0.21097259161117732</v>
      </c>
      <c r="AL133" s="4">
        <f t="shared" si="43"/>
        <v>0.15253917653798199</v>
      </c>
      <c r="AM133" s="4">
        <f t="shared" si="43"/>
        <v>0.10795188737709993</v>
      </c>
      <c r="AN133" s="4">
        <f t="shared" si="43"/>
        <v>7.5176653938091809E-2</v>
      </c>
      <c r="AO133" s="4">
        <f t="shared" si="43"/>
        <v>5.1742836177502194E-2</v>
      </c>
      <c r="AP133" s="4">
        <f t="shared" si="43"/>
        <v>3.5319190625345942E-2</v>
      </c>
      <c r="AQ133" s="4">
        <f t="shared" si="43"/>
        <v>2.3969442072658165E-2</v>
      </c>
      <c r="AR133" s="4">
        <f t="shared" si="43"/>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5">A117</f>
        <v>Capex vehicle</v>
      </c>
      <c r="B137" s="62">
        <f t="shared" ref="B137:AC145" si="46">$B117+($C117-$B117)*(1-Q117)</f>
        <v>15000000</v>
      </c>
      <c r="C137" s="62">
        <f t="shared" si="46"/>
        <v>15000000</v>
      </c>
      <c r="D137" s="62">
        <f t="shared" si="46"/>
        <v>15000000</v>
      </c>
      <c r="E137" s="62">
        <f t="shared" si="46"/>
        <v>15000000</v>
      </c>
      <c r="F137" s="62">
        <f t="shared" si="46"/>
        <v>15000000</v>
      </c>
      <c r="G137" s="62">
        <f t="shared" si="46"/>
        <v>15000000</v>
      </c>
      <c r="H137" s="62">
        <f t="shared" si="46"/>
        <v>15000000</v>
      </c>
      <c r="I137" s="62">
        <f t="shared" si="46"/>
        <v>15000000</v>
      </c>
      <c r="J137" s="62">
        <f t="shared" si="46"/>
        <v>15000000</v>
      </c>
      <c r="K137" s="62">
        <f t="shared" si="46"/>
        <v>15000000</v>
      </c>
      <c r="L137" s="62">
        <f t="shared" si="46"/>
        <v>15000000</v>
      </c>
      <c r="M137" s="62">
        <f t="shared" si="46"/>
        <v>15000000</v>
      </c>
      <c r="N137" s="62">
        <f t="shared" si="46"/>
        <v>15000000</v>
      </c>
      <c r="O137" s="62">
        <f t="shared" si="46"/>
        <v>15000000</v>
      </c>
      <c r="P137" s="62">
        <f t="shared" si="46"/>
        <v>15000000</v>
      </c>
      <c r="Q137" s="62">
        <f t="shared" si="46"/>
        <v>15000000</v>
      </c>
      <c r="R137" s="62">
        <f t="shared" si="46"/>
        <v>15000000</v>
      </c>
      <c r="S137" s="62">
        <f t="shared" si="46"/>
        <v>15000000</v>
      </c>
      <c r="T137" s="62">
        <f t="shared" si="46"/>
        <v>15000000</v>
      </c>
      <c r="U137" s="62">
        <f t="shared" si="46"/>
        <v>15000000</v>
      </c>
      <c r="V137" s="62">
        <f t="shared" si="46"/>
        <v>15000000</v>
      </c>
      <c r="W137" s="62">
        <f t="shared" si="46"/>
        <v>15000000</v>
      </c>
      <c r="X137" s="62">
        <f t="shared" si="46"/>
        <v>15000000</v>
      </c>
      <c r="Y137" s="62">
        <f t="shared" si="46"/>
        <v>15000000</v>
      </c>
      <c r="Z137" s="62">
        <f t="shared" si="46"/>
        <v>15000000</v>
      </c>
      <c r="AA137" s="62">
        <f t="shared" si="46"/>
        <v>15000000</v>
      </c>
      <c r="AB137" s="62">
        <f t="shared" si="46"/>
        <v>15000000</v>
      </c>
      <c r="AC137" s="62">
        <f t="shared" si="46"/>
        <v>15000000</v>
      </c>
    </row>
    <row r="138" spans="1:44" x14ac:dyDescent="0.25">
      <c r="A138" s="30" t="str">
        <f t="shared" si="45"/>
        <v>Residual value (vehicle)</v>
      </c>
      <c r="B138" s="62">
        <f t="shared" si="46"/>
        <v>-1498352.8090760889</v>
      </c>
      <c r="C138" s="62">
        <f t="shared" si="46"/>
        <v>-1497640.194864423</v>
      </c>
      <c r="D138" s="62">
        <f t="shared" si="46"/>
        <v>-1496620.1034926248</v>
      </c>
      <c r="E138" s="62">
        <f t="shared" si="46"/>
        <v>-1495160.7910492355</v>
      </c>
      <c r="F138" s="62">
        <f t="shared" si="46"/>
        <v>-1493075.111554354</v>
      </c>
      <c r="G138" s="62">
        <f t="shared" si="46"/>
        <v>-1490098.396181128</v>
      </c>
      <c r="H138" s="62">
        <f t="shared" si="46"/>
        <v>-1485858.8232214369</v>
      </c>
      <c r="I138" s="62">
        <f t="shared" si="46"/>
        <v>-1479839.2373690403</v>
      </c>
      <c r="J138" s="62">
        <f t="shared" si="46"/>
        <v>-1471331.1312119458</v>
      </c>
      <c r="K138" s="62">
        <f t="shared" si="46"/>
        <v>-1459385.9036663352</v>
      </c>
      <c r="L138" s="62">
        <f t="shared" si="46"/>
        <v>-1442777.7011260611</v>
      </c>
      <c r="M138" s="62">
        <f t="shared" si="46"/>
        <v>-1420008.4767574384</v>
      </c>
      <c r="N138" s="62">
        <f t="shared" si="46"/>
        <v>-1389409.0790574525</v>
      </c>
      <c r="O138" s="62">
        <f t="shared" si="46"/>
        <v>-1349409.7548946792</v>
      </c>
      <c r="P138" s="62">
        <f t="shared" si="46"/>
        <v>-1299037.3668749502</v>
      </c>
      <c r="Q138" s="62">
        <f t="shared" si="46"/>
        <v>-1238591.9471909001</v>
      </c>
      <c r="R138" s="62">
        <f t="shared" si="46"/>
        <v>-1170241.8591063719</v>
      </c>
      <c r="S138" s="62">
        <f t="shared" si="46"/>
        <v>-1098084.9515488902</v>
      </c>
      <c r="T138" s="62">
        <f t="shared" si="46"/>
        <v>-1027347.9569664295</v>
      </c>
      <c r="U138" s="62">
        <f t="shared" si="46"/>
        <v>-962954.61477923405</v>
      </c>
      <c r="V138" s="62">
        <f t="shared" si="46"/>
        <v>-908229.44370838301</v>
      </c>
      <c r="W138" s="62">
        <f t="shared" si="46"/>
        <v>-864404.38240348652</v>
      </c>
      <c r="X138" s="62">
        <f t="shared" si="46"/>
        <v>-830963.91553282493</v>
      </c>
      <c r="Y138" s="62">
        <f t="shared" si="46"/>
        <v>-806382.49045356887</v>
      </c>
      <c r="Z138" s="62">
        <f t="shared" si="46"/>
        <v>-788807.1271331266</v>
      </c>
      <c r="AA138" s="62">
        <f t="shared" si="46"/>
        <v>-776489.39296900947</v>
      </c>
      <c r="AB138" s="62">
        <f t="shared" si="46"/>
        <v>-767977.08155449363</v>
      </c>
      <c r="AC138" s="62">
        <f t="shared" si="46"/>
        <v>-762151.68266879232</v>
      </c>
    </row>
    <row r="139" spans="1:44" x14ac:dyDescent="0.25">
      <c r="A139" s="30" t="str">
        <f t="shared" si="45"/>
        <v>Capex costumization</v>
      </c>
      <c r="B139" s="62">
        <f t="shared" si="46"/>
        <v>5000000</v>
      </c>
      <c r="C139" s="62">
        <f t="shared" si="46"/>
        <v>5000000</v>
      </c>
      <c r="D139" s="62">
        <f t="shared" si="46"/>
        <v>5000000</v>
      </c>
      <c r="E139" s="62">
        <f t="shared" si="46"/>
        <v>5000000</v>
      </c>
      <c r="F139" s="62">
        <f t="shared" si="46"/>
        <v>5000000</v>
      </c>
      <c r="G139" s="62">
        <f t="shared" si="46"/>
        <v>5000000</v>
      </c>
      <c r="H139" s="62">
        <f t="shared" si="46"/>
        <v>5000000</v>
      </c>
      <c r="I139" s="62">
        <f t="shared" si="46"/>
        <v>5000000</v>
      </c>
      <c r="J139" s="62">
        <f t="shared" si="46"/>
        <v>5000000</v>
      </c>
      <c r="K139" s="62">
        <f t="shared" si="46"/>
        <v>5000000</v>
      </c>
      <c r="L139" s="62">
        <f t="shared" si="46"/>
        <v>5000000</v>
      </c>
      <c r="M139" s="62">
        <f t="shared" si="46"/>
        <v>5000000</v>
      </c>
      <c r="N139" s="62">
        <f t="shared" si="46"/>
        <v>5000000</v>
      </c>
      <c r="O139" s="62">
        <f t="shared" si="46"/>
        <v>5000000</v>
      </c>
      <c r="P139" s="62">
        <f t="shared" si="46"/>
        <v>5000000</v>
      </c>
      <c r="Q139" s="62">
        <f t="shared" si="46"/>
        <v>5000000</v>
      </c>
      <c r="R139" s="62">
        <f t="shared" si="46"/>
        <v>5000000</v>
      </c>
      <c r="S139" s="62">
        <f t="shared" si="46"/>
        <v>5000000</v>
      </c>
      <c r="T139" s="62">
        <f t="shared" si="46"/>
        <v>5000000</v>
      </c>
      <c r="U139" s="62">
        <f t="shared" si="46"/>
        <v>5000000</v>
      </c>
      <c r="V139" s="62">
        <f t="shared" si="46"/>
        <v>5000000</v>
      </c>
      <c r="W139" s="62">
        <f t="shared" si="46"/>
        <v>5000000</v>
      </c>
      <c r="X139" s="62">
        <f t="shared" si="46"/>
        <v>5000000</v>
      </c>
      <c r="Y139" s="62">
        <f t="shared" si="46"/>
        <v>5000000</v>
      </c>
      <c r="Z139" s="62">
        <f t="shared" si="46"/>
        <v>5000000</v>
      </c>
      <c r="AA139" s="62">
        <f t="shared" si="46"/>
        <v>5000000</v>
      </c>
      <c r="AB139" s="62">
        <f t="shared" si="46"/>
        <v>5000000</v>
      </c>
      <c r="AC139" s="62">
        <f t="shared" si="46"/>
        <v>5000000</v>
      </c>
    </row>
    <row r="140" spans="1:44" x14ac:dyDescent="0.25">
      <c r="A140" s="30" t="str">
        <f t="shared" si="45"/>
        <v>Residual value (costumization)</v>
      </c>
      <c r="B140" s="62">
        <f t="shared" si="46"/>
        <v>-500000</v>
      </c>
      <c r="C140" s="62">
        <f t="shared" si="46"/>
        <v>-500000</v>
      </c>
      <c r="D140" s="62">
        <f t="shared" si="46"/>
        <v>-500000</v>
      </c>
      <c r="E140" s="62">
        <f t="shared" si="46"/>
        <v>-500000</v>
      </c>
      <c r="F140" s="62">
        <f t="shared" si="46"/>
        <v>-500000</v>
      </c>
      <c r="G140" s="62">
        <f t="shared" si="46"/>
        <v>-500000</v>
      </c>
      <c r="H140" s="62">
        <f t="shared" si="46"/>
        <v>-500000</v>
      </c>
      <c r="I140" s="62">
        <f t="shared" si="46"/>
        <v>-500000</v>
      </c>
      <c r="J140" s="62">
        <f t="shared" si="46"/>
        <v>-500000</v>
      </c>
      <c r="K140" s="62">
        <f t="shared" si="46"/>
        <v>-500000</v>
      </c>
      <c r="L140" s="62">
        <f t="shared" si="46"/>
        <v>-500000</v>
      </c>
      <c r="M140" s="62">
        <f t="shared" si="46"/>
        <v>-500000</v>
      </c>
      <c r="N140" s="62">
        <f t="shared" si="46"/>
        <v>-500000</v>
      </c>
      <c r="O140" s="62">
        <f t="shared" si="46"/>
        <v>-500000</v>
      </c>
      <c r="P140" s="62">
        <f t="shared" si="46"/>
        <v>-500000</v>
      </c>
      <c r="Q140" s="62">
        <f t="shared" si="46"/>
        <v>-500000</v>
      </c>
      <c r="R140" s="62">
        <f t="shared" si="46"/>
        <v>-500000</v>
      </c>
      <c r="S140" s="62">
        <f t="shared" si="46"/>
        <v>-500000</v>
      </c>
      <c r="T140" s="62">
        <f t="shared" si="46"/>
        <v>-500000</v>
      </c>
      <c r="U140" s="62">
        <f t="shared" si="46"/>
        <v>-500000</v>
      </c>
      <c r="V140" s="62">
        <f t="shared" si="46"/>
        <v>-500000</v>
      </c>
      <c r="W140" s="62">
        <f t="shared" si="46"/>
        <v>-500000</v>
      </c>
      <c r="X140" s="62">
        <f t="shared" si="46"/>
        <v>-500000</v>
      </c>
      <c r="Y140" s="62">
        <f t="shared" si="46"/>
        <v>-500000</v>
      </c>
      <c r="Z140" s="62">
        <f t="shared" si="46"/>
        <v>-500000</v>
      </c>
      <c r="AA140" s="62">
        <f t="shared" si="46"/>
        <v>-500000</v>
      </c>
      <c r="AB140" s="62">
        <f t="shared" si="46"/>
        <v>-500000</v>
      </c>
      <c r="AC140" s="62">
        <f t="shared" si="46"/>
        <v>-500000</v>
      </c>
    </row>
    <row r="141" spans="1:44" x14ac:dyDescent="0.25">
      <c r="A141" s="30" t="str">
        <f t="shared" si="45"/>
        <v>WACC</v>
      </c>
      <c r="B141" s="66">
        <f>$B121+($C121-$B121)*(1-Q121)</f>
        <v>0.06</v>
      </c>
      <c r="C141" s="62">
        <f t="shared" si="46"/>
        <v>0.06</v>
      </c>
      <c r="D141" s="62">
        <f t="shared" si="46"/>
        <v>0.06</v>
      </c>
      <c r="E141" s="62">
        <f t="shared" si="46"/>
        <v>0.06</v>
      </c>
      <c r="F141" s="62">
        <f t="shared" si="46"/>
        <v>0.06</v>
      </c>
      <c r="G141" s="62">
        <f t="shared" si="46"/>
        <v>0.06</v>
      </c>
      <c r="H141" s="62">
        <f t="shared" si="46"/>
        <v>0.06</v>
      </c>
      <c r="I141" s="62">
        <f t="shared" si="46"/>
        <v>0.06</v>
      </c>
      <c r="J141" s="62">
        <f t="shared" si="46"/>
        <v>0.06</v>
      </c>
      <c r="K141" s="62">
        <f t="shared" si="46"/>
        <v>0.06</v>
      </c>
      <c r="L141" s="62">
        <f t="shared" si="46"/>
        <v>0.06</v>
      </c>
      <c r="M141" s="62">
        <f t="shared" si="46"/>
        <v>0.06</v>
      </c>
      <c r="N141" s="62">
        <f t="shared" si="46"/>
        <v>0.06</v>
      </c>
      <c r="O141" s="62">
        <f t="shared" si="46"/>
        <v>0.06</v>
      </c>
      <c r="P141" s="62">
        <f t="shared" si="46"/>
        <v>0.06</v>
      </c>
      <c r="Q141" s="62">
        <f t="shared" si="46"/>
        <v>0.06</v>
      </c>
      <c r="R141" s="62">
        <f t="shared" si="46"/>
        <v>0.06</v>
      </c>
      <c r="S141" s="62">
        <f t="shared" si="46"/>
        <v>0.06</v>
      </c>
      <c r="T141" s="62">
        <f t="shared" si="46"/>
        <v>0.06</v>
      </c>
      <c r="U141" s="62">
        <f t="shared" si="46"/>
        <v>0.06</v>
      </c>
      <c r="V141" s="62">
        <f t="shared" si="46"/>
        <v>0.06</v>
      </c>
      <c r="W141" s="62">
        <f t="shared" si="46"/>
        <v>0.06</v>
      </c>
      <c r="X141" s="62">
        <f t="shared" si="46"/>
        <v>0.06</v>
      </c>
      <c r="Y141" s="62">
        <f t="shared" si="46"/>
        <v>0.06</v>
      </c>
      <c r="Z141" s="62">
        <f t="shared" si="46"/>
        <v>0.06</v>
      </c>
      <c r="AA141" s="62">
        <f t="shared" si="46"/>
        <v>0.06</v>
      </c>
      <c r="AB141" s="62">
        <f t="shared" si="46"/>
        <v>0.06</v>
      </c>
      <c r="AC141" s="62">
        <f t="shared" si="46"/>
        <v>0.06</v>
      </c>
    </row>
    <row r="142" spans="1:44" x14ac:dyDescent="0.25">
      <c r="A142" s="30" t="str">
        <f t="shared" si="45"/>
        <v>Opex fix (admin, crew, insurance)</v>
      </c>
      <c r="B142" s="62">
        <f t="shared" si="46"/>
        <v>1208235.294117647</v>
      </c>
      <c r="C142" s="62">
        <f t="shared" si="46"/>
        <v>1208235.294117647</v>
      </c>
      <c r="D142" s="62">
        <f t="shared" si="46"/>
        <v>1208235.294117647</v>
      </c>
      <c r="E142" s="62">
        <f t="shared" si="46"/>
        <v>1208235.294117647</v>
      </c>
      <c r="F142" s="62">
        <f t="shared" si="46"/>
        <v>1208235.294117647</v>
      </c>
      <c r="G142" s="62">
        <f t="shared" si="46"/>
        <v>1208235.294117647</v>
      </c>
      <c r="H142" s="62">
        <f t="shared" si="46"/>
        <v>1208235.294117647</v>
      </c>
      <c r="I142" s="62">
        <f t="shared" si="46"/>
        <v>1208235.294117647</v>
      </c>
      <c r="J142" s="62">
        <f t="shared" si="46"/>
        <v>1208235.294117647</v>
      </c>
      <c r="K142" s="62">
        <f t="shared" si="46"/>
        <v>1208235.294117647</v>
      </c>
      <c r="L142" s="62">
        <f t="shared" si="46"/>
        <v>1208235.294117647</v>
      </c>
      <c r="M142" s="62">
        <f t="shared" si="46"/>
        <v>1208235.294117647</v>
      </c>
      <c r="N142" s="62">
        <f t="shared" si="46"/>
        <v>1208235.294117647</v>
      </c>
      <c r="O142" s="62">
        <f t="shared" si="46"/>
        <v>1208235.294117647</v>
      </c>
      <c r="P142" s="62">
        <f t="shared" si="46"/>
        <v>1208235.294117647</v>
      </c>
      <c r="Q142" s="62">
        <f t="shared" si="46"/>
        <v>1208235.294117647</v>
      </c>
      <c r="R142" s="62">
        <f t="shared" si="46"/>
        <v>1208235.294117647</v>
      </c>
      <c r="S142" s="62">
        <f t="shared" si="46"/>
        <v>1208235.294117647</v>
      </c>
      <c r="T142" s="62">
        <f t="shared" si="46"/>
        <v>1208235.294117647</v>
      </c>
      <c r="U142" s="62">
        <f t="shared" si="46"/>
        <v>1208235.294117647</v>
      </c>
      <c r="V142" s="62">
        <f t="shared" si="46"/>
        <v>1208235.294117647</v>
      </c>
      <c r="W142" s="62">
        <f t="shared" si="46"/>
        <v>1208235.294117647</v>
      </c>
      <c r="X142" s="62">
        <f t="shared" si="46"/>
        <v>1208235.294117647</v>
      </c>
      <c r="Y142" s="62">
        <f t="shared" si="46"/>
        <v>1208235.294117647</v>
      </c>
      <c r="Z142" s="62">
        <f t="shared" si="46"/>
        <v>1208235.294117647</v>
      </c>
      <c r="AA142" s="62">
        <f t="shared" si="46"/>
        <v>1208235.294117647</v>
      </c>
      <c r="AB142" s="62">
        <f t="shared" si="46"/>
        <v>1208235.294117647</v>
      </c>
      <c r="AC142" s="62">
        <f t="shared" si="46"/>
        <v>1208235.294117647</v>
      </c>
    </row>
    <row r="143" spans="1:44" x14ac:dyDescent="0.25">
      <c r="A143" s="30" t="str">
        <f t="shared" si="45"/>
        <v>Opex maintenance &amp; repair</v>
      </c>
      <c r="B143" s="62">
        <f t="shared" si="46"/>
        <v>488235.29411764705</v>
      </c>
      <c r="C143" s="62">
        <f t="shared" si="46"/>
        <v>488235.29411764705</v>
      </c>
      <c r="D143" s="62">
        <f t="shared" si="46"/>
        <v>488235.29411764705</v>
      </c>
      <c r="E143" s="62">
        <f t="shared" si="46"/>
        <v>488235.29411764705</v>
      </c>
      <c r="F143" s="62">
        <f t="shared" si="46"/>
        <v>488235.29411764705</v>
      </c>
      <c r="G143" s="62">
        <f t="shared" si="46"/>
        <v>488235.29411764705</v>
      </c>
      <c r="H143" s="62">
        <f t="shared" si="46"/>
        <v>488235.29411764705</v>
      </c>
      <c r="I143" s="62">
        <f t="shared" si="46"/>
        <v>488235.29411764705</v>
      </c>
      <c r="J143" s="62">
        <f t="shared" si="46"/>
        <v>488235.29411764705</v>
      </c>
      <c r="K143" s="62">
        <f t="shared" si="46"/>
        <v>488235.29411764705</v>
      </c>
      <c r="L143" s="62">
        <f t="shared" si="46"/>
        <v>488235.29411764705</v>
      </c>
      <c r="M143" s="62">
        <f t="shared" si="46"/>
        <v>488235.29411764705</v>
      </c>
      <c r="N143" s="62">
        <f t="shared" si="46"/>
        <v>488235.29411764705</v>
      </c>
      <c r="O143" s="62">
        <f t="shared" si="46"/>
        <v>488235.29411764705</v>
      </c>
      <c r="P143" s="62">
        <f t="shared" si="46"/>
        <v>488235.29411764705</v>
      </c>
      <c r="Q143" s="62">
        <f t="shared" si="46"/>
        <v>488235.29411764705</v>
      </c>
      <c r="R143" s="62">
        <f t="shared" si="46"/>
        <v>488235.29411764705</v>
      </c>
      <c r="S143" s="62">
        <f t="shared" si="46"/>
        <v>488235.29411764705</v>
      </c>
      <c r="T143" s="62">
        <f t="shared" si="46"/>
        <v>488235.29411764705</v>
      </c>
      <c r="U143" s="62">
        <f t="shared" si="46"/>
        <v>488235.29411764705</v>
      </c>
      <c r="V143" s="62">
        <f t="shared" si="46"/>
        <v>488235.29411764705</v>
      </c>
      <c r="W143" s="62">
        <f t="shared" si="46"/>
        <v>488235.29411764705</v>
      </c>
      <c r="X143" s="62">
        <f t="shared" si="46"/>
        <v>488235.29411764705</v>
      </c>
      <c r="Y143" s="62">
        <f t="shared" si="46"/>
        <v>488235.29411764705</v>
      </c>
      <c r="Z143" s="62">
        <f t="shared" si="46"/>
        <v>488235.29411764705</v>
      </c>
      <c r="AA143" s="62">
        <f t="shared" si="46"/>
        <v>488235.29411764705</v>
      </c>
      <c r="AB143" s="62">
        <f t="shared" si="46"/>
        <v>488235.29411764705</v>
      </c>
      <c r="AC143" s="62">
        <f t="shared" si="46"/>
        <v>488235.29411764705</v>
      </c>
    </row>
    <row r="144" spans="1:44" x14ac:dyDescent="0.25">
      <c r="A144" s="30" t="str">
        <f t="shared" si="45"/>
        <v>Opex var (mode-fees)</v>
      </c>
      <c r="B144" s="62">
        <f t="shared" si="46"/>
        <v>1.6886890630966982</v>
      </c>
      <c r="C144" s="62">
        <f t="shared" si="46"/>
        <v>1.6886890630966982</v>
      </c>
      <c r="D144" s="62">
        <f t="shared" si="46"/>
        <v>1.6886890630966982</v>
      </c>
      <c r="E144" s="62">
        <f t="shared" si="46"/>
        <v>1.6886890630966982</v>
      </c>
      <c r="F144" s="62">
        <f t="shared" si="46"/>
        <v>1.6886890630966982</v>
      </c>
      <c r="G144" s="62">
        <f t="shared" si="46"/>
        <v>1.6886890630966982</v>
      </c>
      <c r="H144" s="62">
        <f t="shared" si="46"/>
        <v>1.6886890630966982</v>
      </c>
      <c r="I144" s="62">
        <f t="shared" si="46"/>
        <v>1.6886890630966982</v>
      </c>
      <c r="J144" s="62">
        <f t="shared" si="46"/>
        <v>1.6886890630966982</v>
      </c>
      <c r="K144" s="62">
        <f t="shared" si="46"/>
        <v>1.6886890630966982</v>
      </c>
      <c r="L144" s="62">
        <f t="shared" si="46"/>
        <v>1.6886890630966982</v>
      </c>
      <c r="M144" s="62">
        <f t="shared" si="46"/>
        <v>1.6886890630966982</v>
      </c>
      <c r="N144" s="62">
        <f t="shared" si="46"/>
        <v>1.6886890630966982</v>
      </c>
      <c r="O144" s="62">
        <f t="shared" si="46"/>
        <v>1.6886890630966982</v>
      </c>
      <c r="P144" s="62">
        <f t="shared" si="46"/>
        <v>1.6886890630966982</v>
      </c>
      <c r="Q144" s="62">
        <f t="shared" si="46"/>
        <v>1.6886890630966982</v>
      </c>
      <c r="R144" s="62">
        <f t="shared" si="46"/>
        <v>1.6886890630966982</v>
      </c>
      <c r="S144" s="62">
        <f t="shared" si="46"/>
        <v>1.6886890630966982</v>
      </c>
      <c r="T144" s="62">
        <f t="shared" si="46"/>
        <v>1.6886890630966982</v>
      </c>
      <c r="U144" s="62">
        <f t="shared" si="46"/>
        <v>1.6886890630966982</v>
      </c>
      <c r="V144" s="62">
        <f t="shared" si="46"/>
        <v>1.6886890630966982</v>
      </c>
      <c r="W144" s="62">
        <f t="shared" si="46"/>
        <v>1.6886890630966982</v>
      </c>
      <c r="X144" s="62">
        <f t="shared" si="46"/>
        <v>1.6886890630966982</v>
      </c>
      <c r="Y144" s="62">
        <f t="shared" si="46"/>
        <v>1.6886890630966982</v>
      </c>
      <c r="Z144" s="62">
        <f t="shared" si="46"/>
        <v>1.6886890630966982</v>
      </c>
      <c r="AA144" s="62">
        <f t="shared" si="46"/>
        <v>1.6886890630966982</v>
      </c>
      <c r="AB144" s="62">
        <f t="shared" si="46"/>
        <v>1.6886890630966982</v>
      </c>
      <c r="AC144" s="62">
        <f t="shared" si="46"/>
        <v>1.6886890630966982</v>
      </c>
    </row>
    <row r="145" spans="1:29" x14ac:dyDescent="0.25">
      <c r="A145" s="30" t="str">
        <f t="shared" si="45"/>
        <v>Fuel Economy</v>
      </c>
      <c r="B145" s="62">
        <f t="shared" si="46"/>
        <v>646.89677603543487</v>
      </c>
      <c r="C145" s="62">
        <f t="shared" si="46"/>
        <v>646.85211887817047</v>
      </c>
      <c r="D145" s="62">
        <f t="shared" si="46"/>
        <v>646.78819315220449</v>
      </c>
      <c r="E145" s="62">
        <f t="shared" si="46"/>
        <v>646.6967429057521</v>
      </c>
      <c r="F145" s="62">
        <f t="shared" si="46"/>
        <v>646.5660403240729</v>
      </c>
      <c r="G145" s="62">
        <f t="shared" si="46"/>
        <v>646.37949949401741</v>
      </c>
      <c r="H145" s="62">
        <f t="shared" si="46"/>
        <v>646.11381958854338</v>
      </c>
      <c r="I145" s="62">
        <f t="shared" si="46"/>
        <v>645.73659220845991</v>
      </c>
      <c r="J145" s="62">
        <f t="shared" si="46"/>
        <v>645.20341755594859</v>
      </c>
      <c r="K145" s="62">
        <f t="shared" si="46"/>
        <v>644.4548499630904</v>
      </c>
      <c r="L145" s="62">
        <f t="shared" si="46"/>
        <v>643.41406927056653</v>
      </c>
      <c r="M145" s="62">
        <f t="shared" si="46"/>
        <v>641.98719787679943</v>
      </c>
      <c r="N145" s="62">
        <f t="shared" si="46"/>
        <v>640.0696356209337</v>
      </c>
      <c r="O145" s="62">
        <f t="shared" si="46"/>
        <v>637.56301130673319</v>
      </c>
      <c r="P145" s="62">
        <f t="shared" si="46"/>
        <v>634.40634165749691</v>
      </c>
      <c r="Q145" s="62">
        <f t="shared" si="46"/>
        <v>630.6184286906298</v>
      </c>
      <c r="R145" s="62">
        <f t="shared" si="46"/>
        <v>626.33515650399931</v>
      </c>
      <c r="S145" s="62">
        <f t="shared" si="46"/>
        <v>621.81332363039712</v>
      </c>
      <c r="T145" s="62">
        <f t="shared" si="46"/>
        <v>617.38047196989623</v>
      </c>
      <c r="U145" s="62">
        <f t="shared" si="46"/>
        <v>613.34515585949862</v>
      </c>
      <c r="V145" s="62">
        <f t="shared" si="46"/>
        <v>609.91571180572532</v>
      </c>
      <c r="W145" s="62">
        <f t="shared" si="46"/>
        <v>607.1693412972852</v>
      </c>
      <c r="X145" s="62">
        <f t="shared" si="46"/>
        <v>605.0737387067237</v>
      </c>
      <c r="Y145" s="62">
        <f t="shared" si="46"/>
        <v>603.53330273509027</v>
      </c>
      <c r="Z145" s="62">
        <f t="shared" si="46"/>
        <v>602.43191330034256</v>
      </c>
      <c r="AA145" s="62">
        <f t="shared" si="46"/>
        <v>601.66000195939125</v>
      </c>
      <c r="AB145" s="62">
        <f t="shared" si="46"/>
        <v>601.12656377741496</v>
      </c>
      <c r="AC145" s="62">
        <f t="shared" si="46"/>
        <v>600.7615054472443</v>
      </c>
    </row>
    <row r="146" spans="1:29" x14ac:dyDescent="0.25">
      <c r="A146" s="30" t="str">
        <f t="shared" si="45"/>
        <v>Fuel Cost</v>
      </c>
      <c r="B146" s="62">
        <f>'Parameter Input'!J10</f>
        <v>2.5977890665149557E-2</v>
      </c>
      <c r="C146" s="62">
        <f>'Parameter Input'!K10</f>
        <v>2.418631199858752E-2</v>
      </c>
      <c r="D146" s="62">
        <f>'Parameter Input'!L10</f>
        <v>2.2394733332025477E-2</v>
      </c>
      <c r="E146" s="62">
        <f>'Parameter Input'!M10</f>
        <v>2.060315466546344E-2</v>
      </c>
      <c r="F146" s="62">
        <f>'Parameter Input'!N10</f>
        <v>1.8811575998901403E-2</v>
      </c>
      <c r="G146" s="62">
        <f>'Parameter Input'!O10</f>
        <v>1.7019997332339366E-2</v>
      </c>
      <c r="H146" s="62">
        <f>'Parameter Input'!P10</f>
        <v>1.5228418665777328E-2</v>
      </c>
      <c r="I146" s="62">
        <f>'Parameter Input'!Q10</f>
        <v>1.3436839999215288E-2</v>
      </c>
      <c r="J146" s="62">
        <f>'Parameter Input'!R10</f>
        <v>1.3164903951612121E-2</v>
      </c>
      <c r="K146" s="62">
        <f>'Parameter Input'!S10</f>
        <v>1.2892967904008954E-2</v>
      </c>
      <c r="L146" s="62">
        <f>'Parameter Input'!T10</f>
        <v>1.2621031856405788E-2</v>
      </c>
      <c r="M146" s="62">
        <f>'Parameter Input'!U10</f>
        <v>1.2349095808802621E-2</v>
      </c>
      <c r="N146" s="62">
        <f>'Parameter Input'!V10</f>
        <v>1.2077159761199453E-2</v>
      </c>
      <c r="O146" s="62">
        <f>'Parameter Input'!W10</f>
        <v>1.1805223713596286E-2</v>
      </c>
      <c r="P146" s="62">
        <f>'Parameter Input'!X10</f>
        <v>1.153328766599312E-2</v>
      </c>
      <c r="Q146" s="62">
        <f>'Parameter Input'!Y10</f>
        <v>1.1261351618389953E-2</v>
      </c>
      <c r="R146" s="62">
        <f>'Parameter Input'!Z10</f>
        <v>1.0989415570786787E-2</v>
      </c>
      <c r="S146" s="62">
        <f>'Parameter Input'!AA10</f>
        <v>1.0717479523183622E-2</v>
      </c>
      <c r="T146" s="62">
        <f>'Parameter Input'!AB10</f>
        <v>1.0445543475580455E-2</v>
      </c>
      <c r="U146" s="62">
        <f>'Parameter Input'!AC10</f>
        <v>1.0173607427977288E-2</v>
      </c>
      <c r="V146" s="62">
        <f>'Parameter Input'!AD10</f>
        <v>9.9016713803741219E-3</v>
      </c>
      <c r="W146" s="62">
        <f>'Parameter Input'!AE10</f>
        <v>9.6297353327709553E-3</v>
      </c>
      <c r="X146" s="62">
        <f>'Parameter Input'!AF10</f>
        <v>9.3577992851677887E-3</v>
      </c>
      <c r="Y146" s="62">
        <f>'Parameter Input'!AG10</f>
        <v>9.0858632375646221E-3</v>
      </c>
      <c r="Z146" s="62">
        <f>'Parameter Input'!AH10</f>
        <v>8.8139271899614555E-3</v>
      </c>
      <c r="AA146" s="62">
        <f>'Parameter Input'!AI10</f>
        <v>8.5419911423582889E-3</v>
      </c>
      <c r="AB146" s="62">
        <f>'Parameter Input'!AJ10</f>
        <v>8.2700550947551223E-3</v>
      </c>
      <c r="AC146" s="62">
        <f>'Parameter Input'!AK10</f>
        <v>7.9981190471519557E-3</v>
      </c>
    </row>
    <row r="147" spans="1:29" x14ac:dyDescent="0.25">
      <c r="A147" s="30" t="str">
        <f t="shared" si="45"/>
        <v>Emission Cost</v>
      </c>
      <c r="B147" s="98">
        <f>$B127+($C127-$B127)*(1-Q127)</f>
        <v>0</v>
      </c>
      <c r="C147" s="98">
        <f t="shared" ref="C147:AC150" si="47">$B127+($C127-$B127)*(1-R127)</f>
        <v>0</v>
      </c>
      <c r="D147" s="98">
        <f t="shared" si="47"/>
        <v>0</v>
      </c>
      <c r="E147" s="98">
        <f t="shared" si="47"/>
        <v>0</v>
      </c>
      <c r="F147" s="98">
        <f t="shared" si="47"/>
        <v>0</v>
      </c>
      <c r="G147" s="98">
        <f t="shared" si="47"/>
        <v>0</v>
      </c>
      <c r="H147" s="98">
        <f t="shared" si="47"/>
        <v>0</v>
      </c>
      <c r="I147" s="98">
        <f t="shared" si="47"/>
        <v>0</v>
      </c>
      <c r="J147" s="98">
        <f t="shared" si="47"/>
        <v>0</v>
      </c>
      <c r="K147" s="98">
        <f t="shared" si="47"/>
        <v>0</v>
      </c>
      <c r="L147" s="98">
        <f t="shared" si="47"/>
        <v>0</v>
      </c>
      <c r="M147" s="98">
        <f t="shared" si="47"/>
        <v>0</v>
      </c>
      <c r="N147" s="98">
        <f t="shared" si="47"/>
        <v>0</v>
      </c>
      <c r="O147" s="98">
        <f t="shared" si="47"/>
        <v>0</v>
      </c>
      <c r="P147" s="98">
        <f t="shared" si="47"/>
        <v>0</v>
      </c>
      <c r="Q147" s="98">
        <f t="shared" si="47"/>
        <v>0</v>
      </c>
      <c r="R147" s="98">
        <f t="shared" si="47"/>
        <v>0</v>
      </c>
      <c r="S147" s="98">
        <f t="shared" si="47"/>
        <v>0</v>
      </c>
      <c r="T147" s="98">
        <f t="shared" si="47"/>
        <v>0</v>
      </c>
      <c r="U147" s="98">
        <f t="shared" si="47"/>
        <v>0</v>
      </c>
      <c r="V147" s="98">
        <f t="shared" si="47"/>
        <v>0</v>
      </c>
      <c r="W147" s="98">
        <f t="shared" si="47"/>
        <v>0</v>
      </c>
      <c r="X147" s="98">
        <f t="shared" si="47"/>
        <v>0</v>
      </c>
      <c r="Y147" s="98">
        <f t="shared" si="47"/>
        <v>0</v>
      </c>
      <c r="Z147" s="98">
        <f t="shared" si="47"/>
        <v>0</v>
      </c>
      <c r="AA147" s="98">
        <f t="shared" si="47"/>
        <v>0</v>
      </c>
      <c r="AB147" s="98">
        <f t="shared" si="47"/>
        <v>0</v>
      </c>
      <c r="AC147" s="98">
        <f t="shared" si="47"/>
        <v>0</v>
      </c>
    </row>
    <row r="148" spans="1:29" x14ac:dyDescent="0.25">
      <c r="A148" s="30" t="str">
        <f t="shared" si="45"/>
        <v>Lifetime vehicle</v>
      </c>
      <c r="B148" s="62">
        <f>$B128+($C128-$B128)*(1-Q128)</f>
        <v>25</v>
      </c>
      <c r="C148" s="62">
        <f t="shared" si="47"/>
        <v>25</v>
      </c>
      <c r="D148" s="62">
        <f t="shared" si="47"/>
        <v>25</v>
      </c>
      <c r="E148" s="62">
        <f t="shared" si="47"/>
        <v>25</v>
      </c>
      <c r="F148" s="62">
        <f t="shared" si="47"/>
        <v>25</v>
      </c>
      <c r="G148" s="62">
        <f t="shared" si="47"/>
        <v>25</v>
      </c>
      <c r="H148" s="62">
        <f t="shared" si="47"/>
        <v>25</v>
      </c>
      <c r="I148" s="62">
        <f t="shared" si="47"/>
        <v>25</v>
      </c>
      <c r="J148" s="62">
        <f t="shared" si="47"/>
        <v>25</v>
      </c>
      <c r="K148" s="62">
        <f t="shared" si="47"/>
        <v>25</v>
      </c>
      <c r="L148" s="62">
        <f t="shared" si="47"/>
        <v>25</v>
      </c>
      <c r="M148" s="62">
        <f t="shared" si="47"/>
        <v>25</v>
      </c>
      <c r="N148" s="62">
        <f t="shared" si="47"/>
        <v>25</v>
      </c>
      <c r="O148" s="62">
        <f t="shared" si="47"/>
        <v>25</v>
      </c>
      <c r="P148" s="62">
        <f t="shared" si="47"/>
        <v>25</v>
      </c>
      <c r="Q148" s="62">
        <f t="shared" si="47"/>
        <v>25</v>
      </c>
      <c r="R148" s="62">
        <f t="shared" si="47"/>
        <v>25</v>
      </c>
      <c r="S148" s="62">
        <f t="shared" si="47"/>
        <v>25</v>
      </c>
      <c r="T148" s="62">
        <f t="shared" si="47"/>
        <v>25</v>
      </c>
      <c r="U148" s="62">
        <f t="shared" si="47"/>
        <v>25</v>
      </c>
      <c r="V148" s="62">
        <f t="shared" si="47"/>
        <v>25</v>
      </c>
      <c r="W148" s="62">
        <f t="shared" si="47"/>
        <v>25</v>
      </c>
      <c r="X148" s="62">
        <f t="shared" si="47"/>
        <v>25</v>
      </c>
      <c r="Y148" s="62">
        <f t="shared" si="47"/>
        <v>25</v>
      </c>
      <c r="Z148" s="62">
        <f t="shared" si="47"/>
        <v>25</v>
      </c>
      <c r="AA148" s="62">
        <f t="shared" si="47"/>
        <v>25</v>
      </c>
      <c r="AB148" s="62">
        <f t="shared" si="47"/>
        <v>25</v>
      </c>
      <c r="AC148" s="62">
        <f t="shared" si="47"/>
        <v>25</v>
      </c>
    </row>
    <row r="149" spans="1:29" x14ac:dyDescent="0.25">
      <c r="A149" s="30" t="str">
        <f t="shared" si="45"/>
        <v>Lifetime costumization</v>
      </c>
      <c r="B149" s="62">
        <f>$B129+($C129-$B129)*(1-Q129)</f>
        <v>25</v>
      </c>
      <c r="C149" s="62">
        <f t="shared" si="47"/>
        <v>25</v>
      </c>
      <c r="D149" s="62">
        <f t="shared" si="47"/>
        <v>25</v>
      </c>
      <c r="E149" s="62">
        <f t="shared" si="47"/>
        <v>25</v>
      </c>
      <c r="F149" s="62">
        <f t="shared" si="47"/>
        <v>25</v>
      </c>
      <c r="G149" s="62">
        <f t="shared" si="47"/>
        <v>25</v>
      </c>
      <c r="H149" s="62">
        <f t="shared" si="47"/>
        <v>25</v>
      </c>
      <c r="I149" s="62">
        <f t="shared" si="47"/>
        <v>25</v>
      </c>
      <c r="J149" s="62">
        <f t="shared" si="47"/>
        <v>25</v>
      </c>
      <c r="K149" s="62">
        <f t="shared" si="47"/>
        <v>25</v>
      </c>
      <c r="L149" s="62">
        <f t="shared" si="47"/>
        <v>25</v>
      </c>
      <c r="M149" s="62">
        <f t="shared" si="47"/>
        <v>25</v>
      </c>
      <c r="N149" s="62">
        <f t="shared" si="47"/>
        <v>25</v>
      </c>
      <c r="O149" s="62">
        <f t="shared" si="47"/>
        <v>25</v>
      </c>
      <c r="P149" s="62">
        <f t="shared" si="47"/>
        <v>25</v>
      </c>
      <c r="Q149" s="62">
        <f t="shared" si="47"/>
        <v>25</v>
      </c>
      <c r="R149" s="62">
        <f t="shared" si="47"/>
        <v>25</v>
      </c>
      <c r="S149" s="62">
        <f t="shared" si="47"/>
        <v>25</v>
      </c>
      <c r="T149" s="62">
        <f t="shared" si="47"/>
        <v>25</v>
      </c>
      <c r="U149" s="62">
        <f t="shared" si="47"/>
        <v>25</v>
      </c>
      <c r="V149" s="62">
        <f t="shared" si="47"/>
        <v>25</v>
      </c>
      <c r="W149" s="62">
        <f t="shared" si="47"/>
        <v>25</v>
      </c>
      <c r="X149" s="62">
        <f t="shared" si="47"/>
        <v>25</v>
      </c>
      <c r="Y149" s="62">
        <f t="shared" si="47"/>
        <v>25</v>
      </c>
      <c r="Z149" s="62">
        <f t="shared" si="47"/>
        <v>25</v>
      </c>
      <c r="AA149" s="62">
        <f t="shared" si="47"/>
        <v>25</v>
      </c>
      <c r="AB149" s="62">
        <f t="shared" si="47"/>
        <v>25</v>
      </c>
      <c r="AC149" s="62">
        <f t="shared" si="47"/>
        <v>25</v>
      </c>
    </row>
    <row r="150" spans="1:29" x14ac:dyDescent="0.25">
      <c r="A150" s="30" t="str">
        <f t="shared" si="45"/>
        <v>Tonnage .</v>
      </c>
      <c r="B150" s="62">
        <f>$B130+($C130-$B130)*(1-Q130)</f>
        <v>9450</v>
      </c>
      <c r="C150" s="62">
        <f t="shared" si="47"/>
        <v>9450</v>
      </c>
      <c r="D150" s="62">
        <f t="shared" si="47"/>
        <v>9450</v>
      </c>
      <c r="E150" s="62">
        <f t="shared" si="47"/>
        <v>9450</v>
      </c>
      <c r="F150" s="62">
        <f t="shared" si="47"/>
        <v>9450</v>
      </c>
      <c r="G150" s="62">
        <f t="shared" si="47"/>
        <v>9450</v>
      </c>
      <c r="H150" s="62">
        <f t="shared" si="47"/>
        <v>9450</v>
      </c>
      <c r="I150" s="62">
        <f t="shared" si="47"/>
        <v>9450</v>
      </c>
      <c r="J150" s="62">
        <f t="shared" si="47"/>
        <v>9450</v>
      </c>
      <c r="K150" s="62">
        <f t="shared" si="47"/>
        <v>9450</v>
      </c>
      <c r="L150" s="62">
        <f t="shared" si="47"/>
        <v>9450</v>
      </c>
      <c r="M150" s="62">
        <f t="shared" si="47"/>
        <v>9450</v>
      </c>
      <c r="N150" s="62">
        <f t="shared" si="47"/>
        <v>9450</v>
      </c>
      <c r="O150" s="62">
        <f t="shared" si="47"/>
        <v>9450</v>
      </c>
      <c r="P150" s="62">
        <f t="shared" si="47"/>
        <v>9450</v>
      </c>
      <c r="Q150" s="62">
        <f t="shared" si="47"/>
        <v>9450</v>
      </c>
      <c r="R150" s="62">
        <f t="shared" si="47"/>
        <v>9450</v>
      </c>
      <c r="S150" s="62">
        <f t="shared" si="47"/>
        <v>9450</v>
      </c>
      <c r="T150" s="62">
        <f t="shared" si="47"/>
        <v>9450</v>
      </c>
      <c r="U150" s="62">
        <f t="shared" si="47"/>
        <v>9450</v>
      </c>
      <c r="V150" s="62">
        <f t="shared" si="47"/>
        <v>9450</v>
      </c>
      <c r="W150" s="62">
        <f t="shared" si="47"/>
        <v>9450</v>
      </c>
      <c r="X150" s="62">
        <f t="shared" si="47"/>
        <v>9450</v>
      </c>
      <c r="Y150" s="62">
        <f t="shared" si="47"/>
        <v>9450</v>
      </c>
      <c r="Z150" s="62">
        <f t="shared" si="47"/>
        <v>9450</v>
      </c>
      <c r="AA150" s="62">
        <f t="shared" si="47"/>
        <v>9450</v>
      </c>
      <c r="AB150" s="62">
        <f t="shared" si="47"/>
        <v>9450</v>
      </c>
      <c r="AC150" s="62">
        <f t="shared" si="47"/>
        <v>9450</v>
      </c>
    </row>
    <row r="151" spans="1:29" x14ac:dyDescent="0.25">
      <c r="A151" s="30" t="str">
        <f t="shared" si="45"/>
        <v>Market failure (av. utilization)</v>
      </c>
      <c r="B151" s="62">
        <f t="shared" ref="B151:AC152" si="48">($B131+($C131-$B131)*(1-Q131))*B$44</f>
        <v>5418</v>
      </c>
      <c r="C151" s="62">
        <f t="shared" si="48"/>
        <v>5418</v>
      </c>
      <c r="D151" s="62">
        <f t="shared" si="48"/>
        <v>5418</v>
      </c>
      <c r="E151" s="62">
        <f t="shared" si="48"/>
        <v>5418</v>
      </c>
      <c r="F151" s="62">
        <f t="shared" si="48"/>
        <v>5418</v>
      </c>
      <c r="G151" s="62">
        <f t="shared" si="48"/>
        <v>5418</v>
      </c>
      <c r="H151" s="62">
        <f t="shared" si="48"/>
        <v>5418</v>
      </c>
      <c r="I151" s="62">
        <f t="shared" si="48"/>
        <v>5418</v>
      </c>
      <c r="J151" s="62">
        <f t="shared" si="48"/>
        <v>5418</v>
      </c>
      <c r="K151" s="62">
        <f t="shared" si="48"/>
        <v>5418</v>
      </c>
      <c r="L151" s="62">
        <f t="shared" si="48"/>
        <v>5418</v>
      </c>
      <c r="M151" s="62">
        <f t="shared" si="48"/>
        <v>5418</v>
      </c>
      <c r="N151" s="62">
        <f t="shared" si="48"/>
        <v>5418</v>
      </c>
      <c r="O151" s="62">
        <f t="shared" si="48"/>
        <v>5418</v>
      </c>
      <c r="P151" s="62">
        <f t="shared" si="48"/>
        <v>5418</v>
      </c>
      <c r="Q151" s="62">
        <f t="shared" si="48"/>
        <v>5418</v>
      </c>
      <c r="R151" s="62">
        <f t="shared" si="48"/>
        <v>5418</v>
      </c>
      <c r="S151" s="62">
        <f t="shared" si="48"/>
        <v>5418</v>
      </c>
      <c r="T151" s="62">
        <f t="shared" si="48"/>
        <v>5418</v>
      </c>
      <c r="U151" s="62">
        <f t="shared" si="48"/>
        <v>5418</v>
      </c>
      <c r="V151" s="62">
        <f t="shared" si="48"/>
        <v>5418</v>
      </c>
      <c r="W151" s="62">
        <f t="shared" si="48"/>
        <v>5418</v>
      </c>
      <c r="X151" s="62">
        <f t="shared" si="48"/>
        <v>5418</v>
      </c>
      <c r="Y151" s="62">
        <f t="shared" si="48"/>
        <v>5418</v>
      </c>
      <c r="Z151" s="62">
        <f t="shared" si="48"/>
        <v>5418</v>
      </c>
      <c r="AA151" s="62">
        <f t="shared" si="48"/>
        <v>5418</v>
      </c>
      <c r="AB151" s="62">
        <f t="shared" si="48"/>
        <v>5418</v>
      </c>
      <c r="AC151" s="62">
        <f t="shared" si="48"/>
        <v>5418</v>
      </c>
    </row>
    <row r="152" spans="1:29" x14ac:dyDescent="0.25">
      <c r="A152" s="30" t="s">
        <v>73</v>
      </c>
      <c r="B152" s="62">
        <f t="shared" si="48"/>
        <v>0</v>
      </c>
      <c r="C152" s="62">
        <f t="shared" si="48"/>
        <v>0</v>
      </c>
      <c r="D152" s="62">
        <f t="shared" si="48"/>
        <v>0</v>
      </c>
      <c r="E152" s="62">
        <f t="shared" si="48"/>
        <v>0</v>
      </c>
      <c r="F152" s="62">
        <f t="shared" si="48"/>
        <v>0</v>
      </c>
      <c r="G152" s="62">
        <f t="shared" si="48"/>
        <v>0</v>
      </c>
      <c r="H152" s="62">
        <f t="shared" si="48"/>
        <v>0</v>
      </c>
      <c r="I152" s="62">
        <f t="shared" si="48"/>
        <v>0</v>
      </c>
      <c r="J152" s="62">
        <f t="shared" si="48"/>
        <v>0</v>
      </c>
      <c r="K152" s="62">
        <f t="shared" si="48"/>
        <v>0</v>
      </c>
      <c r="L152" s="62">
        <f t="shared" si="48"/>
        <v>0</v>
      </c>
      <c r="M152" s="62">
        <f t="shared" si="48"/>
        <v>0</v>
      </c>
      <c r="N152" s="62">
        <f t="shared" si="48"/>
        <v>0</v>
      </c>
      <c r="O152" s="62">
        <f t="shared" si="48"/>
        <v>0</v>
      </c>
      <c r="P152" s="62">
        <f t="shared" si="48"/>
        <v>0</v>
      </c>
      <c r="Q152" s="62">
        <f t="shared" si="48"/>
        <v>0</v>
      </c>
      <c r="R152" s="62">
        <f t="shared" si="48"/>
        <v>0</v>
      </c>
      <c r="S152" s="62">
        <f t="shared" si="48"/>
        <v>0</v>
      </c>
      <c r="T152" s="62">
        <f t="shared" si="48"/>
        <v>0</v>
      </c>
      <c r="U152" s="62">
        <f t="shared" si="48"/>
        <v>0</v>
      </c>
      <c r="V152" s="62">
        <f t="shared" si="48"/>
        <v>0</v>
      </c>
      <c r="W152" s="62">
        <f t="shared" si="48"/>
        <v>0</v>
      </c>
      <c r="X152" s="62">
        <f t="shared" si="48"/>
        <v>0</v>
      </c>
      <c r="Y152" s="62">
        <f t="shared" si="48"/>
        <v>0</v>
      </c>
      <c r="Z152" s="62">
        <f t="shared" si="48"/>
        <v>0</v>
      </c>
      <c r="AA152" s="62">
        <f t="shared" si="48"/>
        <v>0</v>
      </c>
      <c r="AB152" s="62">
        <f t="shared" si="48"/>
        <v>0</v>
      </c>
      <c r="AC152" s="62">
        <f t="shared" si="48"/>
        <v>0</v>
      </c>
    </row>
    <row r="153" spans="1:29" x14ac:dyDescent="0.25">
      <c r="A153" s="30" t="str">
        <f>A133</f>
        <v>Annual Mileage</v>
      </c>
      <c r="B153" s="62">
        <f t="shared" ref="B153:AC153" si="49">$B133+($C133-$B133)*(1-Q133)</f>
        <v>120000</v>
      </c>
      <c r="C153" s="62">
        <f t="shared" si="49"/>
        <v>120000</v>
      </c>
      <c r="D153" s="62">
        <f t="shared" si="49"/>
        <v>120000</v>
      </c>
      <c r="E153" s="62">
        <f t="shared" si="49"/>
        <v>120000</v>
      </c>
      <c r="F153" s="62">
        <f t="shared" si="49"/>
        <v>120000</v>
      </c>
      <c r="G153" s="62">
        <f t="shared" si="49"/>
        <v>120000</v>
      </c>
      <c r="H153" s="62">
        <f t="shared" si="49"/>
        <v>120000</v>
      </c>
      <c r="I153" s="62">
        <f t="shared" si="49"/>
        <v>120000</v>
      </c>
      <c r="J153" s="62">
        <f t="shared" si="49"/>
        <v>120000</v>
      </c>
      <c r="K153" s="62">
        <f t="shared" si="49"/>
        <v>120000</v>
      </c>
      <c r="L153" s="62">
        <f t="shared" si="49"/>
        <v>120000</v>
      </c>
      <c r="M153" s="62">
        <f t="shared" si="49"/>
        <v>120000</v>
      </c>
      <c r="N153" s="62">
        <f t="shared" si="49"/>
        <v>120000</v>
      </c>
      <c r="O153" s="62">
        <f t="shared" si="49"/>
        <v>120000</v>
      </c>
      <c r="P153" s="62">
        <f t="shared" si="49"/>
        <v>120000</v>
      </c>
      <c r="Q153" s="62">
        <f t="shared" si="49"/>
        <v>120000</v>
      </c>
      <c r="R153" s="62">
        <f t="shared" si="49"/>
        <v>120000</v>
      </c>
      <c r="S153" s="62">
        <f t="shared" si="49"/>
        <v>120000</v>
      </c>
      <c r="T153" s="62">
        <f t="shared" si="49"/>
        <v>120000</v>
      </c>
      <c r="U153" s="62">
        <f t="shared" si="49"/>
        <v>120000</v>
      </c>
      <c r="V153" s="62">
        <f t="shared" si="49"/>
        <v>120000</v>
      </c>
      <c r="W153" s="62">
        <f t="shared" si="49"/>
        <v>120000</v>
      </c>
      <c r="X153" s="62">
        <f t="shared" si="49"/>
        <v>120000</v>
      </c>
      <c r="Y153" s="62">
        <f t="shared" si="49"/>
        <v>120000</v>
      </c>
      <c r="Z153" s="62">
        <f t="shared" si="49"/>
        <v>120000</v>
      </c>
      <c r="AA153" s="62">
        <f t="shared" si="49"/>
        <v>120000</v>
      </c>
      <c r="AB153" s="62">
        <f t="shared" si="49"/>
        <v>120000</v>
      </c>
      <c r="AC153" s="62">
        <f t="shared" si="4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0">((1+C141)^C148)*C141/(((1+C141)^C148)-1)*(C137)</f>
        <v>1173400.7731841092</v>
      </c>
      <c r="D156" s="63">
        <f t="shared" si="50"/>
        <v>1173400.7731841092</v>
      </c>
      <c r="E156" s="63">
        <f t="shared" si="50"/>
        <v>1173400.7731841092</v>
      </c>
      <c r="F156" s="63">
        <f t="shared" si="50"/>
        <v>1173400.7731841092</v>
      </c>
      <c r="G156" s="63">
        <f t="shared" si="50"/>
        <v>1173400.7731841092</v>
      </c>
      <c r="H156" s="63">
        <f t="shared" si="50"/>
        <v>1173400.7731841092</v>
      </c>
      <c r="I156" s="63">
        <f t="shared" si="50"/>
        <v>1173400.7731841092</v>
      </c>
      <c r="J156" s="63">
        <f t="shared" si="50"/>
        <v>1173400.7731841092</v>
      </c>
      <c r="K156" s="63">
        <f t="shared" si="50"/>
        <v>1173400.7731841092</v>
      </c>
      <c r="L156" s="63">
        <f t="shared" si="50"/>
        <v>1173400.7731841092</v>
      </c>
      <c r="M156" s="63">
        <f t="shared" si="50"/>
        <v>1173400.7731841092</v>
      </c>
      <c r="N156" s="63">
        <f t="shared" si="50"/>
        <v>1173400.7731841092</v>
      </c>
      <c r="O156" s="63">
        <f t="shared" si="50"/>
        <v>1173400.7731841092</v>
      </c>
      <c r="P156" s="63">
        <f t="shared" si="50"/>
        <v>1173400.7731841092</v>
      </c>
      <c r="Q156" s="63">
        <f t="shared" si="50"/>
        <v>1173400.7731841092</v>
      </c>
      <c r="R156" s="63">
        <f t="shared" si="50"/>
        <v>1173400.7731841092</v>
      </c>
      <c r="S156" s="63">
        <f t="shared" si="50"/>
        <v>1173400.7731841092</v>
      </c>
      <c r="T156" s="63">
        <f t="shared" si="50"/>
        <v>1173400.7731841092</v>
      </c>
      <c r="U156" s="63">
        <f t="shared" si="50"/>
        <v>1173400.7731841092</v>
      </c>
      <c r="V156" s="63">
        <f t="shared" si="50"/>
        <v>1173400.7731841092</v>
      </c>
      <c r="W156" s="63">
        <f t="shared" si="50"/>
        <v>1173400.7731841092</v>
      </c>
      <c r="X156" s="63">
        <f t="shared" si="50"/>
        <v>1173400.7731841092</v>
      </c>
      <c r="Y156" s="63">
        <f t="shared" si="50"/>
        <v>1173400.7731841092</v>
      </c>
      <c r="Z156" s="63">
        <f t="shared" si="50"/>
        <v>1173400.7731841092</v>
      </c>
      <c r="AA156" s="63">
        <f t="shared" si="50"/>
        <v>1173400.7731841092</v>
      </c>
      <c r="AB156" s="63">
        <f t="shared" si="50"/>
        <v>1173400.7731841092</v>
      </c>
      <c r="AC156" s="63">
        <f t="shared" si="50"/>
        <v>1173400.7731841092</v>
      </c>
    </row>
    <row r="157" spans="1:29" x14ac:dyDescent="0.25">
      <c r="A157" s="30" t="str">
        <f>A138</f>
        <v>Residual value (vehicle)</v>
      </c>
      <c r="B157" s="62">
        <f>((1+B141)^B148)*B141/(((1+B141)^B148)-1)*(B138)</f>
        <v>-117211.22297816433</v>
      </c>
      <c r="C157" s="62">
        <f t="shared" ref="C157:AC157" si="51">((1+C141)^C148)*C141/(((1+C141)^C148)-1)*(C138)</f>
        <v>-117155.47750703427</v>
      </c>
      <c r="D157" s="62">
        <f t="shared" si="51"/>
        <v>-117075.67910674184</v>
      </c>
      <c r="E157" s="62">
        <f t="shared" si="51"/>
        <v>-116961.52188344915</v>
      </c>
      <c r="F157" s="62">
        <f t="shared" si="51"/>
        <v>-116798.36602132194</v>
      </c>
      <c r="G157" s="62">
        <f t="shared" si="51"/>
        <v>-116565.50734662244</v>
      </c>
      <c r="H157" s="62">
        <f t="shared" si="51"/>
        <v>-116233.85946736432</v>
      </c>
      <c r="I157" s="62">
        <f t="shared" si="51"/>
        <v>-115762.96702113429</v>
      </c>
      <c r="J157" s="62">
        <f t="shared" si="51"/>
        <v>-115097.40579826315</v>
      </c>
      <c r="K157" s="62">
        <f t="shared" si="51"/>
        <v>-114162.96984907117</v>
      </c>
      <c r="L157" s="62">
        <f t="shared" si="51"/>
        <v>-112863.76466894078</v>
      </c>
      <c r="M157" s="62">
        <f t="shared" si="51"/>
        <v>-111082.60297034449</v>
      </c>
      <c r="N157" s="62">
        <f t="shared" si="51"/>
        <v>-108688.91250900239</v>
      </c>
      <c r="O157" s="62">
        <f t="shared" si="51"/>
        <v>-105559.89664903973</v>
      </c>
      <c r="P157" s="62">
        <f t="shared" si="51"/>
        <v>-101619.43004574107</v>
      </c>
      <c r="Q157" s="62">
        <f t="shared" si="51"/>
        <v>-96890.983232894243</v>
      </c>
      <c r="R157" s="62">
        <f t="shared" si="51"/>
        <v>-91544.180152521745</v>
      </c>
      <c r="S157" s="62">
        <f t="shared" si="51"/>
        <v>-85899.582077953528</v>
      </c>
      <c r="T157" s="62">
        <f t="shared" si="51"/>
        <v>-80366.059135568226</v>
      </c>
      <c r="U157" s="62">
        <f t="shared" si="51"/>
        <v>-75328.779301543953</v>
      </c>
      <c r="V157" s="62">
        <f t="shared" si="51"/>
        <v>-71047.808765066002</v>
      </c>
      <c r="W157" s="62">
        <f t="shared" si="51"/>
        <v>-67619.518043732241</v>
      </c>
      <c r="X157" s="62">
        <f t="shared" si="51"/>
        <v>-65003.580064954105</v>
      </c>
      <c r="Y157" s="62">
        <f t="shared" si="51"/>
        <v>-63080.655852023017</v>
      </c>
      <c r="Z157" s="62">
        <f t="shared" si="51"/>
        <v>-61705.792858076449</v>
      </c>
      <c r="AA157" s="62">
        <f t="shared" si="51"/>
        <v>-60742.216938606354</v>
      </c>
      <c r="AB157" s="62">
        <f t="shared" si="51"/>
        <v>-60076.3267522479</v>
      </c>
      <c r="AC157" s="62">
        <f t="shared" si="51"/>
        <v>-59620.624915142049</v>
      </c>
    </row>
    <row r="158" spans="1:29" x14ac:dyDescent="0.25">
      <c r="A158" s="30" t="str">
        <f>A139</f>
        <v>Capex costumization</v>
      </c>
      <c r="B158" s="62">
        <f>((1+B141)^B149)*B141/(((1+B141)^B149)-1)*(B139)</f>
        <v>391133.59106136975</v>
      </c>
      <c r="C158" s="62">
        <f t="shared" ref="C158:AC158" si="52">((1+C141)^C149)*C141/(((1+C141)^C149)-1)*(C139)</f>
        <v>391133.59106136975</v>
      </c>
      <c r="D158" s="62">
        <f t="shared" si="52"/>
        <v>391133.59106136975</v>
      </c>
      <c r="E158" s="62">
        <f t="shared" si="52"/>
        <v>391133.59106136975</v>
      </c>
      <c r="F158" s="62">
        <f t="shared" si="52"/>
        <v>391133.59106136975</v>
      </c>
      <c r="G158" s="62">
        <f t="shared" si="52"/>
        <v>391133.59106136975</v>
      </c>
      <c r="H158" s="62">
        <f t="shared" si="52"/>
        <v>391133.59106136975</v>
      </c>
      <c r="I158" s="62">
        <f t="shared" si="52"/>
        <v>391133.59106136975</v>
      </c>
      <c r="J158" s="62">
        <f t="shared" si="52"/>
        <v>391133.59106136975</v>
      </c>
      <c r="K158" s="62">
        <f t="shared" si="52"/>
        <v>391133.59106136975</v>
      </c>
      <c r="L158" s="62">
        <f t="shared" si="52"/>
        <v>391133.59106136975</v>
      </c>
      <c r="M158" s="62">
        <f t="shared" si="52"/>
        <v>391133.59106136975</v>
      </c>
      <c r="N158" s="62">
        <f t="shared" si="52"/>
        <v>391133.59106136975</v>
      </c>
      <c r="O158" s="62">
        <f t="shared" si="52"/>
        <v>391133.59106136975</v>
      </c>
      <c r="P158" s="62">
        <f t="shared" si="52"/>
        <v>391133.59106136975</v>
      </c>
      <c r="Q158" s="62">
        <f t="shared" si="52"/>
        <v>391133.59106136975</v>
      </c>
      <c r="R158" s="62">
        <f t="shared" si="52"/>
        <v>391133.59106136975</v>
      </c>
      <c r="S158" s="62">
        <f t="shared" si="52"/>
        <v>391133.59106136975</v>
      </c>
      <c r="T158" s="62">
        <f t="shared" si="52"/>
        <v>391133.59106136975</v>
      </c>
      <c r="U158" s="62">
        <f t="shared" si="52"/>
        <v>391133.59106136975</v>
      </c>
      <c r="V158" s="62">
        <f t="shared" si="52"/>
        <v>391133.59106136975</v>
      </c>
      <c r="W158" s="62">
        <f t="shared" si="52"/>
        <v>391133.59106136975</v>
      </c>
      <c r="X158" s="62">
        <f t="shared" si="52"/>
        <v>391133.59106136975</v>
      </c>
      <c r="Y158" s="62">
        <f t="shared" si="52"/>
        <v>391133.59106136975</v>
      </c>
      <c r="Z158" s="62">
        <f t="shared" si="52"/>
        <v>391133.59106136975</v>
      </c>
      <c r="AA158" s="62">
        <f t="shared" si="52"/>
        <v>391133.59106136975</v>
      </c>
      <c r="AB158" s="62">
        <f t="shared" si="52"/>
        <v>391133.59106136975</v>
      </c>
      <c r="AC158" s="62">
        <f t="shared" si="52"/>
        <v>391133.59106136975</v>
      </c>
    </row>
    <row r="159" spans="1:29" x14ac:dyDescent="0.25">
      <c r="A159" s="30" t="str">
        <f>A140</f>
        <v>Residual value (costumization)</v>
      </c>
      <c r="B159" s="62">
        <f>((1+B141)^B149)*B141/(((1+B141)^B149)-1)*(B140)</f>
        <v>-39113.359106136973</v>
      </c>
      <c r="C159" s="62">
        <f t="shared" ref="C159:AC159" si="53">((1+C141)^C149)*C141/(((1+C141)^C149)-1)*(C140)</f>
        <v>-39113.359106136973</v>
      </c>
      <c r="D159" s="62">
        <f t="shared" si="53"/>
        <v>-39113.359106136973</v>
      </c>
      <c r="E159" s="62">
        <f t="shared" si="53"/>
        <v>-39113.359106136973</v>
      </c>
      <c r="F159" s="62">
        <f t="shared" si="53"/>
        <v>-39113.359106136973</v>
      </c>
      <c r="G159" s="62">
        <f t="shared" si="53"/>
        <v>-39113.359106136973</v>
      </c>
      <c r="H159" s="62">
        <f t="shared" si="53"/>
        <v>-39113.359106136973</v>
      </c>
      <c r="I159" s="62">
        <f t="shared" si="53"/>
        <v>-39113.359106136973</v>
      </c>
      <c r="J159" s="62">
        <f t="shared" si="53"/>
        <v>-39113.359106136973</v>
      </c>
      <c r="K159" s="62">
        <f t="shared" si="53"/>
        <v>-39113.359106136973</v>
      </c>
      <c r="L159" s="62">
        <f t="shared" si="53"/>
        <v>-39113.359106136973</v>
      </c>
      <c r="M159" s="62">
        <f t="shared" si="53"/>
        <v>-39113.359106136973</v>
      </c>
      <c r="N159" s="62">
        <f t="shared" si="53"/>
        <v>-39113.359106136973</v>
      </c>
      <c r="O159" s="62">
        <f t="shared" si="53"/>
        <v>-39113.359106136973</v>
      </c>
      <c r="P159" s="62">
        <f t="shared" si="53"/>
        <v>-39113.359106136973</v>
      </c>
      <c r="Q159" s="62">
        <f t="shared" si="53"/>
        <v>-39113.359106136973</v>
      </c>
      <c r="R159" s="62">
        <f t="shared" si="53"/>
        <v>-39113.359106136973</v>
      </c>
      <c r="S159" s="62">
        <f t="shared" si="53"/>
        <v>-39113.359106136973</v>
      </c>
      <c r="T159" s="62">
        <f t="shared" si="53"/>
        <v>-39113.359106136973</v>
      </c>
      <c r="U159" s="62">
        <f t="shared" si="53"/>
        <v>-39113.359106136973</v>
      </c>
      <c r="V159" s="62">
        <f t="shared" si="53"/>
        <v>-39113.359106136973</v>
      </c>
      <c r="W159" s="62">
        <f t="shared" si="53"/>
        <v>-39113.359106136973</v>
      </c>
      <c r="X159" s="62">
        <f t="shared" si="53"/>
        <v>-39113.359106136973</v>
      </c>
      <c r="Y159" s="62">
        <f t="shared" si="53"/>
        <v>-39113.359106136973</v>
      </c>
      <c r="Z159" s="62">
        <f t="shared" si="53"/>
        <v>-39113.359106136973</v>
      </c>
      <c r="AA159" s="62">
        <f t="shared" si="53"/>
        <v>-39113.359106136973</v>
      </c>
      <c r="AB159" s="62">
        <f t="shared" si="53"/>
        <v>-39113.359106136973</v>
      </c>
      <c r="AC159" s="62">
        <f t="shared" si="53"/>
        <v>-39113.359106136973</v>
      </c>
    </row>
    <row r="160" spans="1:29" x14ac:dyDescent="0.25">
      <c r="A160" s="30" t="str">
        <f t="shared" ref="A160:AC161" si="54">A142</f>
        <v>Opex fix (admin, crew, insurance)</v>
      </c>
      <c r="B160" s="62">
        <f t="shared" si="54"/>
        <v>1208235.294117647</v>
      </c>
      <c r="C160" s="62">
        <f t="shared" si="54"/>
        <v>1208235.294117647</v>
      </c>
      <c r="D160" s="62">
        <f t="shared" si="54"/>
        <v>1208235.294117647</v>
      </c>
      <c r="E160" s="62">
        <f t="shared" si="54"/>
        <v>1208235.294117647</v>
      </c>
      <c r="F160" s="62">
        <f t="shared" si="54"/>
        <v>1208235.294117647</v>
      </c>
      <c r="G160" s="62">
        <f t="shared" si="54"/>
        <v>1208235.294117647</v>
      </c>
      <c r="H160" s="62">
        <f t="shared" si="54"/>
        <v>1208235.294117647</v>
      </c>
      <c r="I160" s="62">
        <f t="shared" si="54"/>
        <v>1208235.294117647</v>
      </c>
      <c r="J160" s="62">
        <f t="shared" si="54"/>
        <v>1208235.294117647</v>
      </c>
      <c r="K160" s="62">
        <f t="shared" si="54"/>
        <v>1208235.294117647</v>
      </c>
      <c r="L160" s="62">
        <f t="shared" si="54"/>
        <v>1208235.294117647</v>
      </c>
      <c r="M160" s="62">
        <f t="shared" si="54"/>
        <v>1208235.294117647</v>
      </c>
      <c r="N160" s="62">
        <f t="shared" si="54"/>
        <v>1208235.294117647</v>
      </c>
      <c r="O160" s="62">
        <f t="shared" si="54"/>
        <v>1208235.294117647</v>
      </c>
      <c r="P160" s="62">
        <f t="shared" si="54"/>
        <v>1208235.294117647</v>
      </c>
      <c r="Q160" s="62">
        <f t="shared" si="54"/>
        <v>1208235.294117647</v>
      </c>
      <c r="R160" s="62">
        <f t="shared" si="54"/>
        <v>1208235.294117647</v>
      </c>
      <c r="S160" s="62">
        <f t="shared" si="54"/>
        <v>1208235.294117647</v>
      </c>
      <c r="T160" s="62">
        <f t="shared" si="54"/>
        <v>1208235.294117647</v>
      </c>
      <c r="U160" s="62">
        <f t="shared" si="54"/>
        <v>1208235.294117647</v>
      </c>
      <c r="V160" s="62">
        <f t="shared" si="54"/>
        <v>1208235.294117647</v>
      </c>
      <c r="W160" s="62">
        <f t="shared" si="54"/>
        <v>1208235.294117647</v>
      </c>
      <c r="X160" s="62">
        <f t="shared" si="54"/>
        <v>1208235.294117647</v>
      </c>
      <c r="Y160" s="62">
        <f t="shared" si="54"/>
        <v>1208235.294117647</v>
      </c>
      <c r="Z160" s="62">
        <f t="shared" si="54"/>
        <v>1208235.294117647</v>
      </c>
      <c r="AA160" s="62">
        <f t="shared" si="54"/>
        <v>1208235.294117647</v>
      </c>
      <c r="AB160" s="62">
        <f t="shared" si="54"/>
        <v>1208235.294117647</v>
      </c>
      <c r="AC160" s="62">
        <f t="shared" si="54"/>
        <v>1208235.294117647</v>
      </c>
    </row>
    <row r="161" spans="1:29" x14ac:dyDescent="0.25">
      <c r="A161" s="30" t="str">
        <f t="shared" si="54"/>
        <v>Opex maintenance &amp; repair</v>
      </c>
      <c r="B161" s="62">
        <f t="shared" si="54"/>
        <v>488235.29411764705</v>
      </c>
      <c r="C161" s="62">
        <f t="shared" si="54"/>
        <v>488235.29411764705</v>
      </c>
      <c r="D161" s="62">
        <f t="shared" si="54"/>
        <v>488235.29411764705</v>
      </c>
      <c r="E161" s="62">
        <f t="shared" si="54"/>
        <v>488235.29411764705</v>
      </c>
      <c r="F161" s="62">
        <f t="shared" si="54"/>
        <v>488235.29411764705</v>
      </c>
      <c r="G161" s="62">
        <f t="shared" si="54"/>
        <v>488235.29411764705</v>
      </c>
      <c r="H161" s="62">
        <f t="shared" si="54"/>
        <v>488235.29411764705</v>
      </c>
      <c r="I161" s="62">
        <f t="shared" si="54"/>
        <v>488235.29411764705</v>
      </c>
      <c r="J161" s="62">
        <f t="shared" si="54"/>
        <v>488235.29411764705</v>
      </c>
      <c r="K161" s="62">
        <f t="shared" si="54"/>
        <v>488235.29411764705</v>
      </c>
      <c r="L161" s="62">
        <f t="shared" si="54"/>
        <v>488235.29411764705</v>
      </c>
      <c r="M161" s="62">
        <f t="shared" si="54"/>
        <v>488235.29411764705</v>
      </c>
      <c r="N161" s="62">
        <f t="shared" si="54"/>
        <v>488235.29411764705</v>
      </c>
      <c r="O161" s="62">
        <f t="shared" si="54"/>
        <v>488235.29411764705</v>
      </c>
      <c r="P161" s="62">
        <f t="shared" si="54"/>
        <v>488235.29411764705</v>
      </c>
      <c r="Q161" s="62">
        <f t="shared" si="54"/>
        <v>488235.29411764705</v>
      </c>
      <c r="R161" s="62">
        <f t="shared" si="54"/>
        <v>488235.29411764705</v>
      </c>
      <c r="S161" s="62">
        <f t="shared" si="54"/>
        <v>488235.29411764705</v>
      </c>
      <c r="T161" s="62">
        <f t="shared" si="54"/>
        <v>488235.29411764705</v>
      </c>
      <c r="U161" s="62">
        <f t="shared" si="54"/>
        <v>488235.29411764705</v>
      </c>
      <c r="V161" s="62">
        <f t="shared" si="54"/>
        <v>488235.29411764705</v>
      </c>
      <c r="W161" s="62">
        <f t="shared" si="54"/>
        <v>488235.29411764705</v>
      </c>
      <c r="X161" s="62">
        <f t="shared" si="54"/>
        <v>488235.29411764705</v>
      </c>
      <c r="Y161" s="62">
        <f t="shared" si="54"/>
        <v>488235.29411764705</v>
      </c>
      <c r="Z161" s="62">
        <f t="shared" si="54"/>
        <v>488235.29411764705</v>
      </c>
      <c r="AA161" s="62">
        <f t="shared" si="54"/>
        <v>488235.29411764705</v>
      </c>
      <c r="AB161" s="62">
        <f t="shared" si="54"/>
        <v>488235.29411764705</v>
      </c>
      <c r="AC161" s="62">
        <f t="shared" si="54"/>
        <v>488235.29411764705</v>
      </c>
    </row>
    <row r="162" spans="1:29" x14ac:dyDescent="0.25">
      <c r="A162" s="30" t="str">
        <f>A144</f>
        <v>Opex var (mode-fees)</v>
      </c>
      <c r="B162" s="62">
        <f>B144*B153</f>
        <v>202642.68757160378</v>
      </c>
      <c r="C162" s="62">
        <f t="shared" ref="C162:AC162" si="55">C144*C153</f>
        <v>202642.68757160378</v>
      </c>
      <c r="D162" s="62">
        <f t="shared" si="55"/>
        <v>202642.68757160378</v>
      </c>
      <c r="E162" s="62">
        <f t="shared" si="55"/>
        <v>202642.68757160378</v>
      </c>
      <c r="F162" s="62">
        <f t="shared" si="55"/>
        <v>202642.68757160378</v>
      </c>
      <c r="G162" s="62">
        <f t="shared" si="55"/>
        <v>202642.68757160378</v>
      </c>
      <c r="H162" s="62">
        <f t="shared" si="55"/>
        <v>202642.68757160378</v>
      </c>
      <c r="I162" s="62">
        <f t="shared" si="55"/>
        <v>202642.68757160378</v>
      </c>
      <c r="J162" s="62">
        <f t="shared" si="55"/>
        <v>202642.68757160378</v>
      </c>
      <c r="K162" s="62">
        <f t="shared" si="55"/>
        <v>202642.68757160378</v>
      </c>
      <c r="L162" s="62">
        <f t="shared" si="55"/>
        <v>202642.68757160378</v>
      </c>
      <c r="M162" s="62">
        <f t="shared" si="55"/>
        <v>202642.68757160378</v>
      </c>
      <c r="N162" s="62">
        <f t="shared" si="55"/>
        <v>202642.68757160378</v>
      </c>
      <c r="O162" s="62">
        <f t="shared" si="55"/>
        <v>202642.68757160378</v>
      </c>
      <c r="P162" s="62">
        <f t="shared" si="55"/>
        <v>202642.68757160378</v>
      </c>
      <c r="Q162" s="62">
        <f t="shared" si="55"/>
        <v>202642.68757160378</v>
      </c>
      <c r="R162" s="62">
        <f t="shared" si="55"/>
        <v>202642.68757160378</v>
      </c>
      <c r="S162" s="62">
        <f t="shared" si="55"/>
        <v>202642.68757160378</v>
      </c>
      <c r="T162" s="62">
        <f t="shared" si="55"/>
        <v>202642.68757160378</v>
      </c>
      <c r="U162" s="62">
        <f t="shared" si="55"/>
        <v>202642.68757160378</v>
      </c>
      <c r="V162" s="62">
        <f t="shared" si="55"/>
        <v>202642.68757160378</v>
      </c>
      <c r="W162" s="62">
        <f t="shared" si="55"/>
        <v>202642.68757160378</v>
      </c>
      <c r="X162" s="62">
        <f t="shared" si="55"/>
        <v>202642.68757160378</v>
      </c>
      <c r="Y162" s="62">
        <f t="shared" si="55"/>
        <v>202642.68757160378</v>
      </c>
      <c r="Z162" s="62">
        <f t="shared" si="55"/>
        <v>202642.68757160378</v>
      </c>
      <c r="AA162" s="62">
        <f t="shared" si="55"/>
        <v>202642.68757160378</v>
      </c>
      <c r="AB162" s="62">
        <f t="shared" si="55"/>
        <v>202642.68757160378</v>
      </c>
      <c r="AC162" s="62">
        <f t="shared" si="55"/>
        <v>202642.68757160378</v>
      </c>
    </row>
    <row r="163" spans="1:29" x14ac:dyDescent="0.25">
      <c r="A163" s="30" t="str">
        <f>A146</f>
        <v>Fuel Cost</v>
      </c>
      <c r="B163" s="62">
        <f>B145*B146*B153</f>
        <v>2016601.6463383522</v>
      </c>
      <c r="C163" s="62">
        <f t="shared" ref="C163:AC163" si="56">C145*C146*C153</f>
        <v>1877396.0596961828</v>
      </c>
      <c r="D163" s="62">
        <f t="shared" si="56"/>
        <v>1738157.8929535446</v>
      </c>
      <c r="E163" s="62">
        <f t="shared" si="56"/>
        <v>1598879.1618886387</v>
      </c>
      <c r="F163" s="62">
        <f t="shared" si="56"/>
        <v>1459551.1447038057</v>
      </c>
      <c r="G163" s="62">
        <f t="shared" si="56"/>
        <v>1320165.2828480438</v>
      </c>
      <c r="H163" s="62">
        <f t="shared" si="56"/>
        <v>1180715.010052663</v>
      </c>
      <c r="I163" s="62">
        <f t="shared" si="56"/>
        <v>1041199.1125372326</v>
      </c>
      <c r="J163" s="62">
        <f t="shared" si="56"/>
        <v>1019284.9225651143</v>
      </c>
      <c r="K163" s="62">
        <f t="shared" si="56"/>
        <v>997072.28353884362</v>
      </c>
      <c r="L163" s="62">
        <f t="shared" si="56"/>
        <v>974465.93581482011</v>
      </c>
      <c r="M163" s="62">
        <f t="shared" si="56"/>
        <v>951355.36975263874</v>
      </c>
      <c r="N163" s="62">
        <f t="shared" si="56"/>
        <v>927626.7897224084</v>
      </c>
      <c r="O163" s="62">
        <f t="shared" si="56"/>
        <v>903188.87759881245</v>
      </c>
      <c r="P163" s="62">
        <f t="shared" si="56"/>
        <v>878014.90025594714</v>
      </c>
      <c r="Q163" s="62">
        <f t="shared" si="56"/>
        <v>852193.9035026104</v>
      </c>
      <c r="R163" s="62">
        <f t="shared" si="56"/>
        <v>825966.87856994744</v>
      </c>
      <c r="S163" s="62">
        <f t="shared" si="56"/>
        <v>799712.58759018383</v>
      </c>
      <c r="T163" s="62">
        <f t="shared" si="56"/>
        <v>773864.94731231174</v>
      </c>
      <c r="U163" s="62">
        <f t="shared" si="56"/>
        <v>748791.94002792984</v>
      </c>
      <c r="V163" s="62">
        <f t="shared" si="56"/>
        <v>724702.19376327144</v>
      </c>
      <c r="W163" s="62">
        <f t="shared" si="56"/>
        <v>701625.60706388811</v>
      </c>
      <c r="X163" s="62">
        <f t="shared" si="56"/>
        <v>679459.03194522974</v>
      </c>
      <c r="Y163" s="62">
        <f t="shared" si="56"/>
        <v>658034.5257560059</v>
      </c>
      <c r="Z163" s="62">
        <f t="shared" si="56"/>
        <v>637174.92248860688</v>
      </c>
      <c r="AA163" s="62">
        <f t="shared" si="56"/>
        <v>616724.92889380688</v>
      </c>
      <c r="AB163" s="62">
        <f t="shared" si="56"/>
        <v>596561.97616320604</v>
      </c>
      <c r="AC163" s="62">
        <f t="shared" si="56"/>
        <v>576595.44474159461</v>
      </c>
    </row>
    <row r="164" spans="1:29" ht="15.75" thickBot="1" x14ac:dyDescent="0.3">
      <c r="A164" s="59" t="str">
        <f>A127</f>
        <v>Emission Cost</v>
      </c>
      <c r="B164" s="62">
        <f>B147*B153</f>
        <v>0</v>
      </c>
      <c r="C164" s="62">
        <f t="shared" ref="C164:AC164" si="57">C147*C153</f>
        <v>0</v>
      </c>
      <c r="D164" s="62">
        <f t="shared" si="57"/>
        <v>0</v>
      </c>
      <c r="E164" s="62">
        <f t="shared" si="57"/>
        <v>0</v>
      </c>
      <c r="F164" s="62">
        <f t="shared" si="57"/>
        <v>0</v>
      </c>
      <c r="G164" s="62">
        <f t="shared" si="57"/>
        <v>0</v>
      </c>
      <c r="H164" s="62">
        <f t="shared" si="57"/>
        <v>0</v>
      </c>
      <c r="I164" s="62">
        <f t="shared" si="57"/>
        <v>0</v>
      </c>
      <c r="J164" s="62">
        <f t="shared" si="57"/>
        <v>0</v>
      </c>
      <c r="K164" s="62">
        <f t="shared" si="57"/>
        <v>0</v>
      </c>
      <c r="L164" s="62">
        <f t="shared" si="57"/>
        <v>0</v>
      </c>
      <c r="M164" s="62">
        <f t="shared" si="57"/>
        <v>0</v>
      </c>
      <c r="N164" s="62">
        <f t="shared" si="57"/>
        <v>0</v>
      </c>
      <c r="O164" s="62">
        <f t="shared" si="57"/>
        <v>0</v>
      </c>
      <c r="P164" s="62">
        <f t="shared" si="57"/>
        <v>0</v>
      </c>
      <c r="Q164" s="62">
        <f t="shared" si="57"/>
        <v>0</v>
      </c>
      <c r="R164" s="62">
        <f t="shared" si="57"/>
        <v>0</v>
      </c>
      <c r="S164" s="62">
        <f t="shared" si="57"/>
        <v>0</v>
      </c>
      <c r="T164" s="62">
        <f t="shared" si="57"/>
        <v>0</v>
      </c>
      <c r="U164" s="62">
        <f t="shared" si="57"/>
        <v>0</v>
      </c>
      <c r="V164" s="62">
        <f t="shared" si="57"/>
        <v>0</v>
      </c>
      <c r="W164" s="62">
        <f t="shared" si="57"/>
        <v>0</v>
      </c>
      <c r="X164" s="62">
        <f t="shared" si="57"/>
        <v>0</v>
      </c>
      <c r="Y164" s="62">
        <f t="shared" si="57"/>
        <v>0</v>
      </c>
      <c r="Z164" s="62">
        <f t="shared" si="57"/>
        <v>0</v>
      </c>
      <c r="AA164" s="62">
        <f t="shared" si="57"/>
        <v>0</v>
      </c>
      <c r="AB164" s="62">
        <f t="shared" si="57"/>
        <v>0</v>
      </c>
      <c r="AC164" s="62">
        <f t="shared" si="57"/>
        <v>0</v>
      </c>
    </row>
    <row r="165" spans="1:29" ht="15.75" thickBot="1" x14ac:dyDescent="0.3">
      <c r="A165" s="31" t="s">
        <v>209</v>
      </c>
      <c r="B165" s="64">
        <f>B156+B157+B158+B159+B160+B161+B162+B163+B164</f>
        <v>5323924.7043064283</v>
      </c>
      <c r="C165" s="64">
        <f t="shared" ref="C165:AC165" si="58">C156+C157+C158+C159+C160+C161+C162+C163+C164</f>
        <v>5184774.8631353881</v>
      </c>
      <c r="D165" s="64">
        <f t="shared" si="58"/>
        <v>5045616.4947930425</v>
      </c>
      <c r="E165" s="64">
        <f t="shared" si="58"/>
        <v>4906451.9209514298</v>
      </c>
      <c r="F165" s="64">
        <f t="shared" si="58"/>
        <v>4767287.0596287241</v>
      </c>
      <c r="G165" s="64">
        <f t="shared" si="58"/>
        <v>4628134.0564476615</v>
      </c>
      <c r="H165" s="64">
        <f t="shared" si="58"/>
        <v>4489015.4315315392</v>
      </c>
      <c r="I165" s="64">
        <f t="shared" si="58"/>
        <v>4349970.4264623383</v>
      </c>
      <c r="J165" s="64">
        <f t="shared" si="58"/>
        <v>4328721.7977130916</v>
      </c>
      <c r="K165" s="64">
        <f t="shared" si="58"/>
        <v>4307443.5946360128</v>
      </c>
      <c r="L165" s="64">
        <f t="shared" si="58"/>
        <v>4286136.4520921195</v>
      </c>
      <c r="M165" s="64">
        <f t="shared" si="58"/>
        <v>4264807.0477285348</v>
      </c>
      <c r="N165" s="64">
        <f t="shared" si="58"/>
        <v>4243472.1581596462</v>
      </c>
      <c r="O165" s="64">
        <f t="shared" si="58"/>
        <v>4222163.2618960133</v>
      </c>
      <c r="P165" s="64">
        <f t="shared" si="58"/>
        <v>4200929.7511564465</v>
      </c>
      <c r="Q165" s="64">
        <f t="shared" si="58"/>
        <v>4179837.2012159564</v>
      </c>
      <c r="R165" s="64">
        <f t="shared" si="58"/>
        <v>4158956.9793636659</v>
      </c>
      <c r="S165" s="64">
        <f t="shared" si="58"/>
        <v>4138347.2864584709</v>
      </c>
      <c r="T165" s="64">
        <f t="shared" si="58"/>
        <v>4118033.1691229832</v>
      </c>
      <c r="U165" s="64">
        <f t="shared" si="58"/>
        <v>4097997.441672626</v>
      </c>
      <c r="V165" s="64">
        <f t="shared" si="58"/>
        <v>4078188.6659444454</v>
      </c>
      <c r="W165" s="64">
        <f t="shared" si="58"/>
        <v>4058540.3699663957</v>
      </c>
      <c r="X165" s="64">
        <f t="shared" si="58"/>
        <v>4038989.732826516</v>
      </c>
      <c r="Y165" s="64">
        <f t="shared" si="58"/>
        <v>4019488.1508502234</v>
      </c>
      <c r="Z165" s="64">
        <f t="shared" si="58"/>
        <v>4000003.4105767705</v>
      </c>
      <c r="AA165" s="64">
        <f t="shared" si="58"/>
        <v>3980516.9929014402</v>
      </c>
      <c r="AB165" s="64">
        <f t="shared" si="58"/>
        <v>3961019.9303571982</v>
      </c>
      <c r="AC165" s="64">
        <f t="shared" si="58"/>
        <v>3941509.1007726928</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59">A156</f>
        <v>Capex vehicle</v>
      </c>
      <c r="B168" s="65">
        <f>((1+B141)^B148)*B141/(((1+B141)^B148)-1)*(B137)/B153</f>
        <v>9.7783397765342439</v>
      </c>
      <c r="C168" s="65">
        <f t="shared" ref="C168:AC168" si="60">((1+C141)^C148)*C141/(((1+C141)^C148)-1)*(C137)/C153</f>
        <v>9.7783397765342439</v>
      </c>
      <c r="D168" s="65">
        <f t="shared" si="60"/>
        <v>9.7783397765342439</v>
      </c>
      <c r="E168" s="65">
        <f t="shared" si="60"/>
        <v>9.7783397765342439</v>
      </c>
      <c r="F168" s="65">
        <f t="shared" si="60"/>
        <v>9.7783397765342439</v>
      </c>
      <c r="G168" s="65">
        <f t="shared" si="60"/>
        <v>9.7783397765342439</v>
      </c>
      <c r="H168" s="65">
        <f t="shared" si="60"/>
        <v>9.7783397765342439</v>
      </c>
      <c r="I168" s="65">
        <f t="shared" si="60"/>
        <v>9.7783397765342439</v>
      </c>
      <c r="J168" s="65">
        <f t="shared" si="60"/>
        <v>9.7783397765342439</v>
      </c>
      <c r="K168" s="65">
        <f t="shared" si="60"/>
        <v>9.7783397765342439</v>
      </c>
      <c r="L168" s="65">
        <f t="shared" si="60"/>
        <v>9.7783397765342439</v>
      </c>
      <c r="M168" s="65">
        <f t="shared" si="60"/>
        <v>9.7783397765342439</v>
      </c>
      <c r="N168" s="65">
        <f t="shared" si="60"/>
        <v>9.7783397765342439</v>
      </c>
      <c r="O168" s="65">
        <f t="shared" si="60"/>
        <v>9.7783397765342439</v>
      </c>
      <c r="P168" s="65">
        <f t="shared" si="60"/>
        <v>9.7783397765342439</v>
      </c>
      <c r="Q168" s="65">
        <f t="shared" si="60"/>
        <v>9.7783397765342439</v>
      </c>
      <c r="R168" s="65">
        <f t="shared" si="60"/>
        <v>9.7783397765342439</v>
      </c>
      <c r="S168" s="65">
        <f t="shared" si="60"/>
        <v>9.7783397765342439</v>
      </c>
      <c r="T168" s="65">
        <f t="shared" si="60"/>
        <v>9.7783397765342439</v>
      </c>
      <c r="U168" s="65">
        <f t="shared" si="60"/>
        <v>9.7783397765342439</v>
      </c>
      <c r="V168" s="65">
        <f t="shared" si="60"/>
        <v>9.7783397765342439</v>
      </c>
      <c r="W168" s="65">
        <f t="shared" si="60"/>
        <v>9.7783397765342439</v>
      </c>
      <c r="X168" s="65">
        <f t="shared" si="60"/>
        <v>9.7783397765342439</v>
      </c>
      <c r="Y168" s="65">
        <f t="shared" si="60"/>
        <v>9.7783397765342439</v>
      </c>
      <c r="Z168" s="65">
        <f t="shared" si="60"/>
        <v>9.7783397765342439</v>
      </c>
      <c r="AA168" s="65">
        <f t="shared" si="60"/>
        <v>9.7783397765342439</v>
      </c>
      <c r="AB168" s="65">
        <f t="shared" si="60"/>
        <v>9.7783397765342439</v>
      </c>
      <c r="AC168" s="65">
        <f t="shared" si="60"/>
        <v>9.7783397765342439</v>
      </c>
    </row>
    <row r="169" spans="1:29" x14ac:dyDescent="0.25">
      <c r="A169" s="30" t="str">
        <f t="shared" si="59"/>
        <v>Residual value (vehicle)</v>
      </c>
      <c r="B169" s="66">
        <f>((1+B141)^B148)*B141/(((1+B141)^B148)-1)*(B138)/B153</f>
        <v>-0.97676019148470272</v>
      </c>
      <c r="C169" s="66">
        <f t="shared" ref="C169:AC169" si="61">((1+C141)^C148)*C141/(((1+C141)^C148)-1)*(C138)/C153</f>
        <v>-0.97629564589195228</v>
      </c>
      <c r="D169" s="66">
        <f t="shared" si="61"/>
        <v>-0.97563065922284864</v>
      </c>
      <c r="E169" s="66">
        <f t="shared" si="61"/>
        <v>-0.97467934902874298</v>
      </c>
      <c r="F169" s="66">
        <f t="shared" si="61"/>
        <v>-0.97331971684434948</v>
      </c>
      <c r="G169" s="66">
        <f t="shared" si="61"/>
        <v>-0.97137922788852038</v>
      </c>
      <c r="H169" s="66">
        <f t="shared" si="61"/>
        <v>-0.96861549556136939</v>
      </c>
      <c r="I169" s="66">
        <f t="shared" si="61"/>
        <v>-0.96469139184278574</v>
      </c>
      <c r="J169" s="66">
        <f t="shared" si="61"/>
        <v>-0.95914504831885961</v>
      </c>
      <c r="K169" s="66">
        <f t="shared" si="61"/>
        <v>-0.95135808207559314</v>
      </c>
      <c r="L169" s="66">
        <f t="shared" si="61"/>
        <v>-0.94053137224117322</v>
      </c>
      <c r="M169" s="66">
        <f t="shared" si="61"/>
        <v>-0.92568835808620409</v>
      </c>
      <c r="N169" s="66">
        <f t="shared" si="61"/>
        <v>-0.90574093757501994</v>
      </c>
      <c r="O169" s="66">
        <f t="shared" si="61"/>
        <v>-0.87966580540866446</v>
      </c>
      <c r="P169" s="66">
        <f t="shared" si="61"/>
        <v>-0.84682858371450898</v>
      </c>
      <c r="Q169" s="66">
        <f t="shared" si="61"/>
        <v>-0.80742486027411864</v>
      </c>
      <c r="R169" s="66">
        <f t="shared" si="61"/>
        <v>-0.7628681679376812</v>
      </c>
      <c r="S169" s="66">
        <f t="shared" si="61"/>
        <v>-0.71582985064961269</v>
      </c>
      <c r="T169" s="66">
        <f t="shared" si="61"/>
        <v>-0.66971715946306853</v>
      </c>
      <c r="U169" s="66">
        <f t="shared" si="61"/>
        <v>-0.62773982751286628</v>
      </c>
      <c r="V169" s="66">
        <f t="shared" si="61"/>
        <v>-0.59206507304221667</v>
      </c>
      <c r="W169" s="66">
        <f t="shared" si="61"/>
        <v>-0.56349598369776865</v>
      </c>
      <c r="X169" s="66">
        <f t="shared" si="61"/>
        <v>-0.54169650054128426</v>
      </c>
      <c r="Y169" s="66">
        <f t="shared" si="61"/>
        <v>-0.52567213210019181</v>
      </c>
      <c r="Z169" s="66">
        <f t="shared" si="61"/>
        <v>-0.51421494048397043</v>
      </c>
      <c r="AA169" s="66">
        <f t="shared" si="61"/>
        <v>-0.50618514115505298</v>
      </c>
      <c r="AB169" s="66">
        <f t="shared" si="61"/>
        <v>-0.50063605626873253</v>
      </c>
      <c r="AC169" s="66">
        <f t="shared" si="61"/>
        <v>-0.49683854095951707</v>
      </c>
    </row>
    <row r="170" spans="1:29" x14ac:dyDescent="0.25">
      <c r="A170" s="30" t="str">
        <f t="shared" si="59"/>
        <v>Capex costumization</v>
      </c>
      <c r="B170" s="66">
        <f>((1+B141)^B149)*B141/(((1+B141)^B149)-1)*(B139)/B153</f>
        <v>3.2594465921780813</v>
      </c>
      <c r="C170" s="66">
        <f t="shared" ref="C170:AC170" si="62">((1+C141)^C149)*C141/(((1+C141)^C149)-1)*(C139)/C153</f>
        <v>3.2594465921780813</v>
      </c>
      <c r="D170" s="66">
        <f t="shared" si="62"/>
        <v>3.2594465921780813</v>
      </c>
      <c r="E170" s="66">
        <f t="shared" si="62"/>
        <v>3.2594465921780813</v>
      </c>
      <c r="F170" s="66">
        <f t="shared" si="62"/>
        <v>3.2594465921780813</v>
      </c>
      <c r="G170" s="66">
        <f t="shared" si="62"/>
        <v>3.2594465921780813</v>
      </c>
      <c r="H170" s="66">
        <f t="shared" si="62"/>
        <v>3.2594465921780813</v>
      </c>
      <c r="I170" s="66">
        <f t="shared" si="62"/>
        <v>3.2594465921780813</v>
      </c>
      <c r="J170" s="66">
        <f t="shared" si="62"/>
        <v>3.2594465921780813</v>
      </c>
      <c r="K170" s="66">
        <f t="shared" si="62"/>
        <v>3.2594465921780813</v>
      </c>
      <c r="L170" s="66">
        <f t="shared" si="62"/>
        <v>3.2594465921780813</v>
      </c>
      <c r="M170" s="66">
        <f t="shared" si="62"/>
        <v>3.2594465921780813</v>
      </c>
      <c r="N170" s="66">
        <f t="shared" si="62"/>
        <v>3.2594465921780813</v>
      </c>
      <c r="O170" s="66">
        <f t="shared" si="62"/>
        <v>3.2594465921780813</v>
      </c>
      <c r="P170" s="66">
        <f t="shared" si="62"/>
        <v>3.2594465921780813</v>
      </c>
      <c r="Q170" s="66">
        <f t="shared" si="62"/>
        <v>3.2594465921780813</v>
      </c>
      <c r="R170" s="66">
        <f t="shared" si="62"/>
        <v>3.2594465921780813</v>
      </c>
      <c r="S170" s="66">
        <f t="shared" si="62"/>
        <v>3.2594465921780813</v>
      </c>
      <c r="T170" s="66">
        <f t="shared" si="62"/>
        <v>3.2594465921780813</v>
      </c>
      <c r="U170" s="66">
        <f t="shared" si="62"/>
        <v>3.2594465921780813</v>
      </c>
      <c r="V170" s="66">
        <f t="shared" si="62"/>
        <v>3.2594465921780813</v>
      </c>
      <c r="W170" s="66">
        <f t="shared" si="62"/>
        <v>3.2594465921780813</v>
      </c>
      <c r="X170" s="66">
        <f t="shared" si="62"/>
        <v>3.2594465921780813</v>
      </c>
      <c r="Y170" s="66">
        <f t="shared" si="62"/>
        <v>3.2594465921780813</v>
      </c>
      <c r="Z170" s="66">
        <f t="shared" si="62"/>
        <v>3.2594465921780813</v>
      </c>
      <c r="AA170" s="66">
        <f t="shared" si="62"/>
        <v>3.2594465921780813</v>
      </c>
      <c r="AB170" s="66">
        <f t="shared" si="62"/>
        <v>3.2594465921780813</v>
      </c>
      <c r="AC170" s="66">
        <f t="shared" si="62"/>
        <v>3.2594465921780813</v>
      </c>
    </row>
    <row r="171" spans="1:29" x14ac:dyDescent="0.25">
      <c r="A171" s="30" t="str">
        <f t="shared" si="59"/>
        <v>Residual value (costumization)</v>
      </c>
      <c r="B171" s="66">
        <f>((1+B141)^B149)*B141/(((1+B141)^B149)-1)*(B140)/B153</f>
        <v>-0.32594465921780813</v>
      </c>
      <c r="C171" s="66">
        <f t="shared" ref="C171:AC171" si="63">((1+C141)^C149)*C141/(((1+C141)^C149)-1)*(C140)/C153</f>
        <v>-0.32594465921780813</v>
      </c>
      <c r="D171" s="66">
        <f t="shared" si="63"/>
        <v>-0.32594465921780813</v>
      </c>
      <c r="E171" s="66">
        <f t="shared" si="63"/>
        <v>-0.32594465921780813</v>
      </c>
      <c r="F171" s="66">
        <f t="shared" si="63"/>
        <v>-0.32594465921780813</v>
      </c>
      <c r="G171" s="66">
        <f t="shared" si="63"/>
        <v>-0.32594465921780813</v>
      </c>
      <c r="H171" s="66">
        <f t="shared" si="63"/>
        <v>-0.32594465921780813</v>
      </c>
      <c r="I171" s="66">
        <f t="shared" si="63"/>
        <v>-0.32594465921780813</v>
      </c>
      <c r="J171" s="66">
        <f t="shared" si="63"/>
        <v>-0.32594465921780813</v>
      </c>
      <c r="K171" s="66">
        <f t="shared" si="63"/>
        <v>-0.32594465921780813</v>
      </c>
      <c r="L171" s="66">
        <f t="shared" si="63"/>
        <v>-0.32594465921780813</v>
      </c>
      <c r="M171" s="66">
        <f t="shared" si="63"/>
        <v>-0.32594465921780813</v>
      </c>
      <c r="N171" s="66">
        <f t="shared" si="63"/>
        <v>-0.32594465921780813</v>
      </c>
      <c r="O171" s="66">
        <f t="shared" si="63"/>
        <v>-0.32594465921780813</v>
      </c>
      <c r="P171" s="66">
        <f t="shared" si="63"/>
        <v>-0.32594465921780813</v>
      </c>
      <c r="Q171" s="66">
        <f t="shared" si="63"/>
        <v>-0.32594465921780813</v>
      </c>
      <c r="R171" s="66">
        <f t="shared" si="63"/>
        <v>-0.32594465921780813</v>
      </c>
      <c r="S171" s="66">
        <f t="shared" si="63"/>
        <v>-0.32594465921780813</v>
      </c>
      <c r="T171" s="66">
        <f t="shared" si="63"/>
        <v>-0.32594465921780813</v>
      </c>
      <c r="U171" s="66">
        <f t="shared" si="63"/>
        <v>-0.32594465921780813</v>
      </c>
      <c r="V171" s="66">
        <f t="shared" si="63"/>
        <v>-0.32594465921780813</v>
      </c>
      <c r="W171" s="66">
        <f t="shared" si="63"/>
        <v>-0.32594465921780813</v>
      </c>
      <c r="X171" s="66">
        <f t="shared" si="63"/>
        <v>-0.32594465921780813</v>
      </c>
      <c r="Y171" s="66">
        <f t="shared" si="63"/>
        <v>-0.32594465921780813</v>
      </c>
      <c r="Z171" s="66">
        <f t="shared" si="63"/>
        <v>-0.32594465921780813</v>
      </c>
      <c r="AA171" s="66">
        <f t="shared" si="63"/>
        <v>-0.32594465921780813</v>
      </c>
      <c r="AB171" s="66">
        <f t="shared" si="63"/>
        <v>-0.32594465921780813</v>
      </c>
      <c r="AC171" s="66">
        <f t="shared" si="63"/>
        <v>-0.32594465921780813</v>
      </c>
    </row>
    <row r="172" spans="1:29" x14ac:dyDescent="0.25">
      <c r="A172" s="30" t="str">
        <f t="shared" si="59"/>
        <v>Opex fix (admin, crew, insurance)</v>
      </c>
      <c r="B172" s="66">
        <f>B142/B153</f>
        <v>10.068627450980392</v>
      </c>
      <c r="C172" s="66">
        <f t="shared" ref="C172:AC172" si="64">C142/C153</f>
        <v>10.068627450980392</v>
      </c>
      <c r="D172" s="66">
        <f t="shared" si="64"/>
        <v>10.068627450980392</v>
      </c>
      <c r="E172" s="66">
        <f t="shared" si="64"/>
        <v>10.068627450980392</v>
      </c>
      <c r="F172" s="66">
        <f t="shared" si="64"/>
        <v>10.068627450980392</v>
      </c>
      <c r="G172" s="66">
        <f t="shared" si="64"/>
        <v>10.068627450980392</v>
      </c>
      <c r="H172" s="66">
        <f t="shared" si="64"/>
        <v>10.068627450980392</v>
      </c>
      <c r="I172" s="66">
        <f t="shared" si="64"/>
        <v>10.068627450980392</v>
      </c>
      <c r="J172" s="66">
        <f t="shared" si="64"/>
        <v>10.068627450980392</v>
      </c>
      <c r="K172" s="66">
        <f t="shared" si="64"/>
        <v>10.068627450980392</v>
      </c>
      <c r="L172" s="66">
        <f t="shared" si="64"/>
        <v>10.068627450980392</v>
      </c>
      <c r="M172" s="66">
        <f t="shared" si="64"/>
        <v>10.068627450980392</v>
      </c>
      <c r="N172" s="66">
        <f t="shared" si="64"/>
        <v>10.068627450980392</v>
      </c>
      <c r="O172" s="66">
        <f t="shared" si="64"/>
        <v>10.068627450980392</v>
      </c>
      <c r="P172" s="66">
        <f t="shared" si="64"/>
        <v>10.068627450980392</v>
      </c>
      <c r="Q172" s="66">
        <f t="shared" si="64"/>
        <v>10.068627450980392</v>
      </c>
      <c r="R172" s="66">
        <f t="shared" si="64"/>
        <v>10.068627450980392</v>
      </c>
      <c r="S172" s="66">
        <f t="shared" si="64"/>
        <v>10.068627450980392</v>
      </c>
      <c r="T172" s="66">
        <f t="shared" si="64"/>
        <v>10.068627450980392</v>
      </c>
      <c r="U172" s="66">
        <f t="shared" si="64"/>
        <v>10.068627450980392</v>
      </c>
      <c r="V172" s="66">
        <f t="shared" si="64"/>
        <v>10.068627450980392</v>
      </c>
      <c r="W172" s="66">
        <f t="shared" si="64"/>
        <v>10.068627450980392</v>
      </c>
      <c r="X172" s="66">
        <f t="shared" si="64"/>
        <v>10.068627450980392</v>
      </c>
      <c r="Y172" s="66">
        <f t="shared" si="64"/>
        <v>10.068627450980392</v>
      </c>
      <c r="Z172" s="66">
        <f t="shared" si="64"/>
        <v>10.068627450980392</v>
      </c>
      <c r="AA172" s="66">
        <f t="shared" si="64"/>
        <v>10.068627450980392</v>
      </c>
      <c r="AB172" s="66">
        <f t="shared" si="64"/>
        <v>10.068627450980392</v>
      </c>
      <c r="AC172" s="66">
        <f t="shared" si="64"/>
        <v>10.068627450980392</v>
      </c>
    </row>
    <row r="173" spans="1:29" x14ac:dyDescent="0.25">
      <c r="A173" s="30" t="str">
        <f t="shared" si="59"/>
        <v>Opex maintenance &amp; repair</v>
      </c>
      <c r="B173" s="66">
        <f>B143/B153</f>
        <v>4.0686274509803919</v>
      </c>
      <c r="C173" s="66">
        <f t="shared" ref="C173:AC173" si="65">C143/C153</f>
        <v>4.0686274509803919</v>
      </c>
      <c r="D173" s="66">
        <f t="shared" si="65"/>
        <v>4.0686274509803919</v>
      </c>
      <c r="E173" s="66">
        <f t="shared" si="65"/>
        <v>4.0686274509803919</v>
      </c>
      <c r="F173" s="66">
        <f t="shared" si="65"/>
        <v>4.0686274509803919</v>
      </c>
      <c r="G173" s="66">
        <f t="shared" si="65"/>
        <v>4.0686274509803919</v>
      </c>
      <c r="H173" s="66">
        <f t="shared" si="65"/>
        <v>4.0686274509803919</v>
      </c>
      <c r="I173" s="66">
        <f t="shared" si="65"/>
        <v>4.0686274509803919</v>
      </c>
      <c r="J173" s="66">
        <f t="shared" si="65"/>
        <v>4.0686274509803919</v>
      </c>
      <c r="K173" s="66">
        <f t="shared" si="65"/>
        <v>4.0686274509803919</v>
      </c>
      <c r="L173" s="66">
        <f t="shared" si="65"/>
        <v>4.0686274509803919</v>
      </c>
      <c r="M173" s="66">
        <f t="shared" si="65"/>
        <v>4.0686274509803919</v>
      </c>
      <c r="N173" s="66">
        <f t="shared" si="65"/>
        <v>4.0686274509803919</v>
      </c>
      <c r="O173" s="66">
        <f t="shared" si="65"/>
        <v>4.0686274509803919</v>
      </c>
      <c r="P173" s="66">
        <f t="shared" si="65"/>
        <v>4.0686274509803919</v>
      </c>
      <c r="Q173" s="66">
        <f t="shared" si="65"/>
        <v>4.0686274509803919</v>
      </c>
      <c r="R173" s="66">
        <f t="shared" si="65"/>
        <v>4.0686274509803919</v>
      </c>
      <c r="S173" s="66">
        <f t="shared" si="65"/>
        <v>4.0686274509803919</v>
      </c>
      <c r="T173" s="66">
        <f t="shared" si="65"/>
        <v>4.0686274509803919</v>
      </c>
      <c r="U173" s="66">
        <f t="shared" si="65"/>
        <v>4.0686274509803919</v>
      </c>
      <c r="V173" s="66">
        <f t="shared" si="65"/>
        <v>4.0686274509803919</v>
      </c>
      <c r="W173" s="66">
        <f t="shared" si="65"/>
        <v>4.0686274509803919</v>
      </c>
      <c r="X173" s="66">
        <f t="shared" si="65"/>
        <v>4.0686274509803919</v>
      </c>
      <c r="Y173" s="66">
        <f t="shared" si="65"/>
        <v>4.0686274509803919</v>
      </c>
      <c r="Z173" s="66">
        <f t="shared" si="65"/>
        <v>4.0686274509803919</v>
      </c>
      <c r="AA173" s="66">
        <f t="shared" si="65"/>
        <v>4.0686274509803919</v>
      </c>
      <c r="AB173" s="66">
        <f t="shared" si="65"/>
        <v>4.0686274509803919</v>
      </c>
      <c r="AC173" s="66">
        <f t="shared" si="65"/>
        <v>4.0686274509803919</v>
      </c>
    </row>
    <row r="174" spans="1:29" x14ac:dyDescent="0.25">
      <c r="A174" s="30" t="str">
        <f t="shared" si="59"/>
        <v>Opex var (mode-fees)</v>
      </c>
      <c r="B174" s="66">
        <f>B144*B153/B153</f>
        <v>1.6886890630966982</v>
      </c>
      <c r="C174" s="66">
        <f t="shared" ref="C174:AC174" si="66">C144*C153/C153</f>
        <v>1.6886890630966982</v>
      </c>
      <c r="D174" s="66">
        <f t="shared" si="66"/>
        <v>1.6886890630966982</v>
      </c>
      <c r="E174" s="66">
        <f t="shared" si="66"/>
        <v>1.6886890630966982</v>
      </c>
      <c r="F174" s="66">
        <f t="shared" si="66"/>
        <v>1.6886890630966982</v>
      </c>
      <c r="G174" s="66">
        <f t="shared" si="66"/>
        <v>1.6886890630966982</v>
      </c>
      <c r="H174" s="66">
        <f t="shared" si="66"/>
        <v>1.6886890630966982</v>
      </c>
      <c r="I174" s="66">
        <f t="shared" si="66"/>
        <v>1.6886890630966982</v>
      </c>
      <c r="J174" s="66">
        <f t="shared" si="66"/>
        <v>1.6886890630966982</v>
      </c>
      <c r="K174" s="66">
        <f t="shared" si="66"/>
        <v>1.6886890630966982</v>
      </c>
      <c r="L174" s="66">
        <f t="shared" si="66"/>
        <v>1.6886890630966982</v>
      </c>
      <c r="M174" s="66">
        <f t="shared" si="66"/>
        <v>1.6886890630966982</v>
      </c>
      <c r="N174" s="66">
        <f t="shared" si="66"/>
        <v>1.6886890630966982</v>
      </c>
      <c r="O174" s="66">
        <f t="shared" si="66"/>
        <v>1.6886890630966982</v>
      </c>
      <c r="P174" s="66">
        <f t="shared" si="66"/>
        <v>1.6886890630966982</v>
      </c>
      <c r="Q174" s="66">
        <f t="shared" si="66"/>
        <v>1.6886890630966982</v>
      </c>
      <c r="R174" s="66">
        <f t="shared" si="66"/>
        <v>1.6886890630966982</v>
      </c>
      <c r="S174" s="66">
        <f t="shared" si="66"/>
        <v>1.6886890630966982</v>
      </c>
      <c r="T174" s="66">
        <f t="shared" si="66"/>
        <v>1.6886890630966982</v>
      </c>
      <c r="U174" s="66">
        <f t="shared" si="66"/>
        <v>1.6886890630966982</v>
      </c>
      <c r="V174" s="66">
        <f t="shared" si="66"/>
        <v>1.6886890630966982</v>
      </c>
      <c r="W174" s="66">
        <f t="shared" si="66"/>
        <v>1.6886890630966982</v>
      </c>
      <c r="X174" s="66">
        <f t="shared" si="66"/>
        <v>1.6886890630966982</v>
      </c>
      <c r="Y174" s="66">
        <f t="shared" si="66"/>
        <v>1.6886890630966982</v>
      </c>
      <c r="Z174" s="66">
        <f t="shared" si="66"/>
        <v>1.6886890630966982</v>
      </c>
      <c r="AA174" s="66">
        <f t="shared" si="66"/>
        <v>1.6886890630966982</v>
      </c>
      <c r="AB174" s="66">
        <f t="shared" si="66"/>
        <v>1.6886890630966982</v>
      </c>
      <c r="AC174" s="66">
        <f t="shared" si="66"/>
        <v>1.6886890630966982</v>
      </c>
    </row>
    <row r="175" spans="1:29" x14ac:dyDescent="0.25">
      <c r="A175" s="30" t="str">
        <f t="shared" si="59"/>
        <v>Fuel Cost</v>
      </c>
      <c r="B175" s="66">
        <f>B145*B146*B153/B153</f>
        <v>16.805013719486269</v>
      </c>
      <c r="C175" s="66">
        <f t="shared" ref="C175:AC175" si="67">C145*C146*C153/C153</f>
        <v>15.644967164134856</v>
      </c>
      <c r="D175" s="66">
        <f t="shared" si="67"/>
        <v>14.484649107946206</v>
      </c>
      <c r="E175" s="66">
        <f t="shared" si="67"/>
        <v>13.323993015738656</v>
      </c>
      <c r="F175" s="66">
        <f t="shared" si="67"/>
        <v>12.162926205865046</v>
      </c>
      <c r="G175" s="66">
        <f t="shared" si="67"/>
        <v>11.001377357067032</v>
      </c>
      <c r="H175" s="66">
        <f t="shared" si="67"/>
        <v>9.8392917504388588</v>
      </c>
      <c r="I175" s="66">
        <f t="shared" si="67"/>
        <v>8.6766592711436044</v>
      </c>
      <c r="J175" s="66">
        <f t="shared" si="67"/>
        <v>8.4940410213759527</v>
      </c>
      <c r="K175" s="66">
        <f t="shared" si="67"/>
        <v>8.3089356961570306</v>
      </c>
      <c r="L175" s="66">
        <f t="shared" si="67"/>
        <v>8.1205494651235011</v>
      </c>
      <c r="M175" s="66">
        <f t="shared" si="67"/>
        <v>7.9279614146053232</v>
      </c>
      <c r="N175" s="66">
        <f t="shared" si="67"/>
        <v>7.7302232476867365</v>
      </c>
      <c r="O175" s="66">
        <f t="shared" si="67"/>
        <v>7.5265739799901041</v>
      </c>
      <c r="P175" s="66">
        <f t="shared" si="67"/>
        <v>7.3167908354662261</v>
      </c>
      <c r="Q175" s="66">
        <f t="shared" si="67"/>
        <v>7.1016158625217534</v>
      </c>
      <c r="R175" s="66">
        <f t="shared" si="67"/>
        <v>6.8830573214162287</v>
      </c>
      <c r="S175" s="66">
        <f t="shared" si="67"/>
        <v>6.6642715632515319</v>
      </c>
      <c r="T175" s="66">
        <f t="shared" si="67"/>
        <v>6.4488745609359315</v>
      </c>
      <c r="U175" s="66">
        <f t="shared" si="67"/>
        <v>6.2399328335660824</v>
      </c>
      <c r="V175" s="66">
        <f t="shared" si="67"/>
        <v>6.0391849480272617</v>
      </c>
      <c r="W175" s="66">
        <f t="shared" si="67"/>
        <v>5.8468800588657341</v>
      </c>
      <c r="X175" s="66">
        <f t="shared" si="67"/>
        <v>5.6621585995435808</v>
      </c>
      <c r="Y175" s="66">
        <f t="shared" si="67"/>
        <v>5.4836210479667162</v>
      </c>
      <c r="Z175" s="66">
        <f t="shared" si="67"/>
        <v>5.3097910207383903</v>
      </c>
      <c r="AA175" s="66">
        <f t="shared" si="67"/>
        <v>5.1393744074483907</v>
      </c>
      <c r="AB175" s="66">
        <f t="shared" si="67"/>
        <v>4.9713498013600503</v>
      </c>
      <c r="AC175" s="66">
        <f t="shared" si="67"/>
        <v>4.8049620395132884</v>
      </c>
    </row>
    <row r="176" spans="1:29" ht="15.75" thickBot="1" x14ac:dyDescent="0.3">
      <c r="A176" s="59" t="str">
        <f>A127</f>
        <v>Emission Cost</v>
      </c>
      <c r="B176" s="66">
        <f>B147</f>
        <v>0</v>
      </c>
      <c r="C176" s="66">
        <f t="shared" ref="C176:AC176" si="68">C147</f>
        <v>0</v>
      </c>
      <c r="D176" s="66">
        <f t="shared" si="68"/>
        <v>0</v>
      </c>
      <c r="E176" s="66">
        <f t="shared" si="68"/>
        <v>0</v>
      </c>
      <c r="F176" s="66">
        <f t="shared" si="68"/>
        <v>0</v>
      </c>
      <c r="G176" s="66">
        <f t="shared" si="68"/>
        <v>0</v>
      </c>
      <c r="H176" s="66">
        <f t="shared" si="68"/>
        <v>0</v>
      </c>
      <c r="I176" s="66">
        <f t="shared" si="68"/>
        <v>0</v>
      </c>
      <c r="J176" s="66">
        <f t="shared" si="68"/>
        <v>0</v>
      </c>
      <c r="K176" s="66">
        <f t="shared" si="68"/>
        <v>0</v>
      </c>
      <c r="L176" s="66">
        <f t="shared" si="68"/>
        <v>0</v>
      </c>
      <c r="M176" s="66">
        <f t="shared" si="68"/>
        <v>0</v>
      </c>
      <c r="N176" s="66">
        <f t="shared" si="68"/>
        <v>0</v>
      </c>
      <c r="O176" s="66">
        <f t="shared" si="68"/>
        <v>0</v>
      </c>
      <c r="P176" s="66">
        <f t="shared" si="68"/>
        <v>0</v>
      </c>
      <c r="Q176" s="66">
        <f t="shared" si="68"/>
        <v>0</v>
      </c>
      <c r="R176" s="66">
        <f t="shared" si="68"/>
        <v>0</v>
      </c>
      <c r="S176" s="66">
        <f t="shared" si="68"/>
        <v>0</v>
      </c>
      <c r="T176" s="66">
        <f t="shared" si="68"/>
        <v>0</v>
      </c>
      <c r="U176" s="66">
        <f t="shared" si="68"/>
        <v>0</v>
      </c>
      <c r="V176" s="66">
        <f t="shared" si="68"/>
        <v>0</v>
      </c>
      <c r="W176" s="66">
        <f t="shared" si="68"/>
        <v>0</v>
      </c>
      <c r="X176" s="66">
        <f t="shared" si="68"/>
        <v>0</v>
      </c>
      <c r="Y176" s="66">
        <f t="shared" si="68"/>
        <v>0</v>
      </c>
      <c r="Z176" s="66">
        <f t="shared" si="68"/>
        <v>0</v>
      </c>
      <c r="AA176" s="66">
        <f t="shared" si="68"/>
        <v>0</v>
      </c>
      <c r="AB176" s="66">
        <f t="shared" si="68"/>
        <v>0</v>
      </c>
      <c r="AC176" s="66">
        <f t="shared" si="68"/>
        <v>0</v>
      </c>
    </row>
    <row r="177" spans="1:29" ht="15.75" thickBot="1" x14ac:dyDescent="0.3">
      <c r="A177" s="31" t="s">
        <v>63</v>
      </c>
      <c r="B177" s="76">
        <f>B168+B169+B170-B171+B172+B173+B174+B175+B176</f>
        <v>45.017928520989187</v>
      </c>
      <c r="C177" s="76">
        <f t="shared" ref="C177:AC177" si="69">C168+C169+C170-C171+C172+C173+C174+C175+C176</f>
        <v>43.858346511230522</v>
      </c>
      <c r="D177" s="76">
        <f t="shared" si="69"/>
        <v>42.698693441710979</v>
      </c>
      <c r="E177" s="76">
        <f t="shared" si="69"/>
        <v>41.53898865969753</v>
      </c>
      <c r="F177" s="76">
        <f t="shared" si="69"/>
        <v>40.379281482008317</v>
      </c>
      <c r="G177" s="76">
        <f t="shared" si="69"/>
        <v>39.219673122166128</v>
      </c>
      <c r="H177" s="76">
        <f t="shared" si="69"/>
        <v>38.060351247865107</v>
      </c>
      <c r="I177" s="76">
        <f t="shared" si="69"/>
        <v>36.901642872288434</v>
      </c>
      <c r="J177" s="76">
        <f t="shared" si="69"/>
        <v>36.724570966044709</v>
      </c>
      <c r="K177" s="76">
        <f t="shared" si="69"/>
        <v>36.547252607069055</v>
      </c>
      <c r="L177" s="76">
        <f t="shared" si="69"/>
        <v>36.369693085869947</v>
      </c>
      <c r="M177" s="76">
        <f t="shared" si="69"/>
        <v>36.191948049506742</v>
      </c>
      <c r="N177" s="76">
        <f t="shared" si="69"/>
        <v>36.014157303099331</v>
      </c>
      <c r="O177" s="76">
        <f t="shared" si="69"/>
        <v>35.83658316756906</v>
      </c>
      <c r="P177" s="76">
        <f t="shared" si="69"/>
        <v>35.659637244739336</v>
      </c>
      <c r="Q177" s="76">
        <f t="shared" si="69"/>
        <v>35.483865995235249</v>
      </c>
      <c r="R177" s="76">
        <f t="shared" si="69"/>
        <v>35.309864146466168</v>
      </c>
      <c r="S177" s="76">
        <f t="shared" si="69"/>
        <v>35.138116705589539</v>
      </c>
      <c r="T177" s="76">
        <f t="shared" si="69"/>
        <v>34.968832394460478</v>
      </c>
      <c r="U177" s="76">
        <f t="shared" si="69"/>
        <v>34.801867999040837</v>
      </c>
      <c r="V177" s="76">
        <f t="shared" si="69"/>
        <v>34.636794867972661</v>
      </c>
      <c r="W177" s="76">
        <f t="shared" si="69"/>
        <v>34.473059068155585</v>
      </c>
      <c r="X177" s="76">
        <f t="shared" si="69"/>
        <v>34.310137091989915</v>
      </c>
      <c r="Y177" s="76">
        <f t="shared" si="69"/>
        <v>34.147623908854143</v>
      </c>
      <c r="Z177" s="76">
        <f t="shared" si="69"/>
        <v>33.98525107324204</v>
      </c>
      <c r="AA177" s="76">
        <f t="shared" si="69"/>
        <v>33.822864259280955</v>
      </c>
      <c r="AB177" s="76">
        <f t="shared" si="69"/>
        <v>33.660388738078936</v>
      </c>
      <c r="AC177" s="76">
        <f t="shared" si="69"/>
        <v>33.497798491541388</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0">A156</f>
        <v>Capex vehicle</v>
      </c>
      <c r="B180" s="143">
        <f>((1+B141)^B148)*B141/(((1+B141)^B148)-1)*(B137)/B153/(B150)</f>
        <v>1.0347449498978036E-3</v>
      </c>
      <c r="C180" s="65">
        <f t="shared" ref="C180:AC180" si="71">((1+C141)^C148)*C141/(((1+C141)^C148)-1)*(C137)/C153/(C150)</f>
        <v>1.0347449498978036E-3</v>
      </c>
      <c r="D180" s="65">
        <f t="shared" si="71"/>
        <v>1.0347449498978036E-3</v>
      </c>
      <c r="E180" s="65">
        <f t="shared" si="71"/>
        <v>1.0347449498978036E-3</v>
      </c>
      <c r="F180" s="65">
        <f t="shared" si="71"/>
        <v>1.0347449498978036E-3</v>
      </c>
      <c r="G180" s="65">
        <f t="shared" si="71"/>
        <v>1.0347449498978036E-3</v>
      </c>
      <c r="H180" s="65">
        <f t="shared" si="71"/>
        <v>1.0347449498978036E-3</v>
      </c>
      <c r="I180" s="65">
        <f t="shared" si="71"/>
        <v>1.0347449498978036E-3</v>
      </c>
      <c r="J180" s="65">
        <f t="shared" si="71"/>
        <v>1.0347449498978036E-3</v>
      </c>
      <c r="K180" s="65">
        <f t="shared" si="71"/>
        <v>1.0347449498978036E-3</v>
      </c>
      <c r="L180" s="65">
        <f t="shared" si="71"/>
        <v>1.0347449498978036E-3</v>
      </c>
      <c r="M180" s="65">
        <f t="shared" si="71"/>
        <v>1.0347449498978036E-3</v>
      </c>
      <c r="N180" s="65">
        <f t="shared" si="71"/>
        <v>1.0347449498978036E-3</v>
      </c>
      <c r="O180" s="65">
        <f t="shared" si="71"/>
        <v>1.0347449498978036E-3</v>
      </c>
      <c r="P180" s="65">
        <f t="shared" si="71"/>
        <v>1.0347449498978036E-3</v>
      </c>
      <c r="Q180" s="65">
        <f t="shared" si="71"/>
        <v>1.0347449498978036E-3</v>
      </c>
      <c r="R180" s="65">
        <f t="shared" si="71"/>
        <v>1.0347449498978036E-3</v>
      </c>
      <c r="S180" s="65">
        <f t="shared" si="71"/>
        <v>1.0347449498978036E-3</v>
      </c>
      <c r="T180" s="65">
        <f t="shared" si="71"/>
        <v>1.0347449498978036E-3</v>
      </c>
      <c r="U180" s="65">
        <f t="shared" si="71"/>
        <v>1.0347449498978036E-3</v>
      </c>
      <c r="V180" s="65">
        <f t="shared" si="71"/>
        <v>1.0347449498978036E-3</v>
      </c>
      <c r="W180" s="65">
        <f t="shared" si="71"/>
        <v>1.0347449498978036E-3</v>
      </c>
      <c r="X180" s="65">
        <f t="shared" si="71"/>
        <v>1.0347449498978036E-3</v>
      </c>
      <c r="Y180" s="65">
        <f t="shared" si="71"/>
        <v>1.0347449498978036E-3</v>
      </c>
      <c r="Z180" s="65">
        <f t="shared" si="71"/>
        <v>1.0347449498978036E-3</v>
      </c>
      <c r="AA180" s="65">
        <f t="shared" si="71"/>
        <v>1.0347449498978036E-3</v>
      </c>
      <c r="AB180" s="65">
        <f t="shared" si="71"/>
        <v>1.0347449498978036E-3</v>
      </c>
      <c r="AC180" s="65">
        <f t="shared" si="71"/>
        <v>1.0347449498978036E-3</v>
      </c>
    </row>
    <row r="181" spans="1:29" x14ac:dyDescent="0.25">
      <c r="A181" s="30" t="str">
        <f t="shared" si="70"/>
        <v>Residual value (vehicle)</v>
      </c>
      <c r="B181" s="69">
        <f>((1+B141)^B148)*B141/(((1+B141)^B148)-1)*(B138)/B153/(B150)</f>
        <v>-1.0336086682377807E-4</v>
      </c>
      <c r="C181" s="68">
        <f t="shared" ref="C181:AC181" si="72">((1+C141)^C148)*C141/(((1+C141)^C148)-1)*(C138)/C153/(C150)</f>
        <v>-1.0331170855999495E-4</v>
      </c>
      <c r="D181" s="68">
        <f t="shared" si="72"/>
        <v>-1.0324133960030145E-4</v>
      </c>
      <c r="E181" s="68">
        <f t="shared" si="72"/>
        <v>-1.0314067185489343E-4</v>
      </c>
      <c r="F181" s="68">
        <f t="shared" si="72"/>
        <v>-1.0299679543326449E-4</v>
      </c>
      <c r="G181" s="68">
        <f t="shared" si="72"/>
        <v>-1.0279145268661591E-4</v>
      </c>
      <c r="H181" s="68">
        <f t="shared" si="72"/>
        <v>-1.0249899423929835E-4</v>
      </c>
      <c r="I181" s="68">
        <f t="shared" si="72"/>
        <v>-1.0208374516854875E-4</v>
      </c>
      <c r="J181" s="68">
        <f t="shared" si="72"/>
        <v>-1.0149683050993223E-4</v>
      </c>
      <c r="K181" s="68">
        <f t="shared" si="72"/>
        <v>-1.0067281291805218E-4</v>
      </c>
      <c r="L181" s="68">
        <f t="shared" si="72"/>
        <v>-9.9527129337690295E-5</v>
      </c>
      <c r="M181" s="68">
        <f t="shared" si="72"/>
        <v>-9.7956440009122124E-5</v>
      </c>
      <c r="N181" s="68">
        <f t="shared" si="72"/>
        <v>-9.5845601859790468E-5</v>
      </c>
      <c r="O181" s="68">
        <f t="shared" si="72"/>
        <v>-9.3086328614673487E-5</v>
      </c>
      <c r="P181" s="68">
        <f t="shared" si="72"/>
        <v>-8.9611490340159677E-5</v>
      </c>
      <c r="Q181" s="68">
        <f t="shared" si="72"/>
        <v>-8.5441784155991385E-5</v>
      </c>
      <c r="R181" s="68">
        <f t="shared" si="72"/>
        <v>-8.0726790257955685E-5</v>
      </c>
      <c r="S181" s="68">
        <f t="shared" si="72"/>
        <v>-7.5749190544932557E-5</v>
      </c>
      <c r="T181" s="68">
        <f t="shared" si="72"/>
        <v>-7.086954068392259E-5</v>
      </c>
      <c r="U181" s="68">
        <f t="shared" si="72"/>
        <v>-6.6427494974906487E-5</v>
      </c>
      <c r="V181" s="68">
        <f t="shared" si="72"/>
        <v>-6.2652388681716054E-5</v>
      </c>
      <c r="W181" s="68">
        <f t="shared" si="72"/>
        <v>-5.9629204624102501E-5</v>
      </c>
      <c r="X181" s="68">
        <f t="shared" si="72"/>
        <v>-5.7322381009659713E-5</v>
      </c>
      <c r="Y181" s="68">
        <f t="shared" si="72"/>
        <v>-5.5626680645522941E-5</v>
      </c>
      <c r="Z181" s="68">
        <f t="shared" si="72"/>
        <v>-5.4414279416293167E-5</v>
      </c>
      <c r="AA181" s="68">
        <f t="shared" si="72"/>
        <v>-5.3564565201592909E-5</v>
      </c>
      <c r="AB181" s="68">
        <f t="shared" si="72"/>
        <v>-5.2977360451717727E-5</v>
      </c>
      <c r="AC181" s="68">
        <f t="shared" si="72"/>
        <v>-5.2575506979843073E-5</v>
      </c>
    </row>
    <row r="182" spans="1:29" x14ac:dyDescent="0.25">
      <c r="A182" s="30" t="str">
        <f t="shared" si="70"/>
        <v>Capex costumization</v>
      </c>
      <c r="B182" s="69">
        <f>((1+B141)^B149)*B141/(((1+B141)^B149)-1)*(B139)/B153/(B150)</f>
        <v>3.4491498329926784E-4</v>
      </c>
      <c r="C182" s="66">
        <f t="shared" ref="C182:AC182" si="73">((1+C141)^C149)*C141/(((1+C141)^C149)-1)*(C139)/C153/(C150)</f>
        <v>3.4491498329926784E-4</v>
      </c>
      <c r="D182" s="66">
        <f t="shared" si="73"/>
        <v>3.4491498329926784E-4</v>
      </c>
      <c r="E182" s="66">
        <f t="shared" si="73"/>
        <v>3.4491498329926784E-4</v>
      </c>
      <c r="F182" s="66">
        <f t="shared" si="73"/>
        <v>3.4491498329926784E-4</v>
      </c>
      <c r="G182" s="66">
        <f t="shared" si="73"/>
        <v>3.4491498329926784E-4</v>
      </c>
      <c r="H182" s="66">
        <f t="shared" si="73"/>
        <v>3.4491498329926784E-4</v>
      </c>
      <c r="I182" s="66">
        <f t="shared" si="73"/>
        <v>3.4491498329926784E-4</v>
      </c>
      <c r="J182" s="66">
        <f t="shared" si="73"/>
        <v>3.4491498329926784E-4</v>
      </c>
      <c r="K182" s="66">
        <f t="shared" si="73"/>
        <v>3.4491498329926784E-4</v>
      </c>
      <c r="L182" s="66">
        <f t="shared" si="73"/>
        <v>3.4491498329926784E-4</v>
      </c>
      <c r="M182" s="66">
        <f t="shared" si="73"/>
        <v>3.4491498329926784E-4</v>
      </c>
      <c r="N182" s="66">
        <f t="shared" si="73"/>
        <v>3.4491498329926784E-4</v>
      </c>
      <c r="O182" s="66">
        <f t="shared" si="73"/>
        <v>3.4491498329926784E-4</v>
      </c>
      <c r="P182" s="66">
        <f t="shared" si="73"/>
        <v>3.4491498329926784E-4</v>
      </c>
      <c r="Q182" s="66">
        <f t="shared" si="73"/>
        <v>3.4491498329926784E-4</v>
      </c>
      <c r="R182" s="66">
        <f t="shared" si="73"/>
        <v>3.4491498329926784E-4</v>
      </c>
      <c r="S182" s="66">
        <f t="shared" si="73"/>
        <v>3.4491498329926784E-4</v>
      </c>
      <c r="T182" s="66">
        <f t="shared" si="73"/>
        <v>3.4491498329926784E-4</v>
      </c>
      <c r="U182" s="66">
        <f t="shared" si="73"/>
        <v>3.4491498329926784E-4</v>
      </c>
      <c r="V182" s="66">
        <f t="shared" si="73"/>
        <v>3.4491498329926784E-4</v>
      </c>
      <c r="W182" s="66">
        <f t="shared" si="73"/>
        <v>3.4491498329926784E-4</v>
      </c>
      <c r="X182" s="66">
        <f t="shared" si="73"/>
        <v>3.4491498329926784E-4</v>
      </c>
      <c r="Y182" s="66">
        <f t="shared" si="73"/>
        <v>3.4491498329926784E-4</v>
      </c>
      <c r="Z182" s="66">
        <f t="shared" si="73"/>
        <v>3.4491498329926784E-4</v>
      </c>
      <c r="AA182" s="66">
        <f t="shared" si="73"/>
        <v>3.4491498329926784E-4</v>
      </c>
      <c r="AB182" s="66">
        <f t="shared" si="73"/>
        <v>3.4491498329926784E-4</v>
      </c>
      <c r="AC182" s="66">
        <f t="shared" si="73"/>
        <v>3.4491498329926784E-4</v>
      </c>
    </row>
    <row r="183" spans="1:29" x14ac:dyDescent="0.25">
      <c r="A183" s="30" t="str">
        <f t="shared" si="70"/>
        <v>Residual value (costumization)</v>
      </c>
      <c r="B183" s="69">
        <f>((1+B141)^B149)*B141/(((1+B141)^B149)-1)*(B140)/B153/(B150)</f>
        <v>-3.4491498329926788E-5</v>
      </c>
      <c r="C183" s="69">
        <f t="shared" ref="C183:AC183" si="74">((1+C141)^C149)*C141/(((1+C141)^C149)-1)*(C140)/C153/(C150)</f>
        <v>-3.4491498329926788E-5</v>
      </c>
      <c r="D183" s="69">
        <f t="shared" si="74"/>
        <v>-3.4491498329926788E-5</v>
      </c>
      <c r="E183" s="69">
        <f t="shared" si="74"/>
        <v>-3.4491498329926788E-5</v>
      </c>
      <c r="F183" s="69">
        <f t="shared" si="74"/>
        <v>-3.4491498329926788E-5</v>
      </c>
      <c r="G183" s="69">
        <f t="shared" si="74"/>
        <v>-3.4491498329926788E-5</v>
      </c>
      <c r="H183" s="69">
        <f t="shared" si="74"/>
        <v>-3.4491498329926788E-5</v>
      </c>
      <c r="I183" s="69">
        <f t="shared" si="74"/>
        <v>-3.4491498329926788E-5</v>
      </c>
      <c r="J183" s="69">
        <f t="shared" si="74"/>
        <v>-3.4491498329926788E-5</v>
      </c>
      <c r="K183" s="69">
        <f t="shared" si="74"/>
        <v>-3.4491498329926788E-5</v>
      </c>
      <c r="L183" s="69">
        <f t="shared" si="74"/>
        <v>-3.4491498329926788E-5</v>
      </c>
      <c r="M183" s="69">
        <f t="shared" si="74"/>
        <v>-3.4491498329926788E-5</v>
      </c>
      <c r="N183" s="69">
        <f t="shared" si="74"/>
        <v>-3.4491498329926788E-5</v>
      </c>
      <c r="O183" s="69">
        <f t="shared" si="74"/>
        <v>-3.4491498329926788E-5</v>
      </c>
      <c r="P183" s="69">
        <f t="shared" si="74"/>
        <v>-3.4491498329926788E-5</v>
      </c>
      <c r="Q183" s="69">
        <f t="shared" si="74"/>
        <v>-3.4491498329926788E-5</v>
      </c>
      <c r="R183" s="69">
        <f t="shared" si="74"/>
        <v>-3.4491498329926788E-5</v>
      </c>
      <c r="S183" s="69">
        <f t="shared" si="74"/>
        <v>-3.4491498329926788E-5</v>
      </c>
      <c r="T183" s="69">
        <f t="shared" si="74"/>
        <v>-3.4491498329926788E-5</v>
      </c>
      <c r="U183" s="69">
        <f t="shared" si="74"/>
        <v>-3.4491498329926788E-5</v>
      </c>
      <c r="V183" s="69">
        <f t="shared" si="74"/>
        <v>-3.4491498329926788E-5</v>
      </c>
      <c r="W183" s="69">
        <f t="shared" si="74"/>
        <v>-3.4491498329926788E-5</v>
      </c>
      <c r="X183" s="69">
        <f t="shared" si="74"/>
        <v>-3.4491498329926788E-5</v>
      </c>
      <c r="Y183" s="69">
        <f t="shared" si="74"/>
        <v>-3.4491498329926788E-5</v>
      </c>
      <c r="Z183" s="69">
        <f t="shared" si="74"/>
        <v>-3.4491498329926788E-5</v>
      </c>
      <c r="AA183" s="69">
        <f t="shared" si="74"/>
        <v>-3.4491498329926788E-5</v>
      </c>
      <c r="AB183" s="69">
        <f t="shared" si="74"/>
        <v>-3.4491498329926788E-5</v>
      </c>
      <c r="AC183" s="69">
        <f t="shared" si="74"/>
        <v>-3.4491498329926788E-5</v>
      </c>
    </row>
    <row r="184" spans="1:29" x14ac:dyDescent="0.25">
      <c r="A184" s="30" t="str">
        <f t="shared" si="70"/>
        <v>Opex fix (admin, crew, insurance)</v>
      </c>
      <c r="B184" s="69">
        <f>B142/B153/(B150)</f>
        <v>1.0654632223259673E-3</v>
      </c>
      <c r="C184" s="66">
        <f t="shared" ref="C184:AC184" si="75">C142/C153/(C150)</f>
        <v>1.0654632223259673E-3</v>
      </c>
      <c r="D184" s="66">
        <f t="shared" si="75"/>
        <v>1.0654632223259673E-3</v>
      </c>
      <c r="E184" s="66">
        <f t="shared" si="75"/>
        <v>1.0654632223259673E-3</v>
      </c>
      <c r="F184" s="66">
        <f t="shared" si="75"/>
        <v>1.0654632223259673E-3</v>
      </c>
      <c r="G184" s="66">
        <f t="shared" si="75"/>
        <v>1.0654632223259673E-3</v>
      </c>
      <c r="H184" s="66">
        <f t="shared" si="75"/>
        <v>1.0654632223259673E-3</v>
      </c>
      <c r="I184" s="66">
        <f t="shared" si="75"/>
        <v>1.0654632223259673E-3</v>
      </c>
      <c r="J184" s="66">
        <f t="shared" si="75"/>
        <v>1.0654632223259673E-3</v>
      </c>
      <c r="K184" s="66">
        <f t="shared" si="75"/>
        <v>1.0654632223259673E-3</v>
      </c>
      <c r="L184" s="66">
        <f t="shared" si="75"/>
        <v>1.0654632223259673E-3</v>
      </c>
      <c r="M184" s="66">
        <f t="shared" si="75"/>
        <v>1.0654632223259673E-3</v>
      </c>
      <c r="N184" s="66">
        <f t="shared" si="75"/>
        <v>1.0654632223259673E-3</v>
      </c>
      <c r="O184" s="66">
        <f t="shared" si="75"/>
        <v>1.0654632223259673E-3</v>
      </c>
      <c r="P184" s="66">
        <f t="shared" si="75"/>
        <v>1.0654632223259673E-3</v>
      </c>
      <c r="Q184" s="66">
        <f t="shared" si="75"/>
        <v>1.0654632223259673E-3</v>
      </c>
      <c r="R184" s="66">
        <f t="shared" si="75"/>
        <v>1.0654632223259673E-3</v>
      </c>
      <c r="S184" s="66">
        <f t="shared" si="75"/>
        <v>1.0654632223259673E-3</v>
      </c>
      <c r="T184" s="66">
        <f t="shared" si="75"/>
        <v>1.0654632223259673E-3</v>
      </c>
      <c r="U184" s="66">
        <f t="shared" si="75"/>
        <v>1.0654632223259673E-3</v>
      </c>
      <c r="V184" s="66">
        <f t="shared" si="75"/>
        <v>1.0654632223259673E-3</v>
      </c>
      <c r="W184" s="66">
        <f t="shared" si="75"/>
        <v>1.0654632223259673E-3</v>
      </c>
      <c r="X184" s="66">
        <f t="shared" si="75"/>
        <v>1.0654632223259673E-3</v>
      </c>
      <c r="Y184" s="66">
        <f t="shared" si="75"/>
        <v>1.0654632223259673E-3</v>
      </c>
      <c r="Z184" s="66">
        <f t="shared" si="75"/>
        <v>1.0654632223259673E-3</v>
      </c>
      <c r="AA184" s="66">
        <f t="shared" si="75"/>
        <v>1.0654632223259673E-3</v>
      </c>
      <c r="AB184" s="66">
        <f t="shared" si="75"/>
        <v>1.0654632223259673E-3</v>
      </c>
      <c r="AC184" s="66">
        <f t="shared" si="75"/>
        <v>1.0654632223259673E-3</v>
      </c>
    </row>
    <row r="185" spans="1:29" x14ac:dyDescent="0.25">
      <c r="A185" s="30" t="str">
        <f t="shared" si="70"/>
        <v>Opex maintenance &amp; repair</v>
      </c>
      <c r="B185" s="69">
        <f>B143/B153/(B150)</f>
        <v>4.305425874053325E-4</v>
      </c>
      <c r="C185" s="66">
        <f t="shared" ref="C185:AC185" si="76">C143/C153/(C150)</f>
        <v>4.305425874053325E-4</v>
      </c>
      <c r="D185" s="66">
        <f t="shared" si="76"/>
        <v>4.305425874053325E-4</v>
      </c>
      <c r="E185" s="66">
        <f t="shared" si="76"/>
        <v>4.305425874053325E-4</v>
      </c>
      <c r="F185" s="66">
        <f t="shared" si="76"/>
        <v>4.305425874053325E-4</v>
      </c>
      <c r="G185" s="66">
        <f t="shared" si="76"/>
        <v>4.305425874053325E-4</v>
      </c>
      <c r="H185" s="66">
        <f t="shared" si="76"/>
        <v>4.305425874053325E-4</v>
      </c>
      <c r="I185" s="66">
        <f t="shared" si="76"/>
        <v>4.305425874053325E-4</v>
      </c>
      <c r="J185" s="66">
        <f t="shared" si="76"/>
        <v>4.305425874053325E-4</v>
      </c>
      <c r="K185" s="66">
        <f t="shared" si="76"/>
        <v>4.305425874053325E-4</v>
      </c>
      <c r="L185" s="66">
        <f t="shared" si="76"/>
        <v>4.305425874053325E-4</v>
      </c>
      <c r="M185" s="66">
        <f t="shared" si="76"/>
        <v>4.305425874053325E-4</v>
      </c>
      <c r="N185" s="66">
        <f t="shared" si="76"/>
        <v>4.305425874053325E-4</v>
      </c>
      <c r="O185" s="66">
        <f t="shared" si="76"/>
        <v>4.305425874053325E-4</v>
      </c>
      <c r="P185" s="66">
        <f t="shared" si="76"/>
        <v>4.305425874053325E-4</v>
      </c>
      <c r="Q185" s="66">
        <f t="shared" si="76"/>
        <v>4.305425874053325E-4</v>
      </c>
      <c r="R185" s="66">
        <f t="shared" si="76"/>
        <v>4.305425874053325E-4</v>
      </c>
      <c r="S185" s="66">
        <f t="shared" si="76"/>
        <v>4.305425874053325E-4</v>
      </c>
      <c r="T185" s="66">
        <f t="shared" si="76"/>
        <v>4.305425874053325E-4</v>
      </c>
      <c r="U185" s="66">
        <f t="shared" si="76"/>
        <v>4.305425874053325E-4</v>
      </c>
      <c r="V185" s="66">
        <f t="shared" si="76"/>
        <v>4.305425874053325E-4</v>
      </c>
      <c r="W185" s="66">
        <f t="shared" si="76"/>
        <v>4.305425874053325E-4</v>
      </c>
      <c r="X185" s="66">
        <f t="shared" si="76"/>
        <v>4.305425874053325E-4</v>
      </c>
      <c r="Y185" s="66">
        <f t="shared" si="76"/>
        <v>4.305425874053325E-4</v>
      </c>
      <c r="Z185" s="66">
        <f t="shared" si="76"/>
        <v>4.305425874053325E-4</v>
      </c>
      <c r="AA185" s="66">
        <f t="shared" si="76"/>
        <v>4.305425874053325E-4</v>
      </c>
      <c r="AB185" s="66">
        <f t="shared" si="76"/>
        <v>4.305425874053325E-4</v>
      </c>
      <c r="AC185" s="66">
        <f t="shared" si="76"/>
        <v>4.305425874053325E-4</v>
      </c>
    </row>
    <row r="186" spans="1:29" x14ac:dyDescent="0.25">
      <c r="A186" s="30" t="str">
        <f t="shared" si="70"/>
        <v>Opex var (mode-fees)</v>
      </c>
      <c r="B186" s="69">
        <f>B144*B153/B153/(B150)</f>
        <v>1.7869725535414797E-4</v>
      </c>
      <c r="C186" s="66">
        <f t="shared" ref="C186:AC186" si="77">C144*C153/C153/(C150)</f>
        <v>1.7869725535414797E-4</v>
      </c>
      <c r="D186" s="66">
        <f t="shared" si="77"/>
        <v>1.7869725535414797E-4</v>
      </c>
      <c r="E186" s="66">
        <f t="shared" si="77"/>
        <v>1.7869725535414797E-4</v>
      </c>
      <c r="F186" s="66">
        <f t="shared" si="77"/>
        <v>1.7869725535414797E-4</v>
      </c>
      <c r="G186" s="66">
        <f t="shared" si="77"/>
        <v>1.7869725535414797E-4</v>
      </c>
      <c r="H186" s="66">
        <f t="shared" si="77"/>
        <v>1.7869725535414797E-4</v>
      </c>
      <c r="I186" s="66">
        <f t="shared" si="77"/>
        <v>1.7869725535414797E-4</v>
      </c>
      <c r="J186" s="66">
        <f t="shared" si="77"/>
        <v>1.7869725535414797E-4</v>
      </c>
      <c r="K186" s="66">
        <f t="shared" si="77"/>
        <v>1.7869725535414797E-4</v>
      </c>
      <c r="L186" s="66">
        <f t="shared" si="77"/>
        <v>1.7869725535414797E-4</v>
      </c>
      <c r="M186" s="66">
        <f t="shared" si="77"/>
        <v>1.7869725535414797E-4</v>
      </c>
      <c r="N186" s="66">
        <f t="shared" si="77"/>
        <v>1.7869725535414797E-4</v>
      </c>
      <c r="O186" s="66">
        <f t="shared" si="77"/>
        <v>1.7869725535414797E-4</v>
      </c>
      <c r="P186" s="66">
        <f t="shared" si="77"/>
        <v>1.7869725535414797E-4</v>
      </c>
      <c r="Q186" s="66">
        <f t="shared" si="77"/>
        <v>1.7869725535414797E-4</v>
      </c>
      <c r="R186" s="66">
        <f t="shared" si="77"/>
        <v>1.7869725535414797E-4</v>
      </c>
      <c r="S186" s="66">
        <f t="shared" si="77"/>
        <v>1.7869725535414797E-4</v>
      </c>
      <c r="T186" s="66">
        <f t="shared" si="77"/>
        <v>1.7869725535414797E-4</v>
      </c>
      <c r="U186" s="66">
        <f t="shared" si="77"/>
        <v>1.7869725535414797E-4</v>
      </c>
      <c r="V186" s="66">
        <f t="shared" si="77"/>
        <v>1.7869725535414797E-4</v>
      </c>
      <c r="W186" s="66">
        <f t="shared" si="77"/>
        <v>1.7869725535414797E-4</v>
      </c>
      <c r="X186" s="66">
        <f t="shared" si="77"/>
        <v>1.7869725535414797E-4</v>
      </c>
      <c r="Y186" s="66">
        <f t="shared" si="77"/>
        <v>1.7869725535414797E-4</v>
      </c>
      <c r="Z186" s="66">
        <f t="shared" si="77"/>
        <v>1.7869725535414797E-4</v>
      </c>
      <c r="AA186" s="66">
        <f t="shared" si="77"/>
        <v>1.7869725535414797E-4</v>
      </c>
      <c r="AB186" s="66">
        <f t="shared" si="77"/>
        <v>1.7869725535414797E-4</v>
      </c>
      <c r="AC186" s="66">
        <f t="shared" si="77"/>
        <v>1.7869725535414797E-4</v>
      </c>
    </row>
    <row r="187" spans="1:29" x14ac:dyDescent="0.25">
      <c r="A187" s="30" t="str">
        <f t="shared" si="70"/>
        <v>Fuel Cost</v>
      </c>
      <c r="B187" s="69">
        <f>B145*B146*B153/B153/(B150)</f>
        <v>1.7783083301043669E-3</v>
      </c>
      <c r="C187" s="66">
        <f t="shared" ref="C187:AC187" si="78">C145*C146*C153/C153/(C150)</f>
        <v>1.6555520808608313E-3</v>
      </c>
      <c r="D187" s="66">
        <f t="shared" si="78"/>
        <v>1.5327671013699688E-3</v>
      </c>
      <c r="E187" s="66">
        <f t="shared" si="78"/>
        <v>1.4099463508718156E-3</v>
      </c>
      <c r="F187" s="66">
        <f t="shared" si="78"/>
        <v>1.2870821381867775E-3</v>
      </c>
      <c r="G187" s="66">
        <f t="shared" si="78"/>
        <v>1.1641669160917494E-3</v>
      </c>
      <c r="H187" s="66">
        <f t="shared" si="78"/>
        <v>1.0411948942263343E-3</v>
      </c>
      <c r="I187" s="66">
        <f t="shared" si="78"/>
        <v>9.1816500223741845E-4</v>
      </c>
      <c r="J187" s="66">
        <f t="shared" si="78"/>
        <v>8.9884031972232309E-4</v>
      </c>
      <c r="K187" s="66">
        <f t="shared" si="78"/>
        <v>8.7925245461979165E-4</v>
      </c>
      <c r="L187" s="66">
        <f t="shared" si="78"/>
        <v>8.5931740371677264E-4</v>
      </c>
      <c r="M187" s="66">
        <f t="shared" si="78"/>
        <v>8.3893771583125115E-4</v>
      </c>
      <c r="N187" s="66">
        <f t="shared" si="78"/>
        <v>8.1801304208325249E-4</v>
      </c>
      <c r="O187" s="66">
        <f t="shared" si="78"/>
        <v>7.9646285502540785E-4</v>
      </c>
      <c r="P187" s="66">
        <f t="shared" si="78"/>
        <v>7.7426358047261656E-4</v>
      </c>
      <c r="Q187" s="66">
        <f t="shared" si="78"/>
        <v>7.5149374206579401E-4</v>
      </c>
      <c r="R187" s="66">
        <f t="shared" si="78"/>
        <v>7.2836585411811946E-4</v>
      </c>
      <c r="S187" s="66">
        <f t="shared" si="78"/>
        <v>7.0521392203719919E-4</v>
      </c>
      <c r="T187" s="66">
        <f t="shared" si="78"/>
        <v>6.8242058845882875E-4</v>
      </c>
      <c r="U187" s="66">
        <f t="shared" si="78"/>
        <v>6.6031035275831561E-4</v>
      </c>
      <c r="V187" s="66">
        <f t="shared" si="78"/>
        <v>6.3906719026743505E-4</v>
      </c>
      <c r="W187" s="66">
        <f t="shared" si="78"/>
        <v>6.1871746654663853E-4</v>
      </c>
      <c r="X187" s="66">
        <f t="shared" si="78"/>
        <v>5.991702221739239E-4</v>
      </c>
      <c r="Y187" s="66">
        <f t="shared" si="78"/>
        <v>5.8027735957319753E-4</v>
      </c>
      <c r="Z187" s="66">
        <f t="shared" si="78"/>
        <v>5.6188264769718417E-4</v>
      </c>
      <c r="AA187" s="66">
        <f t="shared" si="78"/>
        <v>5.4384914364533239E-4</v>
      </c>
      <c r="AB187" s="66">
        <f t="shared" si="78"/>
        <v>5.260687620486826E-4</v>
      </c>
      <c r="AC187" s="66">
        <f t="shared" si="78"/>
        <v>5.0846159148288761E-4</v>
      </c>
    </row>
    <row r="188" spans="1:29" x14ac:dyDescent="0.25">
      <c r="A188" s="59" t="str">
        <f>A151</f>
        <v>Market failure (av. utilization)</v>
      </c>
      <c r="B188" s="69">
        <f t="shared" ref="B188:AC188" si="79">B177/B151-B177/B150</f>
        <v>3.5451549468971432E-3</v>
      </c>
      <c r="C188" s="66">
        <f t="shared" si="79"/>
        <v>3.4538380419819785E-3</v>
      </c>
      <c r="D188" s="66">
        <f t="shared" si="79"/>
        <v>3.3625155411215737E-3</v>
      </c>
      <c r="E188" s="66">
        <f t="shared" si="79"/>
        <v>3.2711889679102272E-3</v>
      </c>
      <c r="F188" s="66">
        <f t="shared" si="79"/>
        <v>3.1798622060397836E-3</v>
      </c>
      <c r="G188" s="66">
        <f t="shared" si="79"/>
        <v>3.0885432260595947E-3</v>
      </c>
      <c r="H188" s="66">
        <f t="shared" si="79"/>
        <v>2.9972468067717079E-3</v>
      </c>
      <c r="I188" s="66">
        <f t="shared" si="79"/>
        <v>2.9059987004140023E-3</v>
      </c>
      <c r="J188" s="66">
        <f t="shared" si="79"/>
        <v>2.8920543150324366E-3</v>
      </c>
      <c r="K188" s="66">
        <f t="shared" si="79"/>
        <v>2.8780905215361383E-3</v>
      </c>
      <c r="L188" s="66">
        <f t="shared" si="79"/>
        <v>2.864107736551835E-3</v>
      </c>
      <c r="M188" s="66">
        <f t="shared" si="79"/>
        <v>2.8501103422768938E-3</v>
      </c>
      <c r="N188" s="66">
        <f t="shared" si="79"/>
        <v>2.8361093483430014E-3</v>
      </c>
      <c r="O188" s="66">
        <f t="shared" si="79"/>
        <v>2.8221254124823673E-3</v>
      </c>
      <c r="P188" s="66">
        <f t="shared" si="79"/>
        <v>2.8081909482752768E-3</v>
      </c>
      <c r="Q188" s="66">
        <f t="shared" si="79"/>
        <v>2.794348989411906E-3</v>
      </c>
      <c r="R188" s="66">
        <f t="shared" si="79"/>
        <v>2.780646370584268E-3</v>
      </c>
      <c r="S188" s="66">
        <f t="shared" si="79"/>
        <v>2.7671212860314143E-3</v>
      </c>
      <c r="T188" s="66">
        <f t="shared" si="79"/>
        <v>2.7537901725673323E-3</v>
      </c>
      <c r="U188" s="66">
        <f t="shared" si="79"/>
        <v>2.7406417521085441E-3</v>
      </c>
      <c r="V188" s="66">
        <f t="shared" si="79"/>
        <v>2.7276422684265416E-3</v>
      </c>
      <c r="W188" s="66">
        <f t="shared" si="79"/>
        <v>2.7147480993748706E-3</v>
      </c>
      <c r="X188" s="66">
        <f t="shared" si="79"/>
        <v>2.7019180188105757E-3</v>
      </c>
      <c r="Y188" s="66">
        <f t="shared" si="79"/>
        <v>2.689120130634509E-3</v>
      </c>
      <c r="Z188" s="66">
        <f t="shared" si="79"/>
        <v>2.6763332948043445E-3</v>
      </c>
      <c r="AA188" s="66">
        <f t="shared" si="79"/>
        <v>2.6635453581813481E-3</v>
      </c>
      <c r="AB188" s="66">
        <f t="shared" si="79"/>
        <v>2.6507504358767712E-3</v>
      </c>
      <c r="AC188" s="66">
        <f t="shared" si="79"/>
        <v>2.6379464789696673E-3</v>
      </c>
    </row>
    <row r="189" spans="1:29" x14ac:dyDescent="0.25">
      <c r="A189" s="59" t="str">
        <f>A152</f>
        <v>Payload loss (fuel)</v>
      </c>
      <c r="B189" s="69">
        <f>B177/(B150-B152)-B177/B150</f>
        <v>0</v>
      </c>
      <c r="C189" s="66">
        <f t="shared" ref="C189:AC189" si="80">C177/(C150-C152)-C177/C150</f>
        <v>0</v>
      </c>
      <c r="D189" s="66">
        <f t="shared" si="80"/>
        <v>0</v>
      </c>
      <c r="E189" s="66">
        <f t="shared" si="80"/>
        <v>0</v>
      </c>
      <c r="F189" s="66">
        <f t="shared" si="80"/>
        <v>0</v>
      </c>
      <c r="G189" s="66">
        <f t="shared" si="80"/>
        <v>0</v>
      </c>
      <c r="H189" s="66">
        <f t="shared" si="80"/>
        <v>0</v>
      </c>
      <c r="I189" s="66">
        <f t="shared" si="80"/>
        <v>0</v>
      </c>
      <c r="J189" s="66">
        <f t="shared" si="80"/>
        <v>0</v>
      </c>
      <c r="K189" s="66">
        <f t="shared" si="80"/>
        <v>0</v>
      </c>
      <c r="L189" s="66">
        <f t="shared" si="80"/>
        <v>0</v>
      </c>
      <c r="M189" s="66">
        <f t="shared" si="80"/>
        <v>0</v>
      </c>
      <c r="N189" s="66">
        <f t="shared" si="80"/>
        <v>0</v>
      </c>
      <c r="O189" s="66">
        <f t="shared" si="80"/>
        <v>0</v>
      </c>
      <c r="P189" s="66">
        <f t="shared" si="80"/>
        <v>0</v>
      </c>
      <c r="Q189" s="66">
        <f t="shared" si="80"/>
        <v>0</v>
      </c>
      <c r="R189" s="66">
        <f t="shared" si="80"/>
        <v>0</v>
      </c>
      <c r="S189" s="66">
        <f t="shared" si="80"/>
        <v>0</v>
      </c>
      <c r="T189" s="66">
        <f t="shared" si="80"/>
        <v>0</v>
      </c>
      <c r="U189" s="66">
        <f t="shared" si="80"/>
        <v>0</v>
      </c>
      <c r="V189" s="66">
        <f t="shared" si="80"/>
        <v>0</v>
      </c>
      <c r="W189" s="66">
        <f t="shared" si="80"/>
        <v>0</v>
      </c>
      <c r="X189" s="66">
        <f t="shared" si="80"/>
        <v>0</v>
      </c>
      <c r="Y189" s="66">
        <f t="shared" si="80"/>
        <v>0</v>
      </c>
      <c r="Z189" s="66">
        <f t="shared" si="80"/>
        <v>0</v>
      </c>
      <c r="AA189" s="66">
        <f t="shared" si="80"/>
        <v>0</v>
      </c>
      <c r="AB189" s="66">
        <f t="shared" si="80"/>
        <v>0</v>
      </c>
      <c r="AC189" s="66">
        <f t="shared" si="80"/>
        <v>0</v>
      </c>
    </row>
    <row r="190" spans="1:29" ht="15.75" thickBot="1" x14ac:dyDescent="0.3">
      <c r="A190" s="59" t="str">
        <f>A127</f>
        <v>Emission Cost</v>
      </c>
      <c r="B190" s="69">
        <f>B147*B153/B153/(B150)</f>
        <v>0</v>
      </c>
      <c r="C190" s="68">
        <f t="shared" ref="C190:AC190" si="81">C147*C153/C153/(C150)</f>
        <v>0</v>
      </c>
      <c r="D190" s="68">
        <f t="shared" si="81"/>
        <v>0</v>
      </c>
      <c r="E190" s="68">
        <f t="shared" si="81"/>
        <v>0</v>
      </c>
      <c r="F190" s="68">
        <f t="shared" si="81"/>
        <v>0</v>
      </c>
      <c r="G190" s="68">
        <f t="shared" si="81"/>
        <v>0</v>
      </c>
      <c r="H190" s="68">
        <f t="shared" si="81"/>
        <v>0</v>
      </c>
      <c r="I190" s="68">
        <f t="shared" si="81"/>
        <v>0</v>
      </c>
      <c r="J190" s="68">
        <f t="shared" si="81"/>
        <v>0</v>
      </c>
      <c r="K190" s="68">
        <f t="shared" si="81"/>
        <v>0</v>
      </c>
      <c r="L190" s="68">
        <f t="shared" si="81"/>
        <v>0</v>
      </c>
      <c r="M190" s="68">
        <f t="shared" si="81"/>
        <v>0</v>
      </c>
      <c r="N190" s="68">
        <f t="shared" si="81"/>
        <v>0</v>
      </c>
      <c r="O190" s="68">
        <f t="shared" si="81"/>
        <v>0</v>
      </c>
      <c r="P190" s="68">
        <f t="shared" si="81"/>
        <v>0</v>
      </c>
      <c r="Q190" s="68">
        <f t="shared" si="81"/>
        <v>0</v>
      </c>
      <c r="R190" s="68">
        <f t="shared" si="81"/>
        <v>0</v>
      </c>
      <c r="S190" s="68">
        <f t="shared" si="81"/>
        <v>0</v>
      </c>
      <c r="T190" s="68">
        <f t="shared" si="81"/>
        <v>0</v>
      </c>
      <c r="U190" s="68">
        <f t="shared" si="81"/>
        <v>0</v>
      </c>
      <c r="V190" s="68">
        <f t="shared" si="81"/>
        <v>0</v>
      </c>
      <c r="W190" s="68">
        <f t="shared" si="81"/>
        <v>0</v>
      </c>
      <c r="X190" s="68">
        <f t="shared" si="81"/>
        <v>0</v>
      </c>
      <c r="Y190" s="68">
        <f t="shared" si="81"/>
        <v>0</v>
      </c>
      <c r="Z190" s="68">
        <f t="shared" si="81"/>
        <v>0</v>
      </c>
      <c r="AA190" s="68">
        <f t="shared" si="81"/>
        <v>0</v>
      </c>
      <c r="AB190" s="68">
        <f t="shared" si="81"/>
        <v>0</v>
      </c>
      <c r="AC190" s="68">
        <f t="shared" si="81"/>
        <v>0</v>
      </c>
    </row>
    <row r="191" spans="1:29" ht="15.75" thickBot="1" x14ac:dyDescent="0.3">
      <c r="A191" s="31" t="s">
        <v>210</v>
      </c>
      <c r="B191" s="76">
        <f>B180+B181+B182+B183+B184+B185+B186+B187+B188+B189+B190</f>
        <v>8.2399739101303247E-3</v>
      </c>
      <c r="C191" s="67">
        <f t="shared" ref="C191:AC191" si="82">C180+C181+C182+C183+C184+C185+C186+C187+C188+C189+C190</f>
        <v>8.0259499142354071E-3</v>
      </c>
      <c r="D191" s="67">
        <f t="shared" si="82"/>
        <v>7.8119128028438329E-3</v>
      </c>
      <c r="E191" s="67">
        <f t="shared" si="82"/>
        <v>7.5978661468797419E-3</v>
      </c>
      <c r="F191" s="67">
        <f t="shared" si="82"/>
        <v>7.3838190487458891E-3</v>
      </c>
      <c r="G191" s="67">
        <f t="shared" si="82"/>
        <v>7.1697901894173209E-3</v>
      </c>
      <c r="H191" s="67">
        <f t="shared" si="82"/>
        <v>6.9558142067113358E-3</v>
      </c>
      <c r="I191" s="67">
        <f t="shared" si="82"/>
        <v>6.741951457435464E-3</v>
      </c>
      <c r="J191" s="67">
        <f t="shared" si="82"/>
        <v>6.7092693041974193E-3</v>
      </c>
      <c r="K191" s="67">
        <f t="shared" si="82"/>
        <v>6.6765416631904698E-3</v>
      </c>
      <c r="L191" s="67">
        <f t="shared" si="82"/>
        <v>6.6437695108835099E-3</v>
      </c>
      <c r="M191" s="67">
        <f t="shared" si="82"/>
        <v>6.6109631180516146E-3</v>
      </c>
      <c r="N191" s="67">
        <f t="shared" si="82"/>
        <v>6.5781482885190557E-3</v>
      </c>
      <c r="O191" s="67">
        <f t="shared" si="82"/>
        <v>6.5453734388456943E-3</v>
      </c>
      <c r="P191" s="67">
        <f t="shared" si="82"/>
        <v>6.5127145383603261E-3</v>
      </c>
      <c r="Q191" s="67">
        <f t="shared" si="82"/>
        <v>6.4802724472743014E-3</v>
      </c>
      <c r="R191" s="67">
        <f t="shared" si="82"/>
        <v>6.4481569343970242E-3</v>
      </c>
      <c r="S191" s="67">
        <f t="shared" si="82"/>
        <v>6.4164575174762732E-3</v>
      </c>
      <c r="T191" s="67">
        <f t="shared" si="82"/>
        <v>6.3852127202948302E-3</v>
      </c>
      <c r="U191" s="67">
        <f t="shared" si="82"/>
        <v>6.3543961098445449E-3</v>
      </c>
      <c r="V191" s="67">
        <f t="shared" si="82"/>
        <v>6.3239285699648526E-3</v>
      </c>
      <c r="W191" s="67">
        <f t="shared" si="82"/>
        <v>6.2937078612499992E-3</v>
      </c>
      <c r="X191" s="67">
        <f t="shared" si="82"/>
        <v>6.2636373599274323E-3</v>
      </c>
      <c r="Y191" s="67">
        <f t="shared" si="82"/>
        <v>6.233642309514776E-3</v>
      </c>
      <c r="Z191" s="67">
        <f t="shared" si="82"/>
        <v>6.2036731630378279E-3</v>
      </c>
      <c r="AA191" s="67">
        <f t="shared" si="82"/>
        <v>6.1737014365776804E-3</v>
      </c>
      <c r="AB191" s="67">
        <f t="shared" si="82"/>
        <v>6.1437133374263285E-3</v>
      </c>
      <c r="AC191" s="67">
        <f t="shared" si="82"/>
        <v>6.1137040634253043E-3</v>
      </c>
    </row>
    <row r="193" spans="2:2" x14ac:dyDescent="0.25">
      <c r="B193" s="40"/>
    </row>
    <row r="215" spans="1:44" s="3" customFormat="1" ht="21" x14ac:dyDescent="0.35">
      <c r="A215" s="2" t="str">
        <f>'Parameter Input'!A235</f>
        <v>Short-sea: Break bulk</v>
      </c>
    </row>
    <row r="216" spans="1:44" s="3" customFormat="1" ht="21" x14ac:dyDescent="0.35">
      <c r="A216" s="2" t="s">
        <v>280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Input'!$L$224</f>
        <v>15000000</v>
      </c>
      <c r="C225" s="42">
        <f>'Parameter Input'!$M$224</f>
        <v>15000000</v>
      </c>
      <c r="D225" s="1" t="s">
        <v>15</v>
      </c>
      <c r="L225" s="51">
        <f>'Parameter Input'!$O$212</f>
        <v>17</v>
      </c>
      <c r="M225" s="52">
        <v>0</v>
      </c>
      <c r="N225" s="52">
        <v>1</v>
      </c>
      <c r="O225" s="52">
        <f>'Parameter Input'!$P$212</f>
        <v>0.9</v>
      </c>
      <c r="P225" s="53">
        <f>'Parameter Input'!$Q$212</f>
        <v>0.4</v>
      </c>
      <c r="Q225" s="4">
        <f t="shared" ref="Q225:AR234" si="83">$N225+($M225-$N225)*((1/(1+EXP(-$P225*(Q$9-$L225)))^$O225))</f>
        <v>0.99780374543478534</v>
      </c>
      <c r="R225" s="4">
        <f t="shared" si="83"/>
        <v>0.99685359315256394</v>
      </c>
      <c r="S225" s="4">
        <f t="shared" si="83"/>
        <v>0.99549347132349975</v>
      </c>
      <c r="T225" s="4">
        <f t="shared" si="83"/>
        <v>0.99354772139898062</v>
      </c>
      <c r="U225" s="4">
        <f t="shared" si="83"/>
        <v>0.99076681540580536</v>
      </c>
      <c r="V225" s="4">
        <f t="shared" si="83"/>
        <v>0.9867978615748374</v>
      </c>
      <c r="W225" s="4">
        <f t="shared" si="83"/>
        <v>0.98114509762858249</v>
      </c>
      <c r="X225" s="4">
        <f t="shared" si="83"/>
        <v>0.97311898315872036</v>
      </c>
      <c r="Y225" s="4">
        <f t="shared" si="83"/>
        <v>0.96177484161592774</v>
      </c>
      <c r="Z225" s="4">
        <f t="shared" si="83"/>
        <v>0.94584787155511363</v>
      </c>
      <c r="AA225" s="4">
        <f t="shared" si="83"/>
        <v>0.92370360150141495</v>
      </c>
      <c r="AB225" s="4">
        <f t="shared" si="83"/>
        <v>0.89334463567658451</v>
      </c>
      <c r="AC225" s="4">
        <f t="shared" si="83"/>
        <v>0.85254543874327005</v>
      </c>
      <c r="AD225" s="4">
        <f t="shared" si="83"/>
        <v>0.79921300652623883</v>
      </c>
      <c r="AE225" s="4">
        <f t="shared" si="83"/>
        <v>0.73204982249993378</v>
      </c>
      <c r="AF225" s="4">
        <f t="shared" si="83"/>
        <v>0.65145592958786691</v>
      </c>
      <c r="AG225" s="4">
        <f t="shared" si="83"/>
        <v>0.56032247880849573</v>
      </c>
      <c r="AH225" s="4">
        <f t="shared" si="83"/>
        <v>0.46411326873185343</v>
      </c>
      <c r="AI225" s="4">
        <f t="shared" si="83"/>
        <v>0.36979727595523937</v>
      </c>
      <c r="AJ225" s="4">
        <f t="shared" si="83"/>
        <v>0.28393948637231203</v>
      </c>
      <c r="AK225" s="4">
        <f t="shared" si="83"/>
        <v>0.21097259161117732</v>
      </c>
      <c r="AL225" s="4">
        <f t="shared" si="83"/>
        <v>0.15253917653798199</v>
      </c>
      <c r="AM225" s="4">
        <f t="shared" si="83"/>
        <v>0.10795188737709993</v>
      </c>
      <c r="AN225" s="4">
        <f t="shared" si="83"/>
        <v>7.5176653938091809E-2</v>
      </c>
      <c r="AO225" s="4">
        <f t="shared" si="83"/>
        <v>5.1742836177502194E-2</v>
      </c>
      <c r="AP225" s="4">
        <f t="shared" si="83"/>
        <v>3.5319190625345942E-2</v>
      </c>
      <c r="AQ225" s="4">
        <f t="shared" si="83"/>
        <v>2.3969442072658165E-2</v>
      </c>
      <c r="AR225" s="4">
        <f t="shared" si="83"/>
        <v>1.6202243558389728E-2</v>
      </c>
    </row>
    <row r="226" spans="1:44" x14ac:dyDescent="0.25">
      <c r="A226" s="24" t="s">
        <v>28</v>
      </c>
      <c r="B226" s="60">
        <f>'Parameter Input'!$L$225</f>
        <v>-1500000</v>
      </c>
      <c r="C226" s="61">
        <f>'Parameter Input'!$M$225</f>
        <v>-750000</v>
      </c>
      <c r="D226" s="1" t="s">
        <v>15</v>
      </c>
      <c r="L226" s="54">
        <f>'Parameter Input'!$O$213</f>
        <v>17</v>
      </c>
      <c r="M226" s="37">
        <v>0</v>
      </c>
      <c r="N226" s="37">
        <v>1</v>
      </c>
      <c r="O226" s="37">
        <f>'Parameter Input'!$P$213</f>
        <v>0.9</v>
      </c>
      <c r="P226" s="55">
        <f>'Parameter Input'!$Q$213</f>
        <v>0.4</v>
      </c>
      <c r="Q226" s="4">
        <f t="shared" si="83"/>
        <v>0.99780374543478534</v>
      </c>
      <c r="R226" s="4">
        <f t="shared" si="83"/>
        <v>0.99685359315256394</v>
      </c>
      <c r="S226" s="4">
        <f t="shared" si="83"/>
        <v>0.99549347132349975</v>
      </c>
      <c r="T226" s="4">
        <f t="shared" si="83"/>
        <v>0.99354772139898062</v>
      </c>
      <c r="U226" s="4">
        <f t="shared" si="83"/>
        <v>0.99076681540580536</v>
      </c>
      <c r="V226" s="4">
        <f t="shared" si="83"/>
        <v>0.9867978615748374</v>
      </c>
      <c r="W226" s="4">
        <f t="shared" si="83"/>
        <v>0.98114509762858249</v>
      </c>
      <c r="X226" s="4">
        <f t="shared" si="83"/>
        <v>0.97311898315872036</v>
      </c>
      <c r="Y226" s="4">
        <f t="shared" si="83"/>
        <v>0.96177484161592774</v>
      </c>
      <c r="Z226" s="4">
        <f t="shared" si="83"/>
        <v>0.94584787155511363</v>
      </c>
      <c r="AA226" s="4">
        <f t="shared" si="83"/>
        <v>0.92370360150141495</v>
      </c>
      <c r="AB226" s="4">
        <f t="shared" si="83"/>
        <v>0.89334463567658451</v>
      </c>
      <c r="AC226" s="4">
        <f t="shared" si="83"/>
        <v>0.85254543874327005</v>
      </c>
      <c r="AD226" s="4">
        <f t="shared" si="83"/>
        <v>0.79921300652623883</v>
      </c>
      <c r="AE226" s="4">
        <f t="shared" si="83"/>
        <v>0.73204982249993378</v>
      </c>
      <c r="AF226" s="4">
        <f t="shared" si="83"/>
        <v>0.65145592958786691</v>
      </c>
      <c r="AG226" s="4">
        <f t="shared" si="83"/>
        <v>0.56032247880849573</v>
      </c>
      <c r="AH226" s="4">
        <f t="shared" si="83"/>
        <v>0.46411326873185343</v>
      </c>
      <c r="AI226" s="4">
        <f t="shared" si="83"/>
        <v>0.36979727595523937</v>
      </c>
      <c r="AJ226" s="4">
        <f t="shared" si="83"/>
        <v>0.28393948637231203</v>
      </c>
      <c r="AK226" s="4">
        <f t="shared" si="83"/>
        <v>0.21097259161117732</v>
      </c>
      <c r="AL226" s="4">
        <f t="shared" si="83"/>
        <v>0.15253917653798199</v>
      </c>
      <c r="AM226" s="4">
        <f t="shared" si="83"/>
        <v>0.10795188737709993</v>
      </c>
      <c r="AN226" s="4">
        <f t="shared" si="83"/>
        <v>7.5176653938091809E-2</v>
      </c>
      <c r="AO226" s="4">
        <f t="shared" si="83"/>
        <v>5.1742836177502194E-2</v>
      </c>
      <c r="AP226" s="4">
        <f t="shared" si="83"/>
        <v>3.5319190625345942E-2</v>
      </c>
      <c r="AQ226" s="4">
        <f t="shared" si="83"/>
        <v>2.3969442072658165E-2</v>
      </c>
      <c r="AR226" s="4">
        <f t="shared" si="83"/>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83"/>
        <v>0.99780374543478534</v>
      </c>
      <c r="R227" s="4">
        <f t="shared" si="83"/>
        <v>0.99685359315256394</v>
      </c>
      <c r="S227" s="4">
        <f t="shared" si="83"/>
        <v>0.99549347132349975</v>
      </c>
      <c r="T227" s="4">
        <f t="shared" si="83"/>
        <v>0.99354772139898062</v>
      </c>
      <c r="U227" s="4">
        <f t="shared" si="83"/>
        <v>0.99076681540580536</v>
      </c>
      <c r="V227" s="4">
        <f t="shared" si="83"/>
        <v>0.9867978615748374</v>
      </c>
      <c r="W227" s="4">
        <f t="shared" si="83"/>
        <v>0.98114509762858249</v>
      </c>
      <c r="X227" s="4">
        <f t="shared" si="83"/>
        <v>0.97311898315872036</v>
      </c>
      <c r="Y227" s="4">
        <f t="shared" si="83"/>
        <v>0.96177484161592774</v>
      </c>
      <c r="Z227" s="4">
        <f t="shared" si="83"/>
        <v>0.94584787155511363</v>
      </c>
      <c r="AA227" s="4">
        <f t="shared" si="83"/>
        <v>0.92370360150141495</v>
      </c>
      <c r="AB227" s="4">
        <f t="shared" si="83"/>
        <v>0.89334463567658451</v>
      </c>
      <c r="AC227" s="4">
        <f t="shared" si="83"/>
        <v>0.85254543874327005</v>
      </c>
      <c r="AD227" s="4">
        <f t="shared" si="83"/>
        <v>0.79921300652623883</v>
      </c>
      <c r="AE227" s="4">
        <f t="shared" si="83"/>
        <v>0.73204982249993378</v>
      </c>
      <c r="AF227" s="4">
        <f t="shared" si="83"/>
        <v>0.65145592958786691</v>
      </c>
      <c r="AG227" s="4">
        <f t="shared" si="83"/>
        <v>0.56032247880849573</v>
      </c>
      <c r="AH227" s="4">
        <f t="shared" si="83"/>
        <v>0.46411326873185343</v>
      </c>
      <c r="AI227" s="4">
        <f t="shared" si="83"/>
        <v>0.36979727595523937</v>
      </c>
      <c r="AJ227" s="4">
        <f t="shared" si="83"/>
        <v>0.28393948637231203</v>
      </c>
      <c r="AK227" s="4">
        <f t="shared" si="83"/>
        <v>0.21097259161117732</v>
      </c>
      <c r="AL227" s="4">
        <f t="shared" si="83"/>
        <v>0.15253917653798199</v>
      </c>
      <c r="AM227" s="4">
        <f t="shared" si="83"/>
        <v>0.10795188737709993</v>
      </c>
      <c r="AN227" s="4">
        <f t="shared" si="83"/>
        <v>7.5176653938091809E-2</v>
      </c>
      <c r="AO227" s="4">
        <f t="shared" si="83"/>
        <v>5.1742836177502194E-2</v>
      </c>
      <c r="AP227" s="4">
        <f t="shared" si="83"/>
        <v>3.5319190625345942E-2</v>
      </c>
      <c r="AQ227" s="4">
        <f t="shared" si="83"/>
        <v>2.3969442072658165E-2</v>
      </c>
      <c r="AR227" s="4">
        <f t="shared" si="83"/>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83"/>
        <v>0.99780374543478534</v>
      </c>
      <c r="R228" s="4">
        <f t="shared" si="83"/>
        <v>0.99685359315256394</v>
      </c>
      <c r="S228" s="4">
        <f t="shared" si="83"/>
        <v>0.99549347132349975</v>
      </c>
      <c r="T228" s="4">
        <f t="shared" si="83"/>
        <v>0.99354772139898062</v>
      </c>
      <c r="U228" s="4">
        <f t="shared" si="83"/>
        <v>0.99076681540580536</v>
      </c>
      <c r="V228" s="4">
        <f t="shared" si="83"/>
        <v>0.9867978615748374</v>
      </c>
      <c r="W228" s="4">
        <f t="shared" si="83"/>
        <v>0.98114509762858249</v>
      </c>
      <c r="X228" s="4">
        <f t="shared" si="83"/>
        <v>0.97311898315872036</v>
      </c>
      <c r="Y228" s="4">
        <f t="shared" si="83"/>
        <v>0.96177484161592774</v>
      </c>
      <c r="Z228" s="4">
        <f t="shared" si="83"/>
        <v>0.94584787155511363</v>
      </c>
      <c r="AA228" s="4">
        <f t="shared" si="83"/>
        <v>0.92370360150141495</v>
      </c>
      <c r="AB228" s="4">
        <f t="shared" si="83"/>
        <v>0.89334463567658451</v>
      </c>
      <c r="AC228" s="4">
        <f t="shared" si="83"/>
        <v>0.85254543874327005</v>
      </c>
      <c r="AD228" s="4">
        <f t="shared" si="83"/>
        <v>0.79921300652623883</v>
      </c>
      <c r="AE228" s="4">
        <f t="shared" si="83"/>
        <v>0.73204982249993378</v>
      </c>
      <c r="AF228" s="4">
        <f t="shared" si="83"/>
        <v>0.65145592958786691</v>
      </c>
      <c r="AG228" s="4">
        <f t="shared" si="83"/>
        <v>0.56032247880849573</v>
      </c>
      <c r="AH228" s="4">
        <f t="shared" si="83"/>
        <v>0.46411326873185343</v>
      </c>
      <c r="AI228" s="4">
        <f t="shared" si="83"/>
        <v>0.36979727595523937</v>
      </c>
      <c r="AJ228" s="4">
        <f t="shared" si="83"/>
        <v>0.28393948637231203</v>
      </c>
      <c r="AK228" s="4">
        <f t="shared" si="83"/>
        <v>0.21097259161117732</v>
      </c>
      <c r="AL228" s="4">
        <f t="shared" si="83"/>
        <v>0.15253917653798199</v>
      </c>
      <c r="AM228" s="4">
        <f t="shared" si="83"/>
        <v>0.10795188737709993</v>
      </c>
      <c r="AN228" s="4">
        <f t="shared" si="83"/>
        <v>7.5176653938091809E-2</v>
      </c>
      <c r="AO228" s="4">
        <f t="shared" si="83"/>
        <v>5.1742836177502194E-2</v>
      </c>
      <c r="AP228" s="4">
        <f t="shared" si="83"/>
        <v>3.5319190625345942E-2</v>
      </c>
      <c r="AQ228" s="4">
        <f t="shared" si="83"/>
        <v>2.3969442072658165E-2</v>
      </c>
      <c r="AR228" s="4">
        <f t="shared" si="83"/>
        <v>1.6202243558389728E-2</v>
      </c>
    </row>
    <row r="229" spans="1:44" x14ac:dyDescent="0.25">
      <c r="A229" s="24" t="s">
        <v>79</v>
      </c>
      <c r="B229" s="92">
        <f>'Parameter Input'!$L$231</f>
        <v>0.06</v>
      </c>
      <c r="C229" s="91">
        <f>'Parameter Input'!$M$231</f>
        <v>0.06</v>
      </c>
      <c r="D229" s="1" t="s">
        <v>57</v>
      </c>
      <c r="L229" s="54">
        <f>'Parameter Input'!$O$219</f>
        <v>17</v>
      </c>
      <c r="M229" s="37">
        <v>0</v>
      </c>
      <c r="N229" s="37">
        <v>1</v>
      </c>
      <c r="O229" s="37">
        <f>'Parameter Input'!$P$219</f>
        <v>0.9</v>
      </c>
      <c r="P229" s="55">
        <f>'Parameter Input'!$Q$219</f>
        <v>0.4</v>
      </c>
      <c r="Q229" s="4">
        <f t="shared" si="83"/>
        <v>0.99780374543478534</v>
      </c>
      <c r="R229" s="4">
        <f t="shared" si="83"/>
        <v>0.99685359315256394</v>
      </c>
      <c r="S229" s="4">
        <f t="shared" si="83"/>
        <v>0.99549347132349975</v>
      </c>
      <c r="T229" s="4">
        <f t="shared" si="83"/>
        <v>0.99354772139898062</v>
      </c>
      <c r="U229" s="4">
        <f t="shared" si="83"/>
        <v>0.99076681540580536</v>
      </c>
      <c r="V229" s="4">
        <f t="shared" si="83"/>
        <v>0.9867978615748374</v>
      </c>
      <c r="W229" s="4">
        <f t="shared" si="83"/>
        <v>0.98114509762858249</v>
      </c>
      <c r="X229" s="4">
        <f t="shared" si="83"/>
        <v>0.97311898315872036</v>
      </c>
      <c r="Y229" s="4">
        <f t="shared" si="83"/>
        <v>0.96177484161592774</v>
      </c>
      <c r="Z229" s="4">
        <f t="shared" si="83"/>
        <v>0.94584787155511363</v>
      </c>
      <c r="AA229" s="4">
        <f t="shared" si="83"/>
        <v>0.92370360150141495</v>
      </c>
      <c r="AB229" s="4">
        <f t="shared" si="83"/>
        <v>0.89334463567658451</v>
      </c>
      <c r="AC229" s="4">
        <f t="shared" si="83"/>
        <v>0.85254543874327005</v>
      </c>
      <c r="AD229" s="4">
        <f t="shared" si="83"/>
        <v>0.79921300652623883</v>
      </c>
      <c r="AE229" s="4">
        <f t="shared" si="83"/>
        <v>0.73204982249993378</v>
      </c>
      <c r="AF229" s="4">
        <f t="shared" si="83"/>
        <v>0.65145592958786691</v>
      </c>
      <c r="AG229" s="4">
        <f t="shared" si="83"/>
        <v>0.56032247880849573</v>
      </c>
      <c r="AH229" s="4">
        <f t="shared" si="83"/>
        <v>0.46411326873185343</v>
      </c>
      <c r="AI229" s="4">
        <f t="shared" si="83"/>
        <v>0.36979727595523937</v>
      </c>
      <c r="AJ229" s="4">
        <f t="shared" si="83"/>
        <v>0.28393948637231203</v>
      </c>
      <c r="AK229" s="4">
        <f t="shared" si="83"/>
        <v>0.21097259161117732</v>
      </c>
      <c r="AL229" s="4">
        <f t="shared" si="83"/>
        <v>0.15253917653798199</v>
      </c>
      <c r="AM229" s="4">
        <f t="shared" si="83"/>
        <v>0.10795188737709993</v>
      </c>
      <c r="AN229" s="4">
        <f t="shared" si="83"/>
        <v>7.5176653938091809E-2</v>
      </c>
      <c r="AO229" s="4">
        <f t="shared" si="83"/>
        <v>5.1742836177502194E-2</v>
      </c>
      <c r="AP229" s="4">
        <f t="shared" si="83"/>
        <v>3.5319190625345942E-2</v>
      </c>
      <c r="AQ229" s="4">
        <f t="shared" si="83"/>
        <v>2.3969442072658165E-2</v>
      </c>
      <c r="AR229" s="4">
        <f t="shared" si="83"/>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83"/>
        <v>0.99780374543478534</v>
      </c>
      <c r="R230" s="4">
        <f t="shared" si="83"/>
        <v>0.99685359315256394</v>
      </c>
      <c r="S230" s="4">
        <f t="shared" si="83"/>
        <v>0.99549347132349975</v>
      </c>
      <c r="T230" s="4">
        <f t="shared" si="83"/>
        <v>0.99354772139898062</v>
      </c>
      <c r="U230" s="4">
        <f t="shared" si="83"/>
        <v>0.99076681540580536</v>
      </c>
      <c r="V230" s="4">
        <f t="shared" si="83"/>
        <v>0.9867978615748374</v>
      </c>
      <c r="W230" s="4">
        <f t="shared" si="83"/>
        <v>0.98114509762858249</v>
      </c>
      <c r="X230" s="4">
        <f t="shared" si="83"/>
        <v>0.97311898315872036</v>
      </c>
      <c r="Y230" s="4">
        <f t="shared" si="83"/>
        <v>0.96177484161592774</v>
      </c>
      <c r="Z230" s="4">
        <f t="shared" si="83"/>
        <v>0.94584787155511363</v>
      </c>
      <c r="AA230" s="4">
        <f t="shared" si="83"/>
        <v>0.92370360150141495</v>
      </c>
      <c r="AB230" s="4">
        <f t="shared" si="83"/>
        <v>0.89334463567658451</v>
      </c>
      <c r="AC230" s="4">
        <f t="shared" si="83"/>
        <v>0.85254543874327005</v>
      </c>
      <c r="AD230" s="4">
        <f t="shared" si="83"/>
        <v>0.79921300652623883</v>
      </c>
      <c r="AE230" s="4">
        <f t="shared" si="83"/>
        <v>0.73204982249993378</v>
      </c>
      <c r="AF230" s="4">
        <f t="shared" si="83"/>
        <v>0.65145592958786691</v>
      </c>
      <c r="AG230" s="4">
        <f t="shared" si="83"/>
        <v>0.56032247880849573</v>
      </c>
      <c r="AH230" s="4">
        <f t="shared" si="83"/>
        <v>0.46411326873185343</v>
      </c>
      <c r="AI230" s="4">
        <f t="shared" si="83"/>
        <v>0.36979727595523937</v>
      </c>
      <c r="AJ230" s="4">
        <f t="shared" si="83"/>
        <v>0.28393948637231203</v>
      </c>
      <c r="AK230" s="4">
        <f t="shared" si="83"/>
        <v>0.21097259161117732</v>
      </c>
      <c r="AL230" s="4">
        <f t="shared" si="83"/>
        <v>0.15253917653798199</v>
      </c>
      <c r="AM230" s="4">
        <f t="shared" si="83"/>
        <v>0.10795188737709993</v>
      </c>
      <c r="AN230" s="4">
        <f t="shared" si="83"/>
        <v>7.5176653938091809E-2</v>
      </c>
      <c r="AO230" s="4">
        <f t="shared" si="83"/>
        <v>5.1742836177502194E-2</v>
      </c>
      <c r="AP230" s="4">
        <f t="shared" si="83"/>
        <v>3.5319190625345942E-2</v>
      </c>
      <c r="AQ230" s="4">
        <f t="shared" si="83"/>
        <v>2.3969442072658165E-2</v>
      </c>
      <c r="AR230" s="4">
        <f t="shared" si="83"/>
        <v>1.6202243558389728E-2</v>
      </c>
    </row>
    <row r="231" spans="1:44" x14ac:dyDescent="0.25">
      <c r="A231" s="24" t="s">
        <v>52</v>
      </c>
      <c r="B231" s="60">
        <f>'Parameter Input'!$L$227</f>
        <v>488235.29411764705</v>
      </c>
      <c r="C231" s="61">
        <f>'Parameter Input'!$M$227</f>
        <v>488235.29411764705</v>
      </c>
      <c r="D231" s="1" t="s">
        <v>38</v>
      </c>
      <c r="L231" s="54">
        <f>'Parameter Input'!$O$215</f>
        <v>17</v>
      </c>
      <c r="M231" s="37">
        <v>0</v>
      </c>
      <c r="N231" s="37">
        <v>1</v>
      </c>
      <c r="O231" s="37">
        <f>'Parameter Input'!$P$215</f>
        <v>0.9</v>
      </c>
      <c r="P231" s="55">
        <f>'Parameter Input'!$Q$215</f>
        <v>0.4</v>
      </c>
      <c r="Q231" s="4">
        <f t="shared" si="83"/>
        <v>0.99780374543478534</v>
      </c>
      <c r="R231" s="4">
        <f t="shared" si="83"/>
        <v>0.99685359315256394</v>
      </c>
      <c r="S231" s="4">
        <f t="shared" si="83"/>
        <v>0.99549347132349975</v>
      </c>
      <c r="T231" s="4">
        <f t="shared" si="83"/>
        <v>0.99354772139898062</v>
      </c>
      <c r="U231" s="4">
        <f t="shared" si="83"/>
        <v>0.99076681540580536</v>
      </c>
      <c r="V231" s="4">
        <f t="shared" si="83"/>
        <v>0.9867978615748374</v>
      </c>
      <c r="W231" s="4">
        <f t="shared" si="83"/>
        <v>0.98114509762858249</v>
      </c>
      <c r="X231" s="4">
        <f t="shared" si="83"/>
        <v>0.97311898315872036</v>
      </c>
      <c r="Y231" s="4">
        <f t="shared" si="83"/>
        <v>0.96177484161592774</v>
      </c>
      <c r="Z231" s="4">
        <f t="shared" si="83"/>
        <v>0.94584787155511363</v>
      </c>
      <c r="AA231" s="4">
        <f t="shared" si="83"/>
        <v>0.92370360150141495</v>
      </c>
      <c r="AB231" s="4">
        <f t="shared" si="83"/>
        <v>0.89334463567658451</v>
      </c>
      <c r="AC231" s="4">
        <f t="shared" si="83"/>
        <v>0.85254543874327005</v>
      </c>
      <c r="AD231" s="4">
        <f t="shared" si="83"/>
        <v>0.79921300652623883</v>
      </c>
      <c r="AE231" s="4">
        <f t="shared" si="83"/>
        <v>0.73204982249993378</v>
      </c>
      <c r="AF231" s="4">
        <f t="shared" si="83"/>
        <v>0.65145592958786691</v>
      </c>
      <c r="AG231" s="4">
        <f t="shared" si="83"/>
        <v>0.56032247880849573</v>
      </c>
      <c r="AH231" s="4">
        <f t="shared" si="83"/>
        <v>0.46411326873185343</v>
      </c>
      <c r="AI231" s="4">
        <f t="shared" si="83"/>
        <v>0.36979727595523937</v>
      </c>
      <c r="AJ231" s="4">
        <f t="shared" si="83"/>
        <v>0.28393948637231203</v>
      </c>
      <c r="AK231" s="4">
        <f t="shared" si="83"/>
        <v>0.21097259161117732</v>
      </c>
      <c r="AL231" s="4">
        <f t="shared" si="83"/>
        <v>0.15253917653798199</v>
      </c>
      <c r="AM231" s="4">
        <f t="shared" si="83"/>
        <v>0.10795188737709993</v>
      </c>
      <c r="AN231" s="4">
        <f t="shared" si="83"/>
        <v>7.5176653938091809E-2</v>
      </c>
      <c r="AO231" s="4">
        <f t="shared" si="83"/>
        <v>5.1742836177502194E-2</v>
      </c>
      <c r="AP231" s="4">
        <f t="shared" si="83"/>
        <v>3.5319190625345942E-2</v>
      </c>
      <c r="AQ231" s="4">
        <f t="shared" si="83"/>
        <v>2.3969442072658165E-2</v>
      </c>
      <c r="AR231" s="4">
        <f t="shared" si="83"/>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83"/>
        <v>0.99780374543478534</v>
      </c>
      <c r="R232" s="4">
        <f t="shared" si="83"/>
        <v>0.99685359315256394</v>
      </c>
      <c r="S232" s="4">
        <f t="shared" si="83"/>
        <v>0.99549347132349975</v>
      </c>
      <c r="T232" s="4">
        <f t="shared" si="83"/>
        <v>0.99354772139898062</v>
      </c>
      <c r="U232" s="4">
        <f t="shared" si="83"/>
        <v>0.99076681540580536</v>
      </c>
      <c r="V232" s="4">
        <f t="shared" si="83"/>
        <v>0.9867978615748374</v>
      </c>
      <c r="W232" s="4">
        <f t="shared" si="83"/>
        <v>0.98114509762858249</v>
      </c>
      <c r="X232" s="4">
        <f t="shared" si="83"/>
        <v>0.97311898315872036</v>
      </c>
      <c r="Y232" s="4">
        <f t="shared" si="83"/>
        <v>0.96177484161592774</v>
      </c>
      <c r="Z232" s="4">
        <f t="shared" si="83"/>
        <v>0.94584787155511363</v>
      </c>
      <c r="AA232" s="4">
        <f t="shared" si="83"/>
        <v>0.92370360150141495</v>
      </c>
      <c r="AB232" s="4">
        <f t="shared" si="83"/>
        <v>0.89334463567658451</v>
      </c>
      <c r="AC232" s="4">
        <f t="shared" si="83"/>
        <v>0.85254543874327005</v>
      </c>
      <c r="AD232" s="4">
        <f t="shared" si="83"/>
        <v>0.79921300652623883</v>
      </c>
      <c r="AE232" s="4">
        <f t="shared" si="83"/>
        <v>0.73204982249993378</v>
      </c>
      <c r="AF232" s="4">
        <f t="shared" si="83"/>
        <v>0.65145592958786691</v>
      </c>
      <c r="AG232" s="4">
        <f t="shared" si="83"/>
        <v>0.56032247880849573</v>
      </c>
      <c r="AH232" s="4">
        <f t="shared" si="83"/>
        <v>0.46411326873185343</v>
      </c>
      <c r="AI232" s="4">
        <f t="shared" si="83"/>
        <v>0.36979727595523937</v>
      </c>
      <c r="AJ232" s="4">
        <f t="shared" si="83"/>
        <v>0.28393948637231203</v>
      </c>
      <c r="AK232" s="4">
        <f t="shared" si="83"/>
        <v>0.21097259161117732</v>
      </c>
      <c r="AL232" s="4">
        <f t="shared" si="83"/>
        <v>0.15253917653798199</v>
      </c>
      <c r="AM232" s="4">
        <f t="shared" si="83"/>
        <v>0.10795188737709993</v>
      </c>
      <c r="AN232" s="4">
        <f t="shared" si="83"/>
        <v>7.5176653938091809E-2</v>
      </c>
      <c r="AO232" s="4">
        <f t="shared" si="83"/>
        <v>5.1742836177502194E-2</v>
      </c>
      <c r="AP232" s="4">
        <f t="shared" si="83"/>
        <v>3.5319190625345942E-2</v>
      </c>
      <c r="AQ232" s="4">
        <f t="shared" si="83"/>
        <v>2.3969442072658165E-2</v>
      </c>
      <c r="AR232" s="4">
        <f t="shared" si="83"/>
        <v>1.6202243558389728E-2</v>
      </c>
    </row>
    <row r="233" spans="1:44" x14ac:dyDescent="0.25">
      <c r="A233" s="24" t="s">
        <v>59</v>
      </c>
      <c r="B233" s="60">
        <f>'Parameter Input'!$L$228</f>
        <v>647</v>
      </c>
      <c r="C233" s="61">
        <f>'Parameter Input'!$M$228</f>
        <v>600</v>
      </c>
      <c r="D233" s="1" t="s">
        <v>60</v>
      </c>
      <c r="L233" s="54">
        <f>'Parameter Input'!$O$216</f>
        <v>17</v>
      </c>
      <c r="M233" s="37">
        <v>0</v>
      </c>
      <c r="N233" s="37">
        <v>1</v>
      </c>
      <c r="O233" s="37">
        <f>'Parameter Input'!$P$216</f>
        <v>0.9</v>
      </c>
      <c r="P233" s="55">
        <f>'Parameter Input'!$Q$216</f>
        <v>0.4</v>
      </c>
      <c r="Q233" s="4">
        <f t="shared" si="83"/>
        <v>0.99780374543478534</v>
      </c>
      <c r="R233" s="4">
        <f t="shared" si="83"/>
        <v>0.99685359315256394</v>
      </c>
      <c r="S233" s="4">
        <f t="shared" si="83"/>
        <v>0.99549347132349975</v>
      </c>
      <c r="T233" s="4">
        <f t="shared" si="83"/>
        <v>0.99354772139898062</v>
      </c>
      <c r="U233" s="4">
        <f t="shared" si="83"/>
        <v>0.99076681540580536</v>
      </c>
      <c r="V233" s="4">
        <f t="shared" si="83"/>
        <v>0.9867978615748374</v>
      </c>
      <c r="W233" s="4">
        <f t="shared" si="83"/>
        <v>0.98114509762858249</v>
      </c>
      <c r="X233" s="4">
        <f t="shared" si="83"/>
        <v>0.97311898315872036</v>
      </c>
      <c r="Y233" s="4">
        <f t="shared" si="83"/>
        <v>0.96177484161592774</v>
      </c>
      <c r="Z233" s="4">
        <f t="shared" si="83"/>
        <v>0.94584787155511363</v>
      </c>
      <c r="AA233" s="4">
        <f t="shared" si="83"/>
        <v>0.92370360150141495</v>
      </c>
      <c r="AB233" s="4">
        <f t="shared" si="83"/>
        <v>0.89334463567658451</v>
      </c>
      <c r="AC233" s="4">
        <f t="shared" si="83"/>
        <v>0.85254543874327005</v>
      </c>
      <c r="AD233" s="4">
        <f t="shared" si="83"/>
        <v>0.79921300652623883</v>
      </c>
      <c r="AE233" s="4">
        <f t="shared" si="83"/>
        <v>0.73204982249993378</v>
      </c>
      <c r="AF233" s="4">
        <f t="shared" si="83"/>
        <v>0.65145592958786691</v>
      </c>
      <c r="AG233" s="4">
        <f t="shared" si="83"/>
        <v>0.56032247880849573</v>
      </c>
      <c r="AH233" s="4">
        <f t="shared" si="83"/>
        <v>0.46411326873185343</v>
      </c>
      <c r="AI233" s="4">
        <f t="shared" si="83"/>
        <v>0.36979727595523937</v>
      </c>
      <c r="AJ233" s="4">
        <f t="shared" si="83"/>
        <v>0.28393948637231203</v>
      </c>
      <c r="AK233" s="4">
        <f t="shared" si="83"/>
        <v>0.21097259161117732</v>
      </c>
      <c r="AL233" s="4">
        <f t="shared" si="83"/>
        <v>0.15253917653798199</v>
      </c>
      <c r="AM233" s="4">
        <f t="shared" si="83"/>
        <v>0.10795188737709993</v>
      </c>
      <c r="AN233" s="4">
        <f t="shared" si="83"/>
        <v>7.5176653938091809E-2</v>
      </c>
      <c r="AO233" s="4">
        <f t="shared" si="83"/>
        <v>5.1742836177502194E-2</v>
      </c>
      <c r="AP233" s="4">
        <f t="shared" si="83"/>
        <v>3.5319190625345942E-2</v>
      </c>
      <c r="AQ233" s="4">
        <f t="shared" si="83"/>
        <v>2.3969442072658165E-2</v>
      </c>
      <c r="AR233" s="4">
        <f t="shared" si="83"/>
        <v>1.6202243558389728E-2</v>
      </c>
    </row>
    <row r="234" spans="1:44" x14ac:dyDescent="0.25">
      <c r="A234" s="24" t="s">
        <v>67</v>
      </c>
      <c r="B234" s="78">
        <f>'Parameter Input'!$L$229</f>
        <v>3.1399999999999997E-2</v>
      </c>
      <c r="C234" s="61">
        <f>'Parameter Input'!$M$229</f>
        <v>3.1399999999999997E-2</v>
      </c>
      <c r="D234" s="1" t="s">
        <v>68</v>
      </c>
      <c r="L234" s="54">
        <f>'Parameter Input'!$O$217</f>
        <v>17</v>
      </c>
      <c r="M234" s="37">
        <v>0</v>
      </c>
      <c r="N234" s="37">
        <v>1</v>
      </c>
      <c r="O234" s="37">
        <f>'Parameter Input'!$P$217</f>
        <v>0.9</v>
      </c>
      <c r="P234" s="55">
        <f>'Parameter Input'!$Q$217</f>
        <v>0.4</v>
      </c>
      <c r="Q234" s="4">
        <f t="shared" si="83"/>
        <v>0.99780374543478534</v>
      </c>
      <c r="R234" s="4">
        <f t="shared" si="83"/>
        <v>0.99685359315256394</v>
      </c>
      <c r="S234" s="4">
        <f t="shared" si="83"/>
        <v>0.99549347132349975</v>
      </c>
      <c r="T234" s="4">
        <f t="shared" ref="T234:AI241" si="84">$N234+($M234-$N234)*((1/(1+EXP(-$P234*(T$9-$L234)))^$O234))</f>
        <v>0.99354772139898062</v>
      </c>
      <c r="U234" s="4">
        <f t="shared" si="84"/>
        <v>0.99076681540580536</v>
      </c>
      <c r="V234" s="4">
        <f t="shared" si="84"/>
        <v>0.9867978615748374</v>
      </c>
      <c r="W234" s="4">
        <f t="shared" si="84"/>
        <v>0.98114509762858249</v>
      </c>
      <c r="X234" s="4">
        <f t="shared" si="84"/>
        <v>0.97311898315872036</v>
      </c>
      <c r="Y234" s="4">
        <f t="shared" si="84"/>
        <v>0.96177484161592774</v>
      </c>
      <c r="Z234" s="4">
        <f t="shared" si="84"/>
        <v>0.94584787155511363</v>
      </c>
      <c r="AA234" s="4">
        <f t="shared" si="84"/>
        <v>0.92370360150141495</v>
      </c>
      <c r="AB234" s="4">
        <f t="shared" si="84"/>
        <v>0.89334463567658451</v>
      </c>
      <c r="AC234" s="4">
        <f t="shared" si="84"/>
        <v>0.85254543874327005</v>
      </c>
      <c r="AD234" s="4">
        <f t="shared" si="84"/>
        <v>0.79921300652623883</v>
      </c>
      <c r="AE234" s="4">
        <f t="shared" si="84"/>
        <v>0.73204982249993378</v>
      </c>
      <c r="AF234" s="4">
        <f t="shared" si="84"/>
        <v>0.65145592958786691</v>
      </c>
      <c r="AG234" s="4">
        <f t="shared" si="84"/>
        <v>0.56032247880849573</v>
      </c>
      <c r="AH234" s="4">
        <f t="shared" si="84"/>
        <v>0.46411326873185343</v>
      </c>
      <c r="AI234" s="4">
        <f t="shared" si="84"/>
        <v>0.36979727595523937</v>
      </c>
      <c r="AJ234" s="4">
        <f t="shared" ref="AJ234:AR241" si="85">$N234+($M234-$N234)*((1/(1+EXP(-$P234*(AJ$9-$L234)))^$O234))</f>
        <v>0.28393948637231203</v>
      </c>
      <c r="AK234" s="4">
        <f t="shared" si="85"/>
        <v>0.21097259161117732</v>
      </c>
      <c r="AL234" s="4">
        <f t="shared" si="85"/>
        <v>0.15253917653798199</v>
      </c>
      <c r="AM234" s="4">
        <f t="shared" si="85"/>
        <v>0.10795188737709993</v>
      </c>
      <c r="AN234" s="4">
        <f t="shared" si="85"/>
        <v>7.5176653938091809E-2</v>
      </c>
      <c r="AO234" s="4">
        <f t="shared" si="85"/>
        <v>5.1742836177502194E-2</v>
      </c>
      <c r="AP234" s="4">
        <f t="shared" si="85"/>
        <v>3.5319190625345942E-2</v>
      </c>
      <c r="AQ234" s="4">
        <f t="shared" si="85"/>
        <v>2.3969442072658165E-2</v>
      </c>
      <c r="AR234" s="4">
        <f t="shared" si="85"/>
        <v>1.6202243558389728E-2</v>
      </c>
    </row>
    <row r="235" spans="1:44" x14ac:dyDescent="0.25">
      <c r="A235" s="24" t="s">
        <v>206</v>
      </c>
      <c r="B235" s="78">
        <f>'Parameter Input'!$L$232</f>
        <v>0</v>
      </c>
      <c r="C235" s="61">
        <f>'Parameter Input'!$M$232</f>
        <v>0</v>
      </c>
      <c r="D235" s="1"/>
      <c r="L235" s="54">
        <f>'Parameter Input'!O220</f>
        <v>17</v>
      </c>
      <c r="M235" s="37">
        <v>0</v>
      </c>
      <c r="N235" s="37">
        <v>1</v>
      </c>
      <c r="O235" s="37">
        <f>'Parameter Input'!P220</f>
        <v>0.9</v>
      </c>
      <c r="P235" s="55">
        <f>'Parameter Input'!Q220</f>
        <v>0.4</v>
      </c>
      <c r="Q235" s="4">
        <f t="shared" ref="Q235:AR241" si="86">$N235+($M235-$N235)*((1/(1+EXP(-$P235*(Q$9-$L235)))^$O235))</f>
        <v>0.99780374543478534</v>
      </c>
      <c r="R235" s="4">
        <f t="shared" si="86"/>
        <v>0.99685359315256394</v>
      </c>
      <c r="S235" s="4">
        <f t="shared" si="86"/>
        <v>0.99549347132349975</v>
      </c>
      <c r="T235" s="4">
        <f t="shared" si="86"/>
        <v>0.99354772139898062</v>
      </c>
      <c r="U235" s="4">
        <f t="shared" si="86"/>
        <v>0.99076681540580536</v>
      </c>
      <c r="V235" s="4">
        <f t="shared" si="86"/>
        <v>0.9867978615748374</v>
      </c>
      <c r="W235" s="4">
        <f t="shared" si="86"/>
        <v>0.98114509762858249</v>
      </c>
      <c r="X235" s="4">
        <f t="shared" si="86"/>
        <v>0.97311898315872036</v>
      </c>
      <c r="Y235" s="4">
        <f t="shared" si="86"/>
        <v>0.96177484161592774</v>
      </c>
      <c r="Z235" s="4">
        <f t="shared" si="86"/>
        <v>0.94584787155511363</v>
      </c>
      <c r="AA235" s="4">
        <f t="shared" si="86"/>
        <v>0.92370360150141495</v>
      </c>
      <c r="AB235" s="4">
        <f t="shared" si="86"/>
        <v>0.89334463567658451</v>
      </c>
      <c r="AC235" s="4">
        <f t="shared" si="86"/>
        <v>0.85254543874327005</v>
      </c>
      <c r="AD235" s="4">
        <f t="shared" si="86"/>
        <v>0.79921300652623883</v>
      </c>
      <c r="AE235" s="4">
        <f t="shared" si="86"/>
        <v>0.73204982249993378</v>
      </c>
      <c r="AF235" s="4">
        <f t="shared" si="86"/>
        <v>0.65145592958786691</v>
      </c>
      <c r="AG235" s="4">
        <f t="shared" si="86"/>
        <v>0.56032247880849573</v>
      </c>
      <c r="AH235" s="4">
        <f t="shared" si="86"/>
        <v>0.46411326873185343</v>
      </c>
      <c r="AI235" s="4">
        <f t="shared" si="86"/>
        <v>0.36979727595523937</v>
      </c>
      <c r="AJ235" s="4">
        <f t="shared" si="86"/>
        <v>0.28393948637231203</v>
      </c>
      <c r="AK235" s="4">
        <f t="shared" si="86"/>
        <v>0.21097259161117732</v>
      </c>
      <c r="AL235" s="4">
        <f t="shared" si="86"/>
        <v>0.15253917653798199</v>
      </c>
      <c r="AM235" s="4">
        <f t="shared" si="86"/>
        <v>0.10795188737709993</v>
      </c>
      <c r="AN235" s="4">
        <f t="shared" si="86"/>
        <v>7.5176653938091809E-2</v>
      </c>
      <c r="AO235" s="4">
        <f t="shared" si="86"/>
        <v>5.1742836177502194E-2</v>
      </c>
      <c r="AP235" s="4">
        <f t="shared" si="86"/>
        <v>3.5319190625345942E-2</v>
      </c>
      <c r="AQ235" s="4">
        <f t="shared" si="86"/>
        <v>2.3969442072658165E-2</v>
      </c>
      <c r="AR235" s="4">
        <f t="shared" si="86"/>
        <v>1.6202243558389728E-2</v>
      </c>
    </row>
    <row r="236" spans="1:44" x14ac:dyDescent="0.25">
      <c r="A236" s="24" t="s">
        <v>41</v>
      </c>
      <c r="B236" s="60">
        <f>'Parameter Input'!$L$226</f>
        <v>25</v>
      </c>
      <c r="C236" s="61">
        <f>'Parameter Input'!$M$226</f>
        <v>25</v>
      </c>
      <c r="D236" s="1" t="s">
        <v>42</v>
      </c>
      <c r="L236" s="54">
        <f>'Parameter Input'!$O$214</f>
        <v>17</v>
      </c>
      <c r="M236" s="37">
        <v>0</v>
      </c>
      <c r="N236" s="37">
        <v>1</v>
      </c>
      <c r="O236" s="37">
        <f>'Parameter Input'!$P$214</f>
        <v>0.9</v>
      </c>
      <c r="P236" s="55">
        <f>'Parameter Input'!$Q$214</f>
        <v>0.4</v>
      </c>
      <c r="Q236" s="4">
        <f t="shared" si="86"/>
        <v>0.99780374543478534</v>
      </c>
      <c r="R236" s="4">
        <f t="shared" si="86"/>
        <v>0.99685359315256394</v>
      </c>
      <c r="S236" s="4">
        <f t="shared" si="86"/>
        <v>0.99549347132349975</v>
      </c>
      <c r="T236" s="4">
        <f t="shared" si="86"/>
        <v>0.99354772139898062</v>
      </c>
      <c r="U236" s="4">
        <f t="shared" si="86"/>
        <v>0.99076681540580536</v>
      </c>
      <c r="V236" s="4">
        <f t="shared" si="86"/>
        <v>0.9867978615748374</v>
      </c>
      <c r="W236" s="4">
        <f t="shared" si="86"/>
        <v>0.98114509762858249</v>
      </c>
      <c r="X236" s="4">
        <f t="shared" si="86"/>
        <v>0.97311898315872036</v>
      </c>
      <c r="Y236" s="4">
        <f t="shared" si="86"/>
        <v>0.96177484161592774</v>
      </c>
      <c r="Z236" s="4">
        <f t="shared" si="86"/>
        <v>0.94584787155511363</v>
      </c>
      <c r="AA236" s="4">
        <f t="shared" si="86"/>
        <v>0.92370360150141495</v>
      </c>
      <c r="AB236" s="4">
        <f t="shared" si="86"/>
        <v>0.89334463567658451</v>
      </c>
      <c r="AC236" s="4">
        <f t="shared" si="86"/>
        <v>0.85254543874327005</v>
      </c>
      <c r="AD236" s="4">
        <f t="shared" si="86"/>
        <v>0.79921300652623883</v>
      </c>
      <c r="AE236" s="4">
        <f t="shared" si="86"/>
        <v>0.73204982249993378</v>
      </c>
      <c r="AF236" s="4">
        <f t="shared" si="86"/>
        <v>0.65145592958786691</v>
      </c>
      <c r="AG236" s="4">
        <f t="shared" si="84"/>
        <v>0.56032247880849573</v>
      </c>
      <c r="AH236" s="4">
        <f t="shared" si="84"/>
        <v>0.46411326873185343</v>
      </c>
      <c r="AI236" s="4">
        <f t="shared" si="84"/>
        <v>0.36979727595523937</v>
      </c>
      <c r="AJ236" s="4">
        <f t="shared" si="85"/>
        <v>0.28393948637231203</v>
      </c>
      <c r="AK236" s="4">
        <f t="shared" si="85"/>
        <v>0.21097259161117732</v>
      </c>
      <c r="AL236" s="4">
        <f t="shared" si="85"/>
        <v>0.15253917653798199</v>
      </c>
      <c r="AM236" s="4">
        <f t="shared" si="85"/>
        <v>0.10795188737709993</v>
      </c>
      <c r="AN236" s="4">
        <f t="shared" si="85"/>
        <v>7.5176653938091809E-2</v>
      </c>
      <c r="AO236" s="4">
        <f t="shared" si="85"/>
        <v>5.1742836177502194E-2</v>
      </c>
      <c r="AP236" s="4">
        <f t="shared" si="85"/>
        <v>3.5319190625345942E-2</v>
      </c>
      <c r="AQ236" s="4">
        <f t="shared" si="85"/>
        <v>2.3969442072658165E-2</v>
      </c>
      <c r="AR236" s="4">
        <f t="shared" si="85"/>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86"/>
        <v>0.99780374543478534</v>
      </c>
      <c r="R237" s="4">
        <f t="shared" si="86"/>
        <v>0.99685359315256394</v>
      </c>
      <c r="S237" s="4">
        <f t="shared" si="86"/>
        <v>0.99549347132349975</v>
      </c>
      <c r="T237" s="4">
        <f t="shared" si="86"/>
        <v>0.99354772139898062</v>
      </c>
      <c r="U237" s="4">
        <f t="shared" si="86"/>
        <v>0.99076681540580536</v>
      </c>
      <c r="V237" s="4">
        <f t="shared" si="86"/>
        <v>0.9867978615748374</v>
      </c>
      <c r="W237" s="4">
        <f t="shared" si="86"/>
        <v>0.98114509762858249</v>
      </c>
      <c r="X237" s="4">
        <f t="shared" si="86"/>
        <v>0.97311898315872036</v>
      </c>
      <c r="Y237" s="4">
        <f t="shared" si="86"/>
        <v>0.96177484161592774</v>
      </c>
      <c r="Z237" s="4">
        <f t="shared" si="86"/>
        <v>0.94584787155511363</v>
      </c>
      <c r="AA237" s="4">
        <f t="shared" si="86"/>
        <v>0.92370360150141495</v>
      </c>
      <c r="AB237" s="4">
        <f t="shared" si="86"/>
        <v>0.89334463567658451</v>
      </c>
      <c r="AC237" s="4">
        <f t="shared" si="86"/>
        <v>0.85254543874327005</v>
      </c>
      <c r="AD237" s="4">
        <f t="shared" si="86"/>
        <v>0.79921300652623883</v>
      </c>
      <c r="AE237" s="4">
        <f t="shared" si="86"/>
        <v>0.73204982249993378</v>
      </c>
      <c r="AF237" s="4">
        <f t="shared" si="86"/>
        <v>0.65145592958786691</v>
      </c>
      <c r="AG237" s="4">
        <f t="shared" si="84"/>
        <v>0.56032247880849573</v>
      </c>
      <c r="AH237" s="4">
        <f t="shared" si="84"/>
        <v>0.46411326873185343</v>
      </c>
      <c r="AI237" s="4">
        <f t="shared" si="84"/>
        <v>0.36979727595523937</v>
      </c>
      <c r="AJ237" s="4">
        <f t="shared" si="85"/>
        <v>0.28393948637231203</v>
      </c>
      <c r="AK237" s="4">
        <f t="shared" si="85"/>
        <v>0.21097259161117732</v>
      </c>
      <c r="AL237" s="4">
        <f t="shared" si="85"/>
        <v>0.15253917653798199</v>
      </c>
      <c r="AM237" s="4">
        <f t="shared" si="85"/>
        <v>0.10795188737709993</v>
      </c>
      <c r="AN237" s="4">
        <f t="shared" si="85"/>
        <v>7.5176653938091809E-2</v>
      </c>
      <c r="AO237" s="4">
        <f t="shared" si="85"/>
        <v>5.1742836177502194E-2</v>
      </c>
      <c r="AP237" s="4">
        <f t="shared" si="85"/>
        <v>3.5319190625345942E-2</v>
      </c>
      <c r="AQ237" s="4">
        <f t="shared" si="85"/>
        <v>2.3969442072658165E-2</v>
      </c>
      <c r="AR237" s="4">
        <f t="shared" si="85"/>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86"/>
        <v>0.99780374543478534</v>
      </c>
      <c r="R238" s="4">
        <f t="shared" si="86"/>
        <v>0.99685359315256394</v>
      </c>
      <c r="S238" s="4">
        <f t="shared" si="86"/>
        <v>0.99549347132349975</v>
      </c>
      <c r="T238" s="4">
        <f t="shared" si="86"/>
        <v>0.99354772139898062</v>
      </c>
      <c r="U238" s="4">
        <f t="shared" si="86"/>
        <v>0.99076681540580536</v>
      </c>
      <c r="V238" s="4">
        <f t="shared" si="86"/>
        <v>0.9867978615748374</v>
      </c>
      <c r="W238" s="4">
        <f t="shared" si="86"/>
        <v>0.98114509762858249</v>
      </c>
      <c r="X238" s="4">
        <f t="shared" si="86"/>
        <v>0.97311898315872036</v>
      </c>
      <c r="Y238" s="4">
        <f t="shared" si="86"/>
        <v>0.96177484161592774</v>
      </c>
      <c r="Z238" s="4">
        <f t="shared" si="86"/>
        <v>0.94584787155511363</v>
      </c>
      <c r="AA238" s="4">
        <f t="shared" si="86"/>
        <v>0.92370360150141495</v>
      </c>
      <c r="AB238" s="4">
        <f t="shared" si="86"/>
        <v>0.89334463567658451</v>
      </c>
      <c r="AC238" s="4">
        <f t="shared" si="86"/>
        <v>0.85254543874327005</v>
      </c>
      <c r="AD238" s="4">
        <f t="shared" si="86"/>
        <v>0.79921300652623883</v>
      </c>
      <c r="AE238" s="4">
        <f t="shared" si="86"/>
        <v>0.73204982249993378</v>
      </c>
      <c r="AF238" s="4">
        <f t="shared" si="86"/>
        <v>0.65145592958786691</v>
      </c>
      <c r="AG238" s="4">
        <f t="shared" si="84"/>
        <v>0.56032247880849573</v>
      </c>
      <c r="AH238" s="4">
        <f t="shared" si="84"/>
        <v>0.46411326873185343</v>
      </c>
      <c r="AI238" s="4">
        <f t="shared" si="84"/>
        <v>0.36979727595523937</v>
      </c>
      <c r="AJ238" s="4">
        <f t="shared" si="85"/>
        <v>0.28393948637231203</v>
      </c>
      <c r="AK238" s="4">
        <f t="shared" si="85"/>
        <v>0.21097259161117732</v>
      </c>
      <c r="AL238" s="4">
        <f t="shared" si="85"/>
        <v>0.15253917653798199</v>
      </c>
      <c r="AM238" s="4">
        <f t="shared" si="85"/>
        <v>0.10795188737709993</v>
      </c>
      <c r="AN238" s="4">
        <f t="shared" si="85"/>
        <v>7.5176653938091809E-2</v>
      </c>
      <c r="AO238" s="4">
        <f t="shared" si="85"/>
        <v>5.1742836177502194E-2</v>
      </c>
      <c r="AP238" s="4">
        <f t="shared" si="85"/>
        <v>3.5319190625345942E-2</v>
      </c>
      <c r="AQ238" s="4">
        <f t="shared" si="85"/>
        <v>2.3969442072658165E-2</v>
      </c>
      <c r="AR238" s="4">
        <f t="shared" si="85"/>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86"/>
        <v>0.99780374543478534</v>
      </c>
      <c r="R239" s="4">
        <f t="shared" si="86"/>
        <v>0.99685359315256394</v>
      </c>
      <c r="S239" s="4">
        <f t="shared" si="86"/>
        <v>0.99549347132349975</v>
      </c>
      <c r="T239" s="4">
        <f t="shared" si="86"/>
        <v>0.99354772139898062</v>
      </c>
      <c r="U239" s="4">
        <f t="shared" si="86"/>
        <v>0.99076681540580536</v>
      </c>
      <c r="V239" s="4">
        <f t="shared" si="86"/>
        <v>0.9867978615748374</v>
      </c>
      <c r="W239" s="4">
        <f t="shared" si="86"/>
        <v>0.98114509762858249</v>
      </c>
      <c r="X239" s="4">
        <f t="shared" si="86"/>
        <v>0.97311898315872036</v>
      </c>
      <c r="Y239" s="4">
        <f t="shared" si="86"/>
        <v>0.96177484161592774</v>
      </c>
      <c r="Z239" s="4">
        <f t="shared" si="86"/>
        <v>0.94584787155511363</v>
      </c>
      <c r="AA239" s="4">
        <f t="shared" si="86"/>
        <v>0.92370360150141495</v>
      </c>
      <c r="AB239" s="4">
        <f t="shared" si="86"/>
        <v>0.89334463567658451</v>
      </c>
      <c r="AC239" s="4">
        <f t="shared" si="86"/>
        <v>0.85254543874327005</v>
      </c>
      <c r="AD239" s="4">
        <f t="shared" si="86"/>
        <v>0.79921300652623883</v>
      </c>
      <c r="AE239" s="4">
        <f t="shared" si="86"/>
        <v>0.73204982249993378</v>
      </c>
      <c r="AF239" s="4">
        <f t="shared" si="86"/>
        <v>0.65145592958786691</v>
      </c>
      <c r="AG239" s="4">
        <f t="shared" si="84"/>
        <v>0.56032247880849573</v>
      </c>
      <c r="AH239" s="4">
        <f t="shared" si="84"/>
        <v>0.46411326873185343</v>
      </c>
      <c r="AI239" s="4">
        <f t="shared" si="84"/>
        <v>0.36979727595523937</v>
      </c>
      <c r="AJ239" s="4">
        <f t="shared" si="85"/>
        <v>0.28393948637231203</v>
      </c>
      <c r="AK239" s="4">
        <f t="shared" si="85"/>
        <v>0.21097259161117732</v>
      </c>
      <c r="AL239" s="4">
        <f t="shared" si="85"/>
        <v>0.15253917653798199</v>
      </c>
      <c r="AM239" s="4">
        <f t="shared" si="85"/>
        <v>0.10795188737709993</v>
      </c>
      <c r="AN239" s="4">
        <f t="shared" si="85"/>
        <v>7.5176653938091809E-2</v>
      </c>
      <c r="AO239" s="4">
        <f t="shared" si="85"/>
        <v>5.1742836177502194E-2</v>
      </c>
      <c r="AP239" s="4">
        <f t="shared" si="85"/>
        <v>3.5319190625345942E-2</v>
      </c>
      <c r="AQ239" s="4">
        <f t="shared" si="85"/>
        <v>2.3969442072658165E-2</v>
      </c>
      <c r="AR239" s="4">
        <f t="shared" si="85"/>
        <v>1.6202243558389728E-2</v>
      </c>
    </row>
    <row r="240" spans="1:44" x14ac:dyDescent="0.25">
      <c r="A240" s="24" t="s">
        <v>73</v>
      </c>
      <c r="B240" s="45">
        <f>'Parameter Input'!$L$230</f>
        <v>0</v>
      </c>
      <c r="C240" s="46">
        <f>'Parameter Input'!$M$230</f>
        <v>0</v>
      </c>
      <c r="D240" s="1" t="s">
        <v>57</v>
      </c>
      <c r="L240" s="54">
        <f>'Parameter Input'!$O$218</f>
        <v>17</v>
      </c>
      <c r="M240" s="37">
        <v>0</v>
      </c>
      <c r="N240" s="37">
        <v>1</v>
      </c>
      <c r="O240" s="37">
        <f>'Parameter Input'!$P$218</f>
        <v>0.9</v>
      </c>
      <c r="P240" s="55">
        <f>'Parameter Input'!$Q$218</f>
        <v>0.4</v>
      </c>
      <c r="Q240" s="4">
        <f t="shared" si="86"/>
        <v>0.99780374543478534</v>
      </c>
      <c r="R240" s="4">
        <f t="shared" si="86"/>
        <v>0.99685359315256394</v>
      </c>
      <c r="S240" s="4">
        <f t="shared" si="86"/>
        <v>0.99549347132349975</v>
      </c>
      <c r="T240" s="4">
        <f t="shared" si="86"/>
        <v>0.99354772139898062</v>
      </c>
      <c r="U240" s="4">
        <f t="shared" si="86"/>
        <v>0.99076681540580536</v>
      </c>
      <c r="V240" s="4">
        <f t="shared" si="86"/>
        <v>0.9867978615748374</v>
      </c>
      <c r="W240" s="4">
        <f t="shared" si="86"/>
        <v>0.98114509762858249</v>
      </c>
      <c r="X240" s="4">
        <f t="shared" si="86"/>
        <v>0.97311898315872036</v>
      </c>
      <c r="Y240" s="4">
        <f t="shared" si="86"/>
        <v>0.96177484161592774</v>
      </c>
      <c r="Z240" s="4">
        <f t="shared" si="86"/>
        <v>0.94584787155511363</v>
      </c>
      <c r="AA240" s="4">
        <f t="shared" si="86"/>
        <v>0.92370360150141495</v>
      </c>
      <c r="AB240" s="4">
        <f t="shared" si="86"/>
        <v>0.89334463567658451</v>
      </c>
      <c r="AC240" s="4">
        <f t="shared" si="86"/>
        <v>0.85254543874327005</v>
      </c>
      <c r="AD240" s="4">
        <f t="shared" si="86"/>
        <v>0.79921300652623883</v>
      </c>
      <c r="AE240" s="4">
        <f t="shared" si="86"/>
        <v>0.73204982249993378</v>
      </c>
      <c r="AF240" s="4">
        <f t="shared" si="86"/>
        <v>0.65145592958786691</v>
      </c>
      <c r="AG240" s="4">
        <f t="shared" si="84"/>
        <v>0.56032247880849573</v>
      </c>
      <c r="AH240" s="4">
        <f t="shared" si="84"/>
        <v>0.46411326873185343</v>
      </c>
      <c r="AI240" s="4">
        <f t="shared" si="84"/>
        <v>0.36979727595523937</v>
      </c>
      <c r="AJ240" s="4">
        <f t="shared" si="85"/>
        <v>0.28393948637231203</v>
      </c>
      <c r="AK240" s="4">
        <f t="shared" si="85"/>
        <v>0.21097259161117732</v>
      </c>
      <c r="AL240" s="4">
        <f t="shared" si="85"/>
        <v>0.15253917653798199</v>
      </c>
      <c r="AM240" s="4">
        <f t="shared" si="85"/>
        <v>0.10795188737709993</v>
      </c>
      <c r="AN240" s="4">
        <f t="shared" si="85"/>
        <v>7.5176653938091809E-2</v>
      </c>
      <c r="AO240" s="4">
        <f t="shared" si="85"/>
        <v>5.1742836177502194E-2</v>
      </c>
      <c r="AP240" s="4">
        <f t="shared" si="85"/>
        <v>3.5319190625345942E-2</v>
      </c>
      <c r="AQ240" s="4">
        <f t="shared" si="85"/>
        <v>2.3969442072658165E-2</v>
      </c>
      <c r="AR240" s="4">
        <f t="shared" si="85"/>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86"/>
        <v>0.99780374543478534</v>
      </c>
      <c r="R241" s="4">
        <f t="shared" si="86"/>
        <v>0.99685359315256394</v>
      </c>
      <c r="S241" s="4">
        <f t="shared" si="86"/>
        <v>0.99549347132349975</v>
      </c>
      <c r="T241" s="4">
        <f t="shared" si="86"/>
        <v>0.99354772139898062</v>
      </c>
      <c r="U241" s="4">
        <f t="shared" si="86"/>
        <v>0.99076681540580536</v>
      </c>
      <c r="V241" s="4">
        <f t="shared" si="86"/>
        <v>0.9867978615748374</v>
      </c>
      <c r="W241" s="4">
        <f t="shared" si="86"/>
        <v>0.98114509762858249</v>
      </c>
      <c r="X241" s="4">
        <f t="shared" si="86"/>
        <v>0.97311898315872036</v>
      </c>
      <c r="Y241" s="4">
        <f t="shared" si="86"/>
        <v>0.96177484161592774</v>
      </c>
      <c r="Z241" s="4">
        <f t="shared" si="86"/>
        <v>0.94584787155511363</v>
      </c>
      <c r="AA241" s="4">
        <f t="shared" si="86"/>
        <v>0.92370360150141495</v>
      </c>
      <c r="AB241" s="4">
        <f t="shared" si="86"/>
        <v>0.89334463567658451</v>
      </c>
      <c r="AC241" s="4">
        <f t="shared" si="86"/>
        <v>0.85254543874327005</v>
      </c>
      <c r="AD241" s="4">
        <f t="shared" si="86"/>
        <v>0.79921300652623883</v>
      </c>
      <c r="AE241" s="4">
        <f t="shared" si="86"/>
        <v>0.73204982249993378</v>
      </c>
      <c r="AF241" s="4">
        <f t="shared" si="86"/>
        <v>0.65145592958786691</v>
      </c>
      <c r="AG241" s="4">
        <f t="shared" si="84"/>
        <v>0.56032247880849573</v>
      </c>
      <c r="AH241" s="4">
        <f t="shared" si="84"/>
        <v>0.46411326873185343</v>
      </c>
      <c r="AI241" s="4">
        <f t="shared" si="84"/>
        <v>0.36979727595523937</v>
      </c>
      <c r="AJ241" s="4">
        <f t="shared" si="85"/>
        <v>0.28393948637231203</v>
      </c>
      <c r="AK241" s="4">
        <f t="shared" si="85"/>
        <v>0.21097259161117732</v>
      </c>
      <c r="AL241" s="4">
        <f t="shared" si="85"/>
        <v>0.15253917653798199</v>
      </c>
      <c r="AM241" s="4">
        <f t="shared" si="85"/>
        <v>0.10795188737709993</v>
      </c>
      <c r="AN241" s="4">
        <f t="shared" si="85"/>
        <v>7.5176653938091809E-2</v>
      </c>
      <c r="AO241" s="4">
        <f t="shared" si="85"/>
        <v>5.1742836177502194E-2</v>
      </c>
      <c r="AP241" s="4">
        <f t="shared" si="85"/>
        <v>3.5319190625345942E-2</v>
      </c>
      <c r="AQ241" s="4">
        <f t="shared" si="85"/>
        <v>2.3969442072658165E-2</v>
      </c>
      <c r="AR241" s="4">
        <f t="shared" si="85"/>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7">A225</f>
        <v>Capex vehicle</v>
      </c>
      <c r="B245" s="62">
        <f t="shared" ref="B245:AC253" si="88">$B225+($C225-$B225)*(1-Q225)</f>
        <v>15000000</v>
      </c>
      <c r="C245" s="62">
        <f t="shared" si="88"/>
        <v>15000000</v>
      </c>
      <c r="D245" s="62">
        <f t="shared" si="88"/>
        <v>15000000</v>
      </c>
      <c r="E245" s="62">
        <f t="shared" si="88"/>
        <v>15000000</v>
      </c>
      <c r="F245" s="62">
        <f t="shared" si="88"/>
        <v>15000000</v>
      </c>
      <c r="G245" s="62">
        <f t="shared" si="88"/>
        <v>15000000</v>
      </c>
      <c r="H245" s="62">
        <f t="shared" si="88"/>
        <v>15000000</v>
      </c>
      <c r="I245" s="62">
        <f t="shared" si="88"/>
        <v>15000000</v>
      </c>
      <c r="J245" s="62">
        <f t="shared" si="88"/>
        <v>15000000</v>
      </c>
      <c r="K245" s="62">
        <f t="shared" si="88"/>
        <v>15000000</v>
      </c>
      <c r="L245" s="62">
        <f t="shared" si="88"/>
        <v>15000000</v>
      </c>
      <c r="M245" s="62">
        <f t="shared" si="88"/>
        <v>15000000</v>
      </c>
      <c r="N245" s="62">
        <f t="shared" si="88"/>
        <v>15000000</v>
      </c>
      <c r="O245" s="62">
        <f t="shared" si="88"/>
        <v>15000000</v>
      </c>
      <c r="P245" s="62">
        <f t="shared" si="88"/>
        <v>15000000</v>
      </c>
      <c r="Q245" s="62">
        <f t="shared" si="88"/>
        <v>15000000</v>
      </c>
      <c r="R245" s="62">
        <f t="shared" si="88"/>
        <v>15000000</v>
      </c>
      <c r="S245" s="62">
        <f t="shared" si="88"/>
        <v>15000000</v>
      </c>
      <c r="T245" s="62">
        <f t="shared" si="88"/>
        <v>15000000</v>
      </c>
      <c r="U245" s="62">
        <f t="shared" si="88"/>
        <v>15000000</v>
      </c>
      <c r="V245" s="62">
        <f t="shared" si="88"/>
        <v>15000000</v>
      </c>
      <c r="W245" s="62">
        <f t="shared" si="88"/>
        <v>15000000</v>
      </c>
      <c r="X245" s="62">
        <f t="shared" si="88"/>
        <v>15000000</v>
      </c>
      <c r="Y245" s="62">
        <f t="shared" si="88"/>
        <v>15000000</v>
      </c>
      <c r="Z245" s="62">
        <f t="shared" si="88"/>
        <v>15000000</v>
      </c>
      <c r="AA245" s="62">
        <f t="shared" si="88"/>
        <v>15000000</v>
      </c>
      <c r="AB245" s="62">
        <f t="shared" si="88"/>
        <v>15000000</v>
      </c>
      <c r="AC245" s="62">
        <f t="shared" si="88"/>
        <v>15000000</v>
      </c>
    </row>
    <row r="246" spans="1:44" x14ac:dyDescent="0.25">
      <c r="A246" s="30" t="str">
        <f t="shared" si="87"/>
        <v>Residual value (vehicle)</v>
      </c>
      <c r="B246" s="62">
        <f t="shared" si="88"/>
        <v>-1498352.8090760889</v>
      </c>
      <c r="C246" s="62">
        <f t="shared" si="88"/>
        <v>-1497640.194864423</v>
      </c>
      <c r="D246" s="62">
        <f t="shared" si="88"/>
        <v>-1496620.1034926248</v>
      </c>
      <c r="E246" s="62">
        <f t="shared" si="88"/>
        <v>-1495160.7910492355</v>
      </c>
      <c r="F246" s="62">
        <f t="shared" si="88"/>
        <v>-1493075.111554354</v>
      </c>
      <c r="G246" s="62">
        <f t="shared" si="88"/>
        <v>-1490098.396181128</v>
      </c>
      <c r="H246" s="62">
        <f t="shared" si="88"/>
        <v>-1485858.8232214369</v>
      </c>
      <c r="I246" s="62">
        <f t="shared" si="88"/>
        <v>-1479839.2373690403</v>
      </c>
      <c r="J246" s="62">
        <f t="shared" si="88"/>
        <v>-1471331.1312119458</v>
      </c>
      <c r="K246" s="62">
        <f t="shared" si="88"/>
        <v>-1459385.9036663352</v>
      </c>
      <c r="L246" s="62">
        <f t="shared" si="88"/>
        <v>-1442777.7011260611</v>
      </c>
      <c r="M246" s="62">
        <f t="shared" si="88"/>
        <v>-1420008.4767574384</v>
      </c>
      <c r="N246" s="62">
        <f t="shared" si="88"/>
        <v>-1389409.0790574525</v>
      </c>
      <c r="O246" s="62">
        <f t="shared" si="88"/>
        <v>-1349409.7548946792</v>
      </c>
      <c r="P246" s="62">
        <f t="shared" si="88"/>
        <v>-1299037.3668749502</v>
      </c>
      <c r="Q246" s="62">
        <f t="shared" si="88"/>
        <v>-1238591.9471909001</v>
      </c>
      <c r="R246" s="62">
        <f t="shared" si="88"/>
        <v>-1170241.8591063719</v>
      </c>
      <c r="S246" s="62">
        <f t="shared" si="88"/>
        <v>-1098084.9515488902</v>
      </c>
      <c r="T246" s="62">
        <f t="shared" si="88"/>
        <v>-1027347.9569664295</v>
      </c>
      <c r="U246" s="62">
        <f t="shared" si="88"/>
        <v>-962954.61477923405</v>
      </c>
      <c r="V246" s="62">
        <f t="shared" si="88"/>
        <v>-908229.44370838301</v>
      </c>
      <c r="W246" s="62">
        <f t="shared" si="88"/>
        <v>-864404.38240348652</v>
      </c>
      <c r="X246" s="62">
        <f t="shared" si="88"/>
        <v>-830963.91553282493</v>
      </c>
      <c r="Y246" s="62">
        <f t="shared" si="88"/>
        <v>-806382.49045356887</v>
      </c>
      <c r="Z246" s="62">
        <f t="shared" si="88"/>
        <v>-788807.1271331266</v>
      </c>
      <c r="AA246" s="62">
        <f t="shared" si="88"/>
        <v>-776489.39296900947</v>
      </c>
      <c r="AB246" s="62">
        <f t="shared" si="88"/>
        <v>-767977.08155449363</v>
      </c>
      <c r="AC246" s="62">
        <f t="shared" si="88"/>
        <v>-762151.68266879232</v>
      </c>
    </row>
    <row r="247" spans="1:44" x14ac:dyDescent="0.25">
      <c r="A247" s="30" t="str">
        <f t="shared" si="87"/>
        <v>Capex costumization</v>
      </c>
      <c r="B247" s="62">
        <f t="shared" si="88"/>
        <v>1000000</v>
      </c>
      <c r="C247" s="62">
        <f t="shared" si="88"/>
        <v>1000000</v>
      </c>
      <c r="D247" s="62">
        <f t="shared" si="88"/>
        <v>1000000</v>
      </c>
      <c r="E247" s="62">
        <f t="shared" si="88"/>
        <v>1000000</v>
      </c>
      <c r="F247" s="62">
        <f t="shared" si="88"/>
        <v>1000000</v>
      </c>
      <c r="G247" s="62">
        <f t="shared" si="88"/>
        <v>1000000</v>
      </c>
      <c r="H247" s="62">
        <f t="shared" si="88"/>
        <v>1000000</v>
      </c>
      <c r="I247" s="62">
        <f t="shared" si="88"/>
        <v>1000000</v>
      </c>
      <c r="J247" s="62">
        <f t="shared" si="88"/>
        <v>1000000</v>
      </c>
      <c r="K247" s="62">
        <f t="shared" si="88"/>
        <v>1000000</v>
      </c>
      <c r="L247" s="62">
        <f t="shared" si="88"/>
        <v>1000000</v>
      </c>
      <c r="M247" s="62">
        <f t="shared" si="88"/>
        <v>1000000</v>
      </c>
      <c r="N247" s="62">
        <f t="shared" si="88"/>
        <v>1000000</v>
      </c>
      <c r="O247" s="62">
        <f t="shared" si="88"/>
        <v>1000000</v>
      </c>
      <c r="P247" s="62">
        <f t="shared" si="88"/>
        <v>1000000</v>
      </c>
      <c r="Q247" s="62">
        <f t="shared" si="88"/>
        <v>1000000</v>
      </c>
      <c r="R247" s="62">
        <f t="shared" si="88"/>
        <v>1000000</v>
      </c>
      <c r="S247" s="62">
        <f t="shared" si="88"/>
        <v>1000000</v>
      </c>
      <c r="T247" s="62">
        <f t="shared" si="88"/>
        <v>1000000</v>
      </c>
      <c r="U247" s="62">
        <f t="shared" si="88"/>
        <v>1000000</v>
      </c>
      <c r="V247" s="62">
        <f t="shared" si="88"/>
        <v>1000000</v>
      </c>
      <c r="W247" s="62">
        <f t="shared" si="88"/>
        <v>1000000</v>
      </c>
      <c r="X247" s="62">
        <f t="shared" si="88"/>
        <v>1000000</v>
      </c>
      <c r="Y247" s="62">
        <f t="shared" si="88"/>
        <v>1000000</v>
      </c>
      <c r="Z247" s="62">
        <f t="shared" si="88"/>
        <v>1000000</v>
      </c>
      <c r="AA247" s="62">
        <f t="shared" si="88"/>
        <v>1000000</v>
      </c>
      <c r="AB247" s="62">
        <f t="shared" si="88"/>
        <v>1000000</v>
      </c>
      <c r="AC247" s="62">
        <f t="shared" si="88"/>
        <v>1000000</v>
      </c>
    </row>
    <row r="248" spans="1:44" x14ac:dyDescent="0.25">
      <c r="A248" s="30" t="str">
        <f t="shared" si="87"/>
        <v>Residual value (costumization)</v>
      </c>
      <c r="B248" s="62">
        <f t="shared" si="88"/>
        <v>-100000</v>
      </c>
      <c r="C248" s="62">
        <f t="shared" si="88"/>
        <v>-100000</v>
      </c>
      <c r="D248" s="62">
        <f t="shared" si="88"/>
        <v>-100000</v>
      </c>
      <c r="E248" s="62">
        <f t="shared" si="88"/>
        <v>-100000</v>
      </c>
      <c r="F248" s="62">
        <f t="shared" si="88"/>
        <v>-100000</v>
      </c>
      <c r="G248" s="62">
        <f t="shared" si="88"/>
        <v>-100000</v>
      </c>
      <c r="H248" s="62">
        <f t="shared" si="88"/>
        <v>-100000</v>
      </c>
      <c r="I248" s="62">
        <f t="shared" si="88"/>
        <v>-100000</v>
      </c>
      <c r="J248" s="62">
        <f t="shared" si="88"/>
        <v>-100000</v>
      </c>
      <c r="K248" s="62">
        <f t="shared" si="88"/>
        <v>-100000</v>
      </c>
      <c r="L248" s="62">
        <f t="shared" si="88"/>
        <v>-100000</v>
      </c>
      <c r="M248" s="62">
        <f t="shared" si="88"/>
        <v>-100000</v>
      </c>
      <c r="N248" s="62">
        <f t="shared" si="88"/>
        <v>-100000</v>
      </c>
      <c r="O248" s="62">
        <f t="shared" si="88"/>
        <v>-100000</v>
      </c>
      <c r="P248" s="62">
        <f t="shared" si="88"/>
        <v>-100000</v>
      </c>
      <c r="Q248" s="62">
        <f t="shared" si="88"/>
        <v>-100000</v>
      </c>
      <c r="R248" s="62">
        <f t="shared" si="88"/>
        <v>-100000</v>
      </c>
      <c r="S248" s="62">
        <f t="shared" si="88"/>
        <v>-100000</v>
      </c>
      <c r="T248" s="62">
        <f t="shared" si="88"/>
        <v>-100000</v>
      </c>
      <c r="U248" s="62">
        <f t="shared" si="88"/>
        <v>-100000</v>
      </c>
      <c r="V248" s="62">
        <f t="shared" si="88"/>
        <v>-100000</v>
      </c>
      <c r="W248" s="62">
        <f t="shared" si="88"/>
        <v>-100000</v>
      </c>
      <c r="X248" s="62">
        <f t="shared" si="88"/>
        <v>-100000</v>
      </c>
      <c r="Y248" s="62">
        <f t="shared" si="88"/>
        <v>-100000</v>
      </c>
      <c r="Z248" s="62">
        <f t="shared" si="88"/>
        <v>-100000</v>
      </c>
      <c r="AA248" s="62">
        <f t="shared" si="88"/>
        <v>-100000</v>
      </c>
      <c r="AB248" s="62">
        <f t="shared" si="88"/>
        <v>-100000</v>
      </c>
      <c r="AC248" s="62">
        <f t="shared" si="88"/>
        <v>-100000</v>
      </c>
    </row>
    <row r="249" spans="1:44" x14ac:dyDescent="0.25">
      <c r="A249" s="30" t="str">
        <f t="shared" si="87"/>
        <v>WACC</v>
      </c>
      <c r="B249" s="62">
        <f t="shared" si="88"/>
        <v>0.06</v>
      </c>
      <c r="C249" s="62">
        <f t="shared" si="88"/>
        <v>0.06</v>
      </c>
      <c r="D249" s="62">
        <f t="shared" si="88"/>
        <v>0.06</v>
      </c>
      <c r="E249" s="62">
        <f t="shared" si="88"/>
        <v>0.06</v>
      </c>
      <c r="F249" s="62">
        <f t="shared" si="88"/>
        <v>0.06</v>
      </c>
      <c r="G249" s="62">
        <f t="shared" si="88"/>
        <v>0.06</v>
      </c>
      <c r="H249" s="62">
        <f t="shared" si="88"/>
        <v>0.06</v>
      </c>
      <c r="I249" s="62">
        <f t="shared" si="88"/>
        <v>0.06</v>
      </c>
      <c r="J249" s="62">
        <f t="shared" si="88"/>
        <v>0.06</v>
      </c>
      <c r="K249" s="62">
        <f t="shared" si="88"/>
        <v>0.06</v>
      </c>
      <c r="L249" s="62">
        <f t="shared" si="88"/>
        <v>0.06</v>
      </c>
      <c r="M249" s="62">
        <f t="shared" si="88"/>
        <v>0.06</v>
      </c>
      <c r="N249" s="62">
        <f t="shared" si="88"/>
        <v>0.06</v>
      </c>
      <c r="O249" s="62">
        <f t="shared" si="88"/>
        <v>0.06</v>
      </c>
      <c r="P249" s="62">
        <f t="shared" si="88"/>
        <v>0.06</v>
      </c>
      <c r="Q249" s="62">
        <f t="shared" si="88"/>
        <v>0.06</v>
      </c>
      <c r="R249" s="62">
        <f t="shared" si="88"/>
        <v>0.06</v>
      </c>
      <c r="S249" s="62">
        <f t="shared" si="88"/>
        <v>0.06</v>
      </c>
      <c r="T249" s="62">
        <f t="shared" si="88"/>
        <v>0.06</v>
      </c>
      <c r="U249" s="62">
        <f t="shared" si="88"/>
        <v>0.06</v>
      </c>
      <c r="V249" s="62">
        <f t="shared" si="88"/>
        <v>0.06</v>
      </c>
      <c r="W249" s="62">
        <f t="shared" si="88"/>
        <v>0.06</v>
      </c>
      <c r="X249" s="62">
        <f t="shared" si="88"/>
        <v>0.06</v>
      </c>
      <c r="Y249" s="62">
        <f t="shared" si="88"/>
        <v>0.06</v>
      </c>
      <c r="Z249" s="62">
        <f t="shared" si="88"/>
        <v>0.06</v>
      </c>
      <c r="AA249" s="62">
        <f t="shared" si="88"/>
        <v>0.06</v>
      </c>
      <c r="AB249" s="62">
        <f t="shared" si="88"/>
        <v>0.06</v>
      </c>
      <c r="AC249" s="62">
        <f t="shared" si="88"/>
        <v>0.06</v>
      </c>
    </row>
    <row r="250" spans="1:44" x14ac:dyDescent="0.25">
      <c r="A250" s="30" t="str">
        <f t="shared" si="87"/>
        <v>Opex fix (admin, crew, insurance)</v>
      </c>
      <c r="B250" s="62">
        <f t="shared" si="88"/>
        <v>1208235.294117647</v>
      </c>
      <c r="C250" s="62">
        <f t="shared" si="88"/>
        <v>1208235.294117647</v>
      </c>
      <c r="D250" s="62">
        <f t="shared" si="88"/>
        <v>1208235.294117647</v>
      </c>
      <c r="E250" s="62">
        <f t="shared" si="88"/>
        <v>1208235.294117647</v>
      </c>
      <c r="F250" s="62">
        <f t="shared" si="88"/>
        <v>1208235.294117647</v>
      </c>
      <c r="G250" s="62">
        <f t="shared" si="88"/>
        <v>1208235.294117647</v>
      </c>
      <c r="H250" s="62">
        <f t="shared" si="88"/>
        <v>1208235.294117647</v>
      </c>
      <c r="I250" s="62">
        <f t="shared" si="88"/>
        <v>1208235.294117647</v>
      </c>
      <c r="J250" s="62">
        <f t="shared" si="88"/>
        <v>1208235.294117647</v>
      </c>
      <c r="K250" s="62">
        <f t="shared" si="88"/>
        <v>1208235.294117647</v>
      </c>
      <c r="L250" s="62">
        <f t="shared" si="88"/>
        <v>1208235.294117647</v>
      </c>
      <c r="M250" s="62">
        <f t="shared" si="88"/>
        <v>1208235.294117647</v>
      </c>
      <c r="N250" s="62">
        <f t="shared" si="88"/>
        <v>1208235.294117647</v>
      </c>
      <c r="O250" s="62">
        <f t="shared" si="88"/>
        <v>1208235.294117647</v>
      </c>
      <c r="P250" s="62">
        <f t="shared" si="88"/>
        <v>1208235.294117647</v>
      </c>
      <c r="Q250" s="62">
        <f t="shared" si="88"/>
        <v>1208235.294117647</v>
      </c>
      <c r="R250" s="62">
        <f t="shared" si="88"/>
        <v>1208235.294117647</v>
      </c>
      <c r="S250" s="62">
        <f t="shared" si="88"/>
        <v>1208235.294117647</v>
      </c>
      <c r="T250" s="62">
        <f t="shared" si="88"/>
        <v>1208235.294117647</v>
      </c>
      <c r="U250" s="62">
        <f t="shared" si="88"/>
        <v>1208235.294117647</v>
      </c>
      <c r="V250" s="62">
        <f t="shared" si="88"/>
        <v>1208235.294117647</v>
      </c>
      <c r="W250" s="62">
        <f t="shared" si="88"/>
        <v>1208235.294117647</v>
      </c>
      <c r="X250" s="62">
        <f t="shared" si="88"/>
        <v>1208235.294117647</v>
      </c>
      <c r="Y250" s="62">
        <f t="shared" si="88"/>
        <v>1208235.294117647</v>
      </c>
      <c r="Z250" s="62">
        <f t="shared" si="88"/>
        <v>1208235.294117647</v>
      </c>
      <c r="AA250" s="62">
        <f t="shared" si="88"/>
        <v>1208235.294117647</v>
      </c>
      <c r="AB250" s="62">
        <f t="shared" si="88"/>
        <v>1208235.294117647</v>
      </c>
      <c r="AC250" s="62">
        <f t="shared" si="88"/>
        <v>1208235.294117647</v>
      </c>
    </row>
    <row r="251" spans="1:44" x14ac:dyDescent="0.25">
      <c r="A251" s="30" t="str">
        <f t="shared" si="87"/>
        <v>Opex maintenance &amp; repair</v>
      </c>
      <c r="B251" s="62">
        <f t="shared" si="88"/>
        <v>488235.29411764705</v>
      </c>
      <c r="C251" s="62">
        <f t="shared" si="88"/>
        <v>488235.29411764705</v>
      </c>
      <c r="D251" s="62">
        <f t="shared" si="88"/>
        <v>488235.29411764705</v>
      </c>
      <c r="E251" s="62">
        <f t="shared" si="88"/>
        <v>488235.29411764705</v>
      </c>
      <c r="F251" s="62">
        <f t="shared" si="88"/>
        <v>488235.29411764705</v>
      </c>
      <c r="G251" s="62">
        <f t="shared" si="88"/>
        <v>488235.29411764705</v>
      </c>
      <c r="H251" s="62">
        <f t="shared" si="88"/>
        <v>488235.29411764705</v>
      </c>
      <c r="I251" s="62">
        <f t="shared" si="88"/>
        <v>488235.29411764705</v>
      </c>
      <c r="J251" s="62">
        <f t="shared" si="88"/>
        <v>488235.29411764705</v>
      </c>
      <c r="K251" s="62">
        <f t="shared" si="88"/>
        <v>488235.29411764705</v>
      </c>
      <c r="L251" s="62">
        <f t="shared" si="88"/>
        <v>488235.29411764705</v>
      </c>
      <c r="M251" s="62">
        <f t="shared" si="88"/>
        <v>488235.29411764705</v>
      </c>
      <c r="N251" s="62">
        <f t="shared" si="88"/>
        <v>488235.29411764705</v>
      </c>
      <c r="O251" s="62">
        <f t="shared" si="88"/>
        <v>488235.29411764705</v>
      </c>
      <c r="P251" s="62">
        <f t="shared" si="88"/>
        <v>488235.29411764705</v>
      </c>
      <c r="Q251" s="62">
        <f t="shared" si="88"/>
        <v>488235.29411764705</v>
      </c>
      <c r="R251" s="62">
        <f t="shared" si="88"/>
        <v>488235.29411764705</v>
      </c>
      <c r="S251" s="62">
        <f t="shared" si="88"/>
        <v>488235.29411764705</v>
      </c>
      <c r="T251" s="62">
        <f t="shared" si="88"/>
        <v>488235.29411764705</v>
      </c>
      <c r="U251" s="62">
        <f t="shared" si="88"/>
        <v>488235.29411764705</v>
      </c>
      <c r="V251" s="62">
        <f t="shared" si="88"/>
        <v>488235.29411764705</v>
      </c>
      <c r="W251" s="62">
        <f t="shared" si="88"/>
        <v>488235.29411764705</v>
      </c>
      <c r="X251" s="62">
        <f t="shared" si="88"/>
        <v>488235.29411764705</v>
      </c>
      <c r="Y251" s="62">
        <f t="shared" si="88"/>
        <v>488235.29411764705</v>
      </c>
      <c r="Z251" s="62">
        <f t="shared" si="88"/>
        <v>488235.29411764705</v>
      </c>
      <c r="AA251" s="62">
        <f t="shared" si="88"/>
        <v>488235.29411764705</v>
      </c>
      <c r="AB251" s="62">
        <f t="shared" si="88"/>
        <v>488235.29411764705</v>
      </c>
      <c r="AC251" s="62">
        <f t="shared" si="88"/>
        <v>488235.29411764705</v>
      </c>
    </row>
    <row r="252" spans="1:44" x14ac:dyDescent="0.25">
      <c r="A252" s="30" t="str">
        <f t="shared" si="87"/>
        <v>Opex var (mode-fees)</v>
      </c>
      <c r="B252" s="62">
        <f t="shared" si="88"/>
        <v>0.81280569096848254</v>
      </c>
      <c r="C252" s="62">
        <f t="shared" si="88"/>
        <v>0.81280569096848254</v>
      </c>
      <c r="D252" s="62">
        <f t="shared" si="88"/>
        <v>0.81280569096848254</v>
      </c>
      <c r="E252" s="62">
        <f t="shared" si="88"/>
        <v>0.81280569096848254</v>
      </c>
      <c r="F252" s="62">
        <f t="shared" si="88"/>
        <v>0.81280569096848254</v>
      </c>
      <c r="G252" s="62">
        <f t="shared" si="88"/>
        <v>0.81280569096848254</v>
      </c>
      <c r="H252" s="62">
        <f t="shared" si="88"/>
        <v>0.81280569096848254</v>
      </c>
      <c r="I252" s="62">
        <f t="shared" si="88"/>
        <v>0.81280569096848254</v>
      </c>
      <c r="J252" s="62">
        <f t="shared" si="88"/>
        <v>0.81280569096848254</v>
      </c>
      <c r="K252" s="62">
        <f t="shared" si="88"/>
        <v>0.81280569096848254</v>
      </c>
      <c r="L252" s="62">
        <f t="shared" si="88"/>
        <v>0.81280569096848254</v>
      </c>
      <c r="M252" s="62">
        <f t="shared" si="88"/>
        <v>0.81280569096848254</v>
      </c>
      <c r="N252" s="62">
        <f t="shared" si="88"/>
        <v>0.81280569096848254</v>
      </c>
      <c r="O252" s="62">
        <f t="shared" si="88"/>
        <v>0.81280569096848254</v>
      </c>
      <c r="P252" s="62">
        <f t="shared" si="88"/>
        <v>0.81280569096848254</v>
      </c>
      <c r="Q252" s="62">
        <f t="shared" si="88"/>
        <v>0.81280569096848254</v>
      </c>
      <c r="R252" s="62">
        <f t="shared" si="88"/>
        <v>0.81280569096848254</v>
      </c>
      <c r="S252" s="62">
        <f t="shared" si="88"/>
        <v>0.81280569096848254</v>
      </c>
      <c r="T252" s="62">
        <f t="shared" si="88"/>
        <v>0.81280569096848254</v>
      </c>
      <c r="U252" s="62">
        <f t="shared" si="88"/>
        <v>0.81280569096848254</v>
      </c>
      <c r="V252" s="62">
        <f t="shared" si="88"/>
        <v>0.81280569096848254</v>
      </c>
      <c r="W252" s="62">
        <f t="shared" si="88"/>
        <v>0.81280569096848254</v>
      </c>
      <c r="X252" s="62">
        <f t="shared" si="88"/>
        <v>0.81280569096848254</v>
      </c>
      <c r="Y252" s="62">
        <f t="shared" si="88"/>
        <v>0.81280569096848254</v>
      </c>
      <c r="Z252" s="62">
        <f t="shared" si="88"/>
        <v>0.81280569096848254</v>
      </c>
      <c r="AA252" s="62">
        <f t="shared" si="88"/>
        <v>0.81280569096848254</v>
      </c>
      <c r="AB252" s="62">
        <f t="shared" si="88"/>
        <v>0.81280569096848254</v>
      </c>
      <c r="AC252" s="62">
        <f t="shared" si="88"/>
        <v>0.81280569096848254</v>
      </c>
    </row>
    <row r="253" spans="1:44" x14ac:dyDescent="0.25">
      <c r="A253" s="30" t="str">
        <f t="shared" si="87"/>
        <v>Fuel Economy</v>
      </c>
      <c r="B253" s="62">
        <f t="shared" si="88"/>
        <v>646.89677603543487</v>
      </c>
      <c r="C253" s="62">
        <f t="shared" si="88"/>
        <v>646.85211887817047</v>
      </c>
      <c r="D253" s="62">
        <f t="shared" si="88"/>
        <v>646.78819315220449</v>
      </c>
      <c r="E253" s="62">
        <f t="shared" si="88"/>
        <v>646.6967429057521</v>
      </c>
      <c r="F253" s="62">
        <f t="shared" si="88"/>
        <v>646.5660403240729</v>
      </c>
      <c r="G253" s="62">
        <f t="shared" si="88"/>
        <v>646.37949949401741</v>
      </c>
      <c r="H253" s="62">
        <f t="shared" si="88"/>
        <v>646.11381958854338</v>
      </c>
      <c r="I253" s="62">
        <f t="shared" si="88"/>
        <v>645.73659220845991</v>
      </c>
      <c r="J253" s="62">
        <f t="shared" si="88"/>
        <v>645.20341755594859</v>
      </c>
      <c r="K253" s="62">
        <f t="shared" si="88"/>
        <v>644.4548499630904</v>
      </c>
      <c r="L253" s="62">
        <f t="shared" si="88"/>
        <v>643.41406927056653</v>
      </c>
      <c r="M253" s="62">
        <f t="shared" si="88"/>
        <v>641.98719787679943</v>
      </c>
      <c r="N253" s="62">
        <f t="shared" si="88"/>
        <v>640.0696356209337</v>
      </c>
      <c r="O253" s="62">
        <f t="shared" si="88"/>
        <v>637.56301130673319</v>
      </c>
      <c r="P253" s="62">
        <f t="shared" si="88"/>
        <v>634.40634165749691</v>
      </c>
      <c r="Q253" s="62">
        <f t="shared" si="88"/>
        <v>630.6184286906298</v>
      </c>
      <c r="R253" s="62">
        <f t="shared" si="88"/>
        <v>626.33515650399931</v>
      </c>
      <c r="S253" s="62">
        <f t="shared" si="88"/>
        <v>621.81332363039712</v>
      </c>
      <c r="T253" s="62">
        <f t="shared" si="88"/>
        <v>617.38047196989623</v>
      </c>
      <c r="U253" s="62">
        <f t="shared" si="88"/>
        <v>613.34515585949862</v>
      </c>
      <c r="V253" s="62">
        <f t="shared" si="88"/>
        <v>609.91571180572532</v>
      </c>
      <c r="W253" s="62">
        <f t="shared" si="88"/>
        <v>607.1693412972852</v>
      </c>
      <c r="X253" s="62">
        <f t="shared" si="88"/>
        <v>605.0737387067237</v>
      </c>
      <c r="Y253" s="62">
        <f t="shared" si="88"/>
        <v>603.53330273509027</v>
      </c>
      <c r="Z253" s="62">
        <f t="shared" si="88"/>
        <v>602.43191330034256</v>
      </c>
      <c r="AA253" s="62">
        <f t="shared" si="88"/>
        <v>601.66000195939125</v>
      </c>
      <c r="AB253" s="62">
        <f t="shared" si="88"/>
        <v>601.12656377741496</v>
      </c>
      <c r="AC253" s="62">
        <f t="shared" si="88"/>
        <v>600.7615054472443</v>
      </c>
    </row>
    <row r="254" spans="1:44" x14ac:dyDescent="0.25">
      <c r="A254" s="30" t="str">
        <f t="shared" si="87"/>
        <v>Fuel Cost</v>
      </c>
      <c r="B254" s="62">
        <f>'Parameter Input'!J10</f>
        <v>2.5977890665149557E-2</v>
      </c>
      <c r="C254" s="62">
        <f>'Parameter Input'!K10</f>
        <v>2.418631199858752E-2</v>
      </c>
      <c r="D254" s="62">
        <f>'Parameter Input'!L10</f>
        <v>2.2394733332025477E-2</v>
      </c>
      <c r="E254" s="62">
        <f>'Parameter Input'!M10</f>
        <v>2.060315466546344E-2</v>
      </c>
      <c r="F254" s="62">
        <f>'Parameter Input'!N10</f>
        <v>1.8811575998901403E-2</v>
      </c>
      <c r="G254" s="62">
        <f>'Parameter Input'!O10</f>
        <v>1.7019997332339366E-2</v>
      </c>
      <c r="H254" s="62">
        <f>'Parameter Input'!P10</f>
        <v>1.5228418665777328E-2</v>
      </c>
      <c r="I254" s="62">
        <f>'Parameter Input'!Q10</f>
        <v>1.3436839999215288E-2</v>
      </c>
      <c r="J254" s="62">
        <f>'Parameter Input'!R10</f>
        <v>1.3164903951612121E-2</v>
      </c>
      <c r="K254" s="62">
        <f>'Parameter Input'!S10</f>
        <v>1.2892967904008954E-2</v>
      </c>
      <c r="L254" s="62">
        <f>'Parameter Input'!T10</f>
        <v>1.2621031856405788E-2</v>
      </c>
      <c r="M254" s="62">
        <f>'Parameter Input'!U10</f>
        <v>1.2349095808802621E-2</v>
      </c>
      <c r="N254" s="62">
        <f>'Parameter Input'!V10</f>
        <v>1.2077159761199453E-2</v>
      </c>
      <c r="O254" s="62">
        <f>'Parameter Input'!W10</f>
        <v>1.1805223713596286E-2</v>
      </c>
      <c r="P254" s="62">
        <f>'Parameter Input'!X10</f>
        <v>1.153328766599312E-2</v>
      </c>
      <c r="Q254" s="62">
        <f>'Parameter Input'!Y10</f>
        <v>1.1261351618389953E-2</v>
      </c>
      <c r="R254" s="62">
        <f>'Parameter Input'!Z10</f>
        <v>1.0989415570786787E-2</v>
      </c>
      <c r="S254" s="62">
        <f>'Parameter Input'!AA10</f>
        <v>1.0717479523183622E-2</v>
      </c>
      <c r="T254" s="62">
        <f>'Parameter Input'!AB10</f>
        <v>1.0445543475580455E-2</v>
      </c>
      <c r="U254" s="62">
        <f>'Parameter Input'!AC10</f>
        <v>1.0173607427977288E-2</v>
      </c>
      <c r="V254" s="62">
        <f>'Parameter Input'!AD10</f>
        <v>9.9016713803741219E-3</v>
      </c>
      <c r="W254" s="62">
        <f>'Parameter Input'!AE10</f>
        <v>9.6297353327709553E-3</v>
      </c>
      <c r="X254" s="62">
        <f>'Parameter Input'!AF10</f>
        <v>9.3577992851677887E-3</v>
      </c>
      <c r="Y254" s="62">
        <f>'Parameter Input'!AG10</f>
        <v>9.0858632375646221E-3</v>
      </c>
      <c r="Z254" s="62">
        <f>'Parameter Input'!AH10</f>
        <v>8.8139271899614555E-3</v>
      </c>
      <c r="AA254" s="62">
        <f>'Parameter Input'!AI10</f>
        <v>8.5419911423582889E-3</v>
      </c>
      <c r="AB254" s="62">
        <f>'Parameter Input'!AJ10</f>
        <v>8.2700550947551223E-3</v>
      </c>
      <c r="AC254" s="62">
        <f>'Parameter Input'!AK10</f>
        <v>7.9981190471519557E-3</v>
      </c>
    </row>
    <row r="255" spans="1:44" x14ac:dyDescent="0.25">
      <c r="A255" s="30" t="str">
        <f t="shared" si="87"/>
        <v>Emission Cost</v>
      </c>
      <c r="B255" s="62">
        <f>$B235+($C235-$B235)*(1-Q235)</f>
        <v>0</v>
      </c>
      <c r="C255" s="62">
        <f t="shared" ref="C255:AC258" si="89">$B235+($C235-$B235)*(1-R235)</f>
        <v>0</v>
      </c>
      <c r="D255" s="62">
        <f t="shared" si="89"/>
        <v>0</v>
      </c>
      <c r="E255" s="62">
        <f t="shared" si="89"/>
        <v>0</v>
      </c>
      <c r="F255" s="62">
        <f t="shared" si="89"/>
        <v>0</v>
      </c>
      <c r="G255" s="62">
        <f t="shared" si="89"/>
        <v>0</v>
      </c>
      <c r="H255" s="62">
        <f t="shared" si="89"/>
        <v>0</v>
      </c>
      <c r="I255" s="62">
        <f t="shared" si="89"/>
        <v>0</v>
      </c>
      <c r="J255" s="62">
        <f t="shared" si="89"/>
        <v>0</v>
      </c>
      <c r="K255" s="62">
        <f t="shared" si="89"/>
        <v>0</v>
      </c>
      <c r="L255" s="62">
        <f t="shared" si="89"/>
        <v>0</v>
      </c>
      <c r="M255" s="62">
        <f t="shared" si="89"/>
        <v>0</v>
      </c>
      <c r="N255" s="62">
        <f t="shared" si="89"/>
        <v>0</v>
      </c>
      <c r="O255" s="62">
        <f t="shared" si="89"/>
        <v>0</v>
      </c>
      <c r="P255" s="62">
        <f t="shared" si="89"/>
        <v>0</v>
      </c>
      <c r="Q255" s="62">
        <f t="shared" si="89"/>
        <v>0</v>
      </c>
      <c r="R255" s="62">
        <f t="shared" si="89"/>
        <v>0</v>
      </c>
      <c r="S255" s="62">
        <f t="shared" si="89"/>
        <v>0</v>
      </c>
      <c r="T255" s="62">
        <f t="shared" si="89"/>
        <v>0</v>
      </c>
      <c r="U255" s="62">
        <f t="shared" si="89"/>
        <v>0</v>
      </c>
      <c r="V255" s="62">
        <f t="shared" si="89"/>
        <v>0</v>
      </c>
      <c r="W255" s="62">
        <f t="shared" si="89"/>
        <v>0</v>
      </c>
      <c r="X255" s="62">
        <f t="shared" si="89"/>
        <v>0</v>
      </c>
      <c r="Y255" s="62">
        <f t="shared" si="89"/>
        <v>0</v>
      </c>
      <c r="Z255" s="62">
        <f t="shared" si="89"/>
        <v>0</v>
      </c>
      <c r="AA255" s="62">
        <f t="shared" si="89"/>
        <v>0</v>
      </c>
      <c r="AB255" s="62">
        <f t="shared" si="89"/>
        <v>0</v>
      </c>
      <c r="AC255" s="62">
        <f t="shared" si="89"/>
        <v>0</v>
      </c>
    </row>
    <row r="256" spans="1:44" x14ac:dyDescent="0.25">
      <c r="A256" s="30" t="str">
        <f t="shared" si="87"/>
        <v>Lifetime vehicle</v>
      </c>
      <c r="B256" s="62">
        <f>$B236+($C236-$B236)*(1-Q236)</f>
        <v>25</v>
      </c>
      <c r="C256" s="62">
        <f t="shared" si="89"/>
        <v>25</v>
      </c>
      <c r="D256" s="62">
        <f t="shared" si="89"/>
        <v>25</v>
      </c>
      <c r="E256" s="62">
        <f t="shared" si="89"/>
        <v>25</v>
      </c>
      <c r="F256" s="62">
        <f t="shared" si="89"/>
        <v>25</v>
      </c>
      <c r="G256" s="62">
        <f t="shared" si="89"/>
        <v>25</v>
      </c>
      <c r="H256" s="62">
        <f t="shared" si="89"/>
        <v>25</v>
      </c>
      <c r="I256" s="62">
        <f t="shared" si="89"/>
        <v>25</v>
      </c>
      <c r="J256" s="62">
        <f t="shared" si="89"/>
        <v>25</v>
      </c>
      <c r="K256" s="62">
        <f t="shared" si="89"/>
        <v>25</v>
      </c>
      <c r="L256" s="62">
        <f t="shared" si="89"/>
        <v>25</v>
      </c>
      <c r="M256" s="62">
        <f t="shared" si="89"/>
        <v>25</v>
      </c>
      <c r="N256" s="62">
        <f t="shared" si="89"/>
        <v>25</v>
      </c>
      <c r="O256" s="62">
        <f t="shared" si="89"/>
        <v>25</v>
      </c>
      <c r="P256" s="62">
        <f t="shared" si="89"/>
        <v>25</v>
      </c>
      <c r="Q256" s="62">
        <f t="shared" si="89"/>
        <v>25</v>
      </c>
      <c r="R256" s="62">
        <f t="shared" si="89"/>
        <v>25</v>
      </c>
      <c r="S256" s="62">
        <f t="shared" si="89"/>
        <v>25</v>
      </c>
      <c r="T256" s="62">
        <f t="shared" si="89"/>
        <v>25</v>
      </c>
      <c r="U256" s="62">
        <f t="shared" si="89"/>
        <v>25</v>
      </c>
      <c r="V256" s="62">
        <f t="shared" si="89"/>
        <v>25</v>
      </c>
      <c r="W256" s="62">
        <f t="shared" si="89"/>
        <v>25</v>
      </c>
      <c r="X256" s="62">
        <f t="shared" si="89"/>
        <v>25</v>
      </c>
      <c r="Y256" s="62">
        <f t="shared" si="89"/>
        <v>25</v>
      </c>
      <c r="Z256" s="62">
        <f t="shared" si="89"/>
        <v>25</v>
      </c>
      <c r="AA256" s="62">
        <f t="shared" si="89"/>
        <v>25</v>
      </c>
      <c r="AB256" s="62">
        <f t="shared" si="89"/>
        <v>25</v>
      </c>
      <c r="AC256" s="62">
        <f t="shared" si="89"/>
        <v>25</v>
      </c>
    </row>
    <row r="257" spans="1:29" x14ac:dyDescent="0.25">
      <c r="A257" s="30" t="str">
        <f t="shared" si="87"/>
        <v>Lifetime costumization</v>
      </c>
      <c r="B257" s="62">
        <f>$B237+($C237-$B237)*(1-Q237)</f>
        <v>25</v>
      </c>
      <c r="C257" s="62">
        <f t="shared" si="89"/>
        <v>25</v>
      </c>
      <c r="D257" s="62">
        <f t="shared" si="89"/>
        <v>25</v>
      </c>
      <c r="E257" s="62">
        <f t="shared" si="89"/>
        <v>25</v>
      </c>
      <c r="F257" s="62">
        <f t="shared" si="89"/>
        <v>25</v>
      </c>
      <c r="G257" s="62">
        <f t="shared" si="89"/>
        <v>25</v>
      </c>
      <c r="H257" s="62">
        <f t="shared" si="89"/>
        <v>25</v>
      </c>
      <c r="I257" s="62">
        <f t="shared" si="89"/>
        <v>25</v>
      </c>
      <c r="J257" s="62">
        <f t="shared" si="89"/>
        <v>25</v>
      </c>
      <c r="K257" s="62">
        <f t="shared" si="89"/>
        <v>25</v>
      </c>
      <c r="L257" s="62">
        <f t="shared" si="89"/>
        <v>25</v>
      </c>
      <c r="M257" s="62">
        <f t="shared" si="89"/>
        <v>25</v>
      </c>
      <c r="N257" s="62">
        <f t="shared" si="89"/>
        <v>25</v>
      </c>
      <c r="O257" s="62">
        <f t="shared" si="89"/>
        <v>25</v>
      </c>
      <c r="P257" s="62">
        <f t="shared" si="89"/>
        <v>25</v>
      </c>
      <c r="Q257" s="62">
        <f t="shared" si="89"/>
        <v>25</v>
      </c>
      <c r="R257" s="62">
        <f t="shared" si="89"/>
        <v>25</v>
      </c>
      <c r="S257" s="62">
        <f t="shared" si="89"/>
        <v>25</v>
      </c>
      <c r="T257" s="62">
        <f t="shared" si="89"/>
        <v>25</v>
      </c>
      <c r="U257" s="62">
        <f t="shared" si="89"/>
        <v>25</v>
      </c>
      <c r="V257" s="62">
        <f t="shared" si="89"/>
        <v>25</v>
      </c>
      <c r="W257" s="62">
        <f t="shared" si="89"/>
        <v>25</v>
      </c>
      <c r="X257" s="62">
        <f t="shared" si="89"/>
        <v>25</v>
      </c>
      <c r="Y257" s="62">
        <f t="shared" si="89"/>
        <v>25</v>
      </c>
      <c r="Z257" s="62">
        <f t="shared" si="89"/>
        <v>25</v>
      </c>
      <c r="AA257" s="62">
        <f t="shared" si="89"/>
        <v>25</v>
      </c>
      <c r="AB257" s="62">
        <f t="shared" si="89"/>
        <v>25</v>
      </c>
      <c r="AC257" s="62">
        <f t="shared" si="89"/>
        <v>25</v>
      </c>
    </row>
    <row r="258" spans="1:29" x14ac:dyDescent="0.25">
      <c r="A258" s="30" t="str">
        <f t="shared" si="87"/>
        <v>Tonnage .</v>
      </c>
      <c r="B258" s="62">
        <f>$B238+($C238-$B238)*(1-Q238)</f>
        <v>9450</v>
      </c>
      <c r="C258" s="62">
        <f t="shared" si="89"/>
        <v>9450</v>
      </c>
      <c r="D258" s="62">
        <f t="shared" si="89"/>
        <v>9450</v>
      </c>
      <c r="E258" s="62">
        <f t="shared" si="89"/>
        <v>9450</v>
      </c>
      <c r="F258" s="62">
        <f t="shared" si="89"/>
        <v>9450</v>
      </c>
      <c r="G258" s="62">
        <f t="shared" si="89"/>
        <v>9450</v>
      </c>
      <c r="H258" s="62">
        <f t="shared" si="89"/>
        <v>9450</v>
      </c>
      <c r="I258" s="62">
        <f t="shared" si="89"/>
        <v>9450</v>
      </c>
      <c r="J258" s="62">
        <f t="shared" si="89"/>
        <v>9450</v>
      </c>
      <c r="K258" s="62">
        <f t="shared" si="89"/>
        <v>9450</v>
      </c>
      <c r="L258" s="62">
        <f t="shared" si="89"/>
        <v>9450</v>
      </c>
      <c r="M258" s="62">
        <f t="shared" si="89"/>
        <v>9450</v>
      </c>
      <c r="N258" s="62">
        <f t="shared" si="89"/>
        <v>9450</v>
      </c>
      <c r="O258" s="62">
        <f t="shared" si="89"/>
        <v>9450</v>
      </c>
      <c r="P258" s="62">
        <f t="shared" si="89"/>
        <v>9450</v>
      </c>
      <c r="Q258" s="62">
        <f t="shared" si="89"/>
        <v>9450</v>
      </c>
      <c r="R258" s="62">
        <f t="shared" si="89"/>
        <v>9450</v>
      </c>
      <c r="S258" s="62">
        <f t="shared" si="89"/>
        <v>9450</v>
      </c>
      <c r="T258" s="62">
        <f t="shared" si="89"/>
        <v>9450</v>
      </c>
      <c r="U258" s="62">
        <f t="shared" si="89"/>
        <v>9450</v>
      </c>
      <c r="V258" s="62">
        <f t="shared" si="89"/>
        <v>9450</v>
      </c>
      <c r="W258" s="62">
        <f t="shared" si="89"/>
        <v>9450</v>
      </c>
      <c r="X258" s="62">
        <f t="shared" si="89"/>
        <v>9450</v>
      </c>
      <c r="Y258" s="62">
        <f t="shared" si="89"/>
        <v>9450</v>
      </c>
      <c r="Z258" s="62">
        <f t="shared" si="89"/>
        <v>9450</v>
      </c>
      <c r="AA258" s="62">
        <f t="shared" si="89"/>
        <v>9450</v>
      </c>
      <c r="AB258" s="62">
        <f t="shared" si="89"/>
        <v>9450</v>
      </c>
      <c r="AC258" s="62">
        <f t="shared" si="89"/>
        <v>9450</v>
      </c>
    </row>
    <row r="259" spans="1:29" x14ac:dyDescent="0.25">
      <c r="A259" s="30" t="str">
        <f t="shared" si="87"/>
        <v>Market failure (av. utilization)</v>
      </c>
      <c r="B259" s="62">
        <f t="shared" ref="B259:AC260" si="90">($B239+($C239-$B239)*(1-Q239))*B$44</f>
        <v>4914</v>
      </c>
      <c r="C259" s="62">
        <f t="shared" si="90"/>
        <v>4914</v>
      </c>
      <c r="D259" s="62">
        <f t="shared" si="90"/>
        <v>4914</v>
      </c>
      <c r="E259" s="62">
        <f t="shared" si="90"/>
        <v>4914</v>
      </c>
      <c r="F259" s="62">
        <f t="shared" si="90"/>
        <v>4914</v>
      </c>
      <c r="G259" s="62">
        <f t="shared" si="90"/>
        <v>4914</v>
      </c>
      <c r="H259" s="62">
        <f t="shared" si="90"/>
        <v>4914</v>
      </c>
      <c r="I259" s="62">
        <f t="shared" si="90"/>
        <v>4914</v>
      </c>
      <c r="J259" s="62">
        <f t="shared" si="90"/>
        <v>4914</v>
      </c>
      <c r="K259" s="62">
        <f t="shared" si="90"/>
        <v>4914</v>
      </c>
      <c r="L259" s="62">
        <f t="shared" si="90"/>
        <v>4914</v>
      </c>
      <c r="M259" s="62">
        <f t="shared" si="90"/>
        <v>4914</v>
      </c>
      <c r="N259" s="62">
        <f t="shared" si="90"/>
        <v>4914</v>
      </c>
      <c r="O259" s="62">
        <f t="shared" si="90"/>
        <v>4914</v>
      </c>
      <c r="P259" s="62">
        <f t="shared" si="90"/>
        <v>4914</v>
      </c>
      <c r="Q259" s="62">
        <f t="shared" si="90"/>
        <v>4914</v>
      </c>
      <c r="R259" s="62">
        <f t="shared" si="90"/>
        <v>4914</v>
      </c>
      <c r="S259" s="62">
        <f t="shared" si="90"/>
        <v>4914</v>
      </c>
      <c r="T259" s="62">
        <f t="shared" si="90"/>
        <v>4914</v>
      </c>
      <c r="U259" s="62">
        <f t="shared" si="90"/>
        <v>4914</v>
      </c>
      <c r="V259" s="62">
        <f t="shared" si="90"/>
        <v>4914</v>
      </c>
      <c r="W259" s="62">
        <f t="shared" si="90"/>
        <v>4914</v>
      </c>
      <c r="X259" s="62">
        <f t="shared" si="90"/>
        <v>4914</v>
      </c>
      <c r="Y259" s="62">
        <f t="shared" si="90"/>
        <v>4914</v>
      </c>
      <c r="Z259" s="62">
        <f t="shared" si="90"/>
        <v>4914</v>
      </c>
      <c r="AA259" s="62">
        <f t="shared" si="90"/>
        <v>4914</v>
      </c>
      <c r="AB259" s="62">
        <f t="shared" si="90"/>
        <v>4914</v>
      </c>
      <c r="AC259" s="62">
        <f t="shared" si="90"/>
        <v>4914</v>
      </c>
    </row>
    <row r="260" spans="1:29" x14ac:dyDescent="0.25">
      <c r="A260" s="30" t="s">
        <v>73</v>
      </c>
      <c r="B260" s="62">
        <f t="shared" si="90"/>
        <v>0</v>
      </c>
      <c r="C260" s="62">
        <f t="shared" si="90"/>
        <v>0</v>
      </c>
      <c r="D260" s="62">
        <f t="shared" si="90"/>
        <v>0</v>
      </c>
      <c r="E260" s="62">
        <f t="shared" si="90"/>
        <v>0</v>
      </c>
      <c r="F260" s="62">
        <f t="shared" si="90"/>
        <v>0</v>
      </c>
      <c r="G260" s="62">
        <f t="shared" si="90"/>
        <v>0</v>
      </c>
      <c r="H260" s="62">
        <f t="shared" si="90"/>
        <v>0</v>
      </c>
      <c r="I260" s="62">
        <f t="shared" si="90"/>
        <v>0</v>
      </c>
      <c r="J260" s="62">
        <f t="shared" si="90"/>
        <v>0</v>
      </c>
      <c r="K260" s="62">
        <f t="shared" si="90"/>
        <v>0</v>
      </c>
      <c r="L260" s="62">
        <f t="shared" si="90"/>
        <v>0</v>
      </c>
      <c r="M260" s="62">
        <f t="shared" si="90"/>
        <v>0</v>
      </c>
      <c r="N260" s="62">
        <f t="shared" si="90"/>
        <v>0</v>
      </c>
      <c r="O260" s="62">
        <f t="shared" si="90"/>
        <v>0</v>
      </c>
      <c r="P260" s="62">
        <f t="shared" si="90"/>
        <v>0</v>
      </c>
      <c r="Q260" s="62">
        <f t="shared" si="90"/>
        <v>0</v>
      </c>
      <c r="R260" s="62">
        <f t="shared" si="90"/>
        <v>0</v>
      </c>
      <c r="S260" s="62">
        <f t="shared" si="90"/>
        <v>0</v>
      </c>
      <c r="T260" s="62">
        <f t="shared" si="90"/>
        <v>0</v>
      </c>
      <c r="U260" s="62">
        <f t="shared" si="90"/>
        <v>0</v>
      </c>
      <c r="V260" s="62">
        <f t="shared" si="90"/>
        <v>0</v>
      </c>
      <c r="W260" s="62">
        <f t="shared" si="90"/>
        <v>0</v>
      </c>
      <c r="X260" s="62">
        <f t="shared" si="90"/>
        <v>0</v>
      </c>
      <c r="Y260" s="62">
        <f t="shared" si="90"/>
        <v>0</v>
      </c>
      <c r="Z260" s="62">
        <f t="shared" si="90"/>
        <v>0</v>
      </c>
      <c r="AA260" s="62">
        <f t="shared" si="90"/>
        <v>0</v>
      </c>
      <c r="AB260" s="62">
        <f t="shared" si="90"/>
        <v>0</v>
      </c>
      <c r="AC260" s="62">
        <f t="shared" si="90"/>
        <v>0</v>
      </c>
    </row>
    <row r="261" spans="1:29" x14ac:dyDescent="0.25">
      <c r="A261" s="30" t="str">
        <f>A241</f>
        <v>Annual Mileage</v>
      </c>
      <c r="B261" s="62">
        <f t="shared" ref="B261:AC261" si="91">$B241+($C241-$B241)*(1-Q241)</f>
        <v>120000</v>
      </c>
      <c r="C261" s="62">
        <f t="shared" si="91"/>
        <v>120000</v>
      </c>
      <c r="D261" s="62">
        <f t="shared" si="91"/>
        <v>120000</v>
      </c>
      <c r="E261" s="62">
        <f t="shared" si="91"/>
        <v>120000</v>
      </c>
      <c r="F261" s="62">
        <f t="shared" si="91"/>
        <v>120000</v>
      </c>
      <c r="G261" s="62">
        <f t="shared" si="91"/>
        <v>120000</v>
      </c>
      <c r="H261" s="62">
        <f t="shared" si="91"/>
        <v>120000</v>
      </c>
      <c r="I261" s="62">
        <f t="shared" si="91"/>
        <v>120000</v>
      </c>
      <c r="J261" s="62">
        <f t="shared" si="91"/>
        <v>120000</v>
      </c>
      <c r="K261" s="62">
        <f t="shared" si="91"/>
        <v>120000</v>
      </c>
      <c r="L261" s="62">
        <f t="shared" si="91"/>
        <v>120000</v>
      </c>
      <c r="M261" s="62">
        <f t="shared" si="91"/>
        <v>120000</v>
      </c>
      <c r="N261" s="62">
        <f t="shared" si="91"/>
        <v>120000</v>
      </c>
      <c r="O261" s="62">
        <f t="shared" si="91"/>
        <v>120000</v>
      </c>
      <c r="P261" s="62">
        <f t="shared" si="91"/>
        <v>120000</v>
      </c>
      <c r="Q261" s="62">
        <f t="shared" si="91"/>
        <v>120000</v>
      </c>
      <c r="R261" s="62">
        <f t="shared" si="91"/>
        <v>120000</v>
      </c>
      <c r="S261" s="62">
        <f t="shared" si="91"/>
        <v>120000</v>
      </c>
      <c r="T261" s="62">
        <f t="shared" si="91"/>
        <v>120000</v>
      </c>
      <c r="U261" s="62">
        <f t="shared" si="91"/>
        <v>120000</v>
      </c>
      <c r="V261" s="62">
        <f t="shared" si="91"/>
        <v>120000</v>
      </c>
      <c r="W261" s="62">
        <f t="shared" si="91"/>
        <v>120000</v>
      </c>
      <c r="X261" s="62">
        <f t="shared" si="91"/>
        <v>120000</v>
      </c>
      <c r="Y261" s="62">
        <f t="shared" si="91"/>
        <v>120000</v>
      </c>
      <c r="Z261" s="62">
        <f t="shared" si="91"/>
        <v>120000</v>
      </c>
      <c r="AA261" s="62">
        <f t="shared" si="91"/>
        <v>120000</v>
      </c>
      <c r="AB261" s="62">
        <f t="shared" si="91"/>
        <v>120000</v>
      </c>
      <c r="AC261" s="62">
        <f t="shared" si="91"/>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2">((1+C249)^C256)*C249/(((1+C249)^C256)-1)*(C245)</f>
        <v>1173400.7731841092</v>
      </c>
      <c r="D264" s="63">
        <f t="shared" si="92"/>
        <v>1173400.7731841092</v>
      </c>
      <c r="E264" s="63">
        <f t="shared" si="92"/>
        <v>1173400.7731841092</v>
      </c>
      <c r="F264" s="63">
        <f t="shared" si="92"/>
        <v>1173400.7731841092</v>
      </c>
      <c r="G264" s="63">
        <f t="shared" si="92"/>
        <v>1173400.7731841092</v>
      </c>
      <c r="H264" s="63">
        <f t="shared" si="92"/>
        <v>1173400.7731841092</v>
      </c>
      <c r="I264" s="63">
        <f t="shared" si="92"/>
        <v>1173400.7731841092</v>
      </c>
      <c r="J264" s="63">
        <f t="shared" si="92"/>
        <v>1173400.7731841092</v>
      </c>
      <c r="K264" s="63">
        <f t="shared" si="92"/>
        <v>1173400.7731841092</v>
      </c>
      <c r="L264" s="63">
        <f t="shared" si="92"/>
        <v>1173400.7731841092</v>
      </c>
      <c r="M264" s="63">
        <f t="shared" si="92"/>
        <v>1173400.7731841092</v>
      </c>
      <c r="N264" s="63">
        <f t="shared" si="92"/>
        <v>1173400.7731841092</v>
      </c>
      <c r="O264" s="63">
        <f t="shared" si="92"/>
        <v>1173400.7731841092</v>
      </c>
      <c r="P264" s="63">
        <f t="shared" si="92"/>
        <v>1173400.7731841092</v>
      </c>
      <c r="Q264" s="63">
        <f t="shared" si="92"/>
        <v>1173400.7731841092</v>
      </c>
      <c r="R264" s="63">
        <f t="shared" si="92"/>
        <v>1173400.7731841092</v>
      </c>
      <c r="S264" s="63">
        <f t="shared" si="92"/>
        <v>1173400.7731841092</v>
      </c>
      <c r="T264" s="63">
        <f t="shared" si="92"/>
        <v>1173400.7731841092</v>
      </c>
      <c r="U264" s="63">
        <f t="shared" si="92"/>
        <v>1173400.7731841092</v>
      </c>
      <c r="V264" s="63">
        <f t="shared" si="92"/>
        <v>1173400.7731841092</v>
      </c>
      <c r="W264" s="63">
        <f t="shared" si="92"/>
        <v>1173400.7731841092</v>
      </c>
      <c r="X264" s="63">
        <f t="shared" si="92"/>
        <v>1173400.7731841092</v>
      </c>
      <c r="Y264" s="63">
        <f t="shared" si="92"/>
        <v>1173400.7731841092</v>
      </c>
      <c r="Z264" s="63">
        <f t="shared" si="92"/>
        <v>1173400.7731841092</v>
      </c>
      <c r="AA264" s="63">
        <f t="shared" si="92"/>
        <v>1173400.7731841092</v>
      </c>
      <c r="AB264" s="63">
        <f t="shared" si="92"/>
        <v>1173400.7731841092</v>
      </c>
      <c r="AC264" s="63">
        <f t="shared" si="92"/>
        <v>1173400.7731841092</v>
      </c>
    </row>
    <row r="265" spans="1:29" x14ac:dyDescent="0.25">
      <c r="A265" s="30" t="str">
        <f>A246</f>
        <v>Residual value (vehicle)</v>
      </c>
      <c r="B265" s="62">
        <f>((1+B249)^B256)*B249/(((1+B249)^B256)-1)*(B246)</f>
        <v>-117211.22297816433</v>
      </c>
      <c r="C265" s="62">
        <f t="shared" ref="C265:AC265" si="93">((1+C249)^C256)*C249/(((1+C249)^C256)-1)*(C246)</f>
        <v>-117155.47750703427</v>
      </c>
      <c r="D265" s="62">
        <f t="shared" si="93"/>
        <v>-117075.67910674184</v>
      </c>
      <c r="E265" s="62">
        <f t="shared" si="93"/>
        <v>-116961.52188344915</v>
      </c>
      <c r="F265" s="62">
        <f t="shared" si="93"/>
        <v>-116798.36602132194</v>
      </c>
      <c r="G265" s="62">
        <f t="shared" si="93"/>
        <v>-116565.50734662244</v>
      </c>
      <c r="H265" s="62">
        <f t="shared" si="93"/>
        <v>-116233.85946736432</v>
      </c>
      <c r="I265" s="62">
        <f t="shared" si="93"/>
        <v>-115762.96702113429</v>
      </c>
      <c r="J265" s="62">
        <f t="shared" si="93"/>
        <v>-115097.40579826315</v>
      </c>
      <c r="K265" s="62">
        <f t="shared" si="93"/>
        <v>-114162.96984907117</v>
      </c>
      <c r="L265" s="62">
        <f t="shared" si="93"/>
        <v>-112863.76466894078</v>
      </c>
      <c r="M265" s="62">
        <f t="shared" si="93"/>
        <v>-111082.60297034449</v>
      </c>
      <c r="N265" s="62">
        <f t="shared" si="93"/>
        <v>-108688.91250900239</v>
      </c>
      <c r="O265" s="62">
        <f t="shared" si="93"/>
        <v>-105559.89664903973</v>
      </c>
      <c r="P265" s="62">
        <f t="shared" si="93"/>
        <v>-101619.43004574107</v>
      </c>
      <c r="Q265" s="62">
        <f t="shared" si="93"/>
        <v>-96890.983232894243</v>
      </c>
      <c r="R265" s="62">
        <f t="shared" si="93"/>
        <v>-91544.180152521745</v>
      </c>
      <c r="S265" s="62">
        <f t="shared" si="93"/>
        <v>-85899.582077953528</v>
      </c>
      <c r="T265" s="62">
        <f t="shared" si="93"/>
        <v>-80366.059135568226</v>
      </c>
      <c r="U265" s="62">
        <f t="shared" si="93"/>
        <v>-75328.779301543953</v>
      </c>
      <c r="V265" s="62">
        <f t="shared" si="93"/>
        <v>-71047.808765066002</v>
      </c>
      <c r="W265" s="62">
        <f t="shared" si="93"/>
        <v>-67619.518043732241</v>
      </c>
      <c r="X265" s="62">
        <f t="shared" si="93"/>
        <v>-65003.580064954105</v>
      </c>
      <c r="Y265" s="62">
        <f t="shared" si="93"/>
        <v>-63080.655852023017</v>
      </c>
      <c r="Z265" s="62">
        <f t="shared" si="93"/>
        <v>-61705.792858076449</v>
      </c>
      <c r="AA265" s="62">
        <f t="shared" si="93"/>
        <v>-60742.216938606354</v>
      </c>
      <c r="AB265" s="62">
        <f t="shared" si="93"/>
        <v>-60076.3267522479</v>
      </c>
      <c r="AC265" s="62">
        <f t="shared" si="93"/>
        <v>-59620.624915142049</v>
      </c>
    </row>
    <row r="266" spans="1:29" x14ac:dyDescent="0.25">
      <c r="A266" s="30" t="str">
        <f>A247</f>
        <v>Capex costumization</v>
      </c>
      <c r="B266" s="62">
        <f>((1+B249)^B257)*B249/(((1+B249)^B257)-1)*(B247)</f>
        <v>78226.718212273947</v>
      </c>
      <c r="C266" s="62">
        <f t="shared" ref="C266:AC266" si="94">((1+C249)^C257)*C249/(((1+C249)^C257)-1)*(C247)</f>
        <v>78226.718212273947</v>
      </c>
      <c r="D266" s="62">
        <f t="shared" si="94"/>
        <v>78226.718212273947</v>
      </c>
      <c r="E266" s="62">
        <f t="shared" si="94"/>
        <v>78226.718212273947</v>
      </c>
      <c r="F266" s="62">
        <f t="shared" si="94"/>
        <v>78226.718212273947</v>
      </c>
      <c r="G266" s="62">
        <f t="shared" si="94"/>
        <v>78226.718212273947</v>
      </c>
      <c r="H266" s="62">
        <f t="shared" si="94"/>
        <v>78226.718212273947</v>
      </c>
      <c r="I266" s="62">
        <f t="shared" si="94"/>
        <v>78226.718212273947</v>
      </c>
      <c r="J266" s="62">
        <f t="shared" si="94"/>
        <v>78226.718212273947</v>
      </c>
      <c r="K266" s="62">
        <f t="shared" si="94"/>
        <v>78226.718212273947</v>
      </c>
      <c r="L266" s="62">
        <f t="shared" si="94"/>
        <v>78226.718212273947</v>
      </c>
      <c r="M266" s="62">
        <f t="shared" si="94"/>
        <v>78226.718212273947</v>
      </c>
      <c r="N266" s="62">
        <f t="shared" si="94"/>
        <v>78226.718212273947</v>
      </c>
      <c r="O266" s="62">
        <f t="shared" si="94"/>
        <v>78226.718212273947</v>
      </c>
      <c r="P266" s="62">
        <f t="shared" si="94"/>
        <v>78226.718212273947</v>
      </c>
      <c r="Q266" s="62">
        <f t="shared" si="94"/>
        <v>78226.718212273947</v>
      </c>
      <c r="R266" s="62">
        <f t="shared" si="94"/>
        <v>78226.718212273947</v>
      </c>
      <c r="S266" s="62">
        <f t="shared" si="94"/>
        <v>78226.718212273947</v>
      </c>
      <c r="T266" s="62">
        <f t="shared" si="94"/>
        <v>78226.718212273947</v>
      </c>
      <c r="U266" s="62">
        <f t="shared" si="94"/>
        <v>78226.718212273947</v>
      </c>
      <c r="V266" s="62">
        <f t="shared" si="94"/>
        <v>78226.718212273947</v>
      </c>
      <c r="W266" s="62">
        <f t="shared" si="94"/>
        <v>78226.718212273947</v>
      </c>
      <c r="X266" s="62">
        <f t="shared" si="94"/>
        <v>78226.718212273947</v>
      </c>
      <c r="Y266" s="62">
        <f t="shared" si="94"/>
        <v>78226.718212273947</v>
      </c>
      <c r="Z266" s="62">
        <f t="shared" si="94"/>
        <v>78226.718212273947</v>
      </c>
      <c r="AA266" s="62">
        <f t="shared" si="94"/>
        <v>78226.718212273947</v>
      </c>
      <c r="AB266" s="62">
        <f t="shared" si="94"/>
        <v>78226.718212273947</v>
      </c>
      <c r="AC266" s="62">
        <f t="shared" si="94"/>
        <v>78226.718212273947</v>
      </c>
    </row>
    <row r="267" spans="1:29" x14ac:dyDescent="0.25">
      <c r="A267" s="30" t="str">
        <f>A248</f>
        <v>Residual value (costumization)</v>
      </c>
      <c r="B267" s="62">
        <f>((1+B249)^B257)*B249/(((1+B249)^B257)-1)*(B248)</f>
        <v>-7822.6718212273945</v>
      </c>
      <c r="C267" s="62">
        <f t="shared" ref="C267:AC267" si="95">((1+C249)^C257)*C249/(((1+C249)^C257)-1)*(C248)</f>
        <v>-7822.6718212273945</v>
      </c>
      <c r="D267" s="62">
        <f t="shared" si="95"/>
        <v>-7822.6718212273945</v>
      </c>
      <c r="E267" s="62">
        <f t="shared" si="95"/>
        <v>-7822.6718212273945</v>
      </c>
      <c r="F267" s="62">
        <f t="shared" si="95"/>
        <v>-7822.6718212273945</v>
      </c>
      <c r="G267" s="62">
        <f t="shared" si="95"/>
        <v>-7822.6718212273945</v>
      </c>
      <c r="H267" s="62">
        <f t="shared" si="95"/>
        <v>-7822.6718212273945</v>
      </c>
      <c r="I267" s="62">
        <f t="shared" si="95"/>
        <v>-7822.6718212273945</v>
      </c>
      <c r="J267" s="62">
        <f t="shared" si="95"/>
        <v>-7822.6718212273945</v>
      </c>
      <c r="K267" s="62">
        <f t="shared" si="95"/>
        <v>-7822.6718212273945</v>
      </c>
      <c r="L267" s="62">
        <f t="shared" si="95"/>
        <v>-7822.6718212273945</v>
      </c>
      <c r="M267" s="62">
        <f t="shared" si="95"/>
        <v>-7822.6718212273945</v>
      </c>
      <c r="N267" s="62">
        <f t="shared" si="95"/>
        <v>-7822.6718212273945</v>
      </c>
      <c r="O267" s="62">
        <f t="shared" si="95"/>
        <v>-7822.6718212273945</v>
      </c>
      <c r="P267" s="62">
        <f t="shared" si="95"/>
        <v>-7822.6718212273945</v>
      </c>
      <c r="Q267" s="62">
        <f t="shared" si="95"/>
        <v>-7822.6718212273945</v>
      </c>
      <c r="R267" s="62">
        <f t="shared" si="95"/>
        <v>-7822.6718212273945</v>
      </c>
      <c r="S267" s="62">
        <f t="shared" si="95"/>
        <v>-7822.6718212273945</v>
      </c>
      <c r="T267" s="62">
        <f t="shared" si="95"/>
        <v>-7822.6718212273945</v>
      </c>
      <c r="U267" s="62">
        <f t="shared" si="95"/>
        <v>-7822.6718212273945</v>
      </c>
      <c r="V267" s="62">
        <f t="shared" si="95"/>
        <v>-7822.6718212273945</v>
      </c>
      <c r="W267" s="62">
        <f t="shared" si="95"/>
        <v>-7822.6718212273945</v>
      </c>
      <c r="X267" s="62">
        <f t="shared" si="95"/>
        <v>-7822.6718212273945</v>
      </c>
      <c r="Y267" s="62">
        <f t="shared" si="95"/>
        <v>-7822.6718212273945</v>
      </c>
      <c r="Z267" s="62">
        <f t="shared" si="95"/>
        <v>-7822.6718212273945</v>
      </c>
      <c r="AA267" s="62">
        <f t="shared" si="95"/>
        <v>-7822.6718212273945</v>
      </c>
      <c r="AB267" s="62">
        <f t="shared" si="95"/>
        <v>-7822.6718212273945</v>
      </c>
      <c r="AC267" s="62">
        <f t="shared" si="95"/>
        <v>-7822.6718212273945</v>
      </c>
    </row>
    <row r="268" spans="1:29" x14ac:dyDescent="0.25">
      <c r="A268" s="30" t="str">
        <f t="shared" ref="A268:AC269" si="96">A250</f>
        <v>Opex fix (admin, crew, insurance)</v>
      </c>
      <c r="B268" s="62">
        <f t="shared" si="96"/>
        <v>1208235.294117647</v>
      </c>
      <c r="C268" s="62">
        <f t="shared" si="96"/>
        <v>1208235.294117647</v>
      </c>
      <c r="D268" s="62">
        <f t="shared" si="96"/>
        <v>1208235.294117647</v>
      </c>
      <c r="E268" s="62">
        <f t="shared" si="96"/>
        <v>1208235.294117647</v>
      </c>
      <c r="F268" s="62">
        <f t="shared" si="96"/>
        <v>1208235.294117647</v>
      </c>
      <c r="G268" s="62">
        <f t="shared" si="96"/>
        <v>1208235.294117647</v>
      </c>
      <c r="H268" s="62">
        <f t="shared" si="96"/>
        <v>1208235.294117647</v>
      </c>
      <c r="I268" s="62">
        <f t="shared" si="96"/>
        <v>1208235.294117647</v>
      </c>
      <c r="J268" s="62">
        <f t="shared" si="96"/>
        <v>1208235.294117647</v>
      </c>
      <c r="K268" s="62">
        <f t="shared" si="96"/>
        <v>1208235.294117647</v>
      </c>
      <c r="L268" s="62">
        <f t="shared" si="96"/>
        <v>1208235.294117647</v>
      </c>
      <c r="M268" s="62">
        <f t="shared" si="96"/>
        <v>1208235.294117647</v>
      </c>
      <c r="N268" s="62">
        <f t="shared" si="96"/>
        <v>1208235.294117647</v>
      </c>
      <c r="O268" s="62">
        <f t="shared" si="96"/>
        <v>1208235.294117647</v>
      </c>
      <c r="P268" s="62">
        <f t="shared" si="96"/>
        <v>1208235.294117647</v>
      </c>
      <c r="Q268" s="62">
        <f t="shared" si="96"/>
        <v>1208235.294117647</v>
      </c>
      <c r="R268" s="62">
        <f t="shared" si="96"/>
        <v>1208235.294117647</v>
      </c>
      <c r="S268" s="62">
        <f t="shared" si="96"/>
        <v>1208235.294117647</v>
      </c>
      <c r="T268" s="62">
        <f t="shared" si="96"/>
        <v>1208235.294117647</v>
      </c>
      <c r="U268" s="62">
        <f t="shared" si="96"/>
        <v>1208235.294117647</v>
      </c>
      <c r="V268" s="62">
        <f t="shared" si="96"/>
        <v>1208235.294117647</v>
      </c>
      <c r="W268" s="62">
        <f t="shared" si="96"/>
        <v>1208235.294117647</v>
      </c>
      <c r="X268" s="62">
        <f t="shared" si="96"/>
        <v>1208235.294117647</v>
      </c>
      <c r="Y268" s="62">
        <f t="shared" si="96"/>
        <v>1208235.294117647</v>
      </c>
      <c r="Z268" s="62">
        <f t="shared" si="96"/>
        <v>1208235.294117647</v>
      </c>
      <c r="AA268" s="62">
        <f t="shared" si="96"/>
        <v>1208235.294117647</v>
      </c>
      <c r="AB268" s="62">
        <f t="shared" si="96"/>
        <v>1208235.294117647</v>
      </c>
      <c r="AC268" s="62">
        <f t="shared" si="96"/>
        <v>1208235.294117647</v>
      </c>
    </row>
    <row r="269" spans="1:29" x14ac:dyDescent="0.25">
      <c r="A269" s="30" t="str">
        <f t="shared" si="96"/>
        <v>Opex maintenance &amp; repair</v>
      </c>
      <c r="B269" s="62">
        <f t="shared" si="96"/>
        <v>488235.29411764705</v>
      </c>
      <c r="C269" s="62">
        <f t="shared" si="96"/>
        <v>488235.29411764705</v>
      </c>
      <c r="D269" s="62">
        <f t="shared" si="96"/>
        <v>488235.29411764705</v>
      </c>
      <c r="E269" s="62">
        <f t="shared" si="96"/>
        <v>488235.29411764705</v>
      </c>
      <c r="F269" s="62">
        <f t="shared" si="96"/>
        <v>488235.29411764705</v>
      </c>
      <c r="G269" s="62">
        <f t="shared" si="96"/>
        <v>488235.29411764705</v>
      </c>
      <c r="H269" s="62">
        <f t="shared" si="96"/>
        <v>488235.29411764705</v>
      </c>
      <c r="I269" s="62">
        <f t="shared" si="96"/>
        <v>488235.29411764705</v>
      </c>
      <c r="J269" s="62">
        <f t="shared" si="96"/>
        <v>488235.29411764705</v>
      </c>
      <c r="K269" s="62">
        <f t="shared" si="96"/>
        <v>488235.29411764705</v>
      </c>
      <c r="L269" s="62">
        <f t="shared" si="96"/>
        <v>488235.29411764705</v>
      </c>
      <c r="M269" s="62">
        <f t="shared" si="96"/>
        <v>488235.29411764705</v>
      </c>
      <c r="N269" s="62">
        <f t="shared" si="96"/>
        <v>488235.29411764705</v>
      </c>
      <c r="O269" s="62">
        <f t="shared" si="96"/>
        <v>488235.29411764705</v>
      </c>
      <c r="P269" s="62">
        <f t="shared" si="96"/>
        <v>488235.29411764705</v>
      </c>
      <c r="Q269" s="62">
        <f t="shared" si="96"/>
        <v>488235.29411764705</v>
      </c>
      <c r="R269" s="62">
        <f t="shared" si="96"/>
        <v>488235.29411764705</v>
      </c>
      <c r="S269" s="62">
        <f t="shared" si="96"/>
        <v>488235.29411764705</v>
      </c>
      <c r="T269" s="62">
        <f t="shared" si="96"/>
        <v>488235.29411764705</v>
      </c>
      <c r="U269" s="62">
        <f t="shared" si="96"/>
        <v>488235.29411764705</v>
      </c>
      <c r="V269" s="62">
        <f t="shared" si="96"/>
        <v>488235.29411764705</v>
      </c>
      <c r="W269" s="62">
        <f t="shared" si="96"/>
        <v>488235.29411764705</v>
      </c>
      <c r="X269" s="62">
        <f t="shared" si="96"/>
        <v>488235.29411764705</v>
      </c>
      <c r="Y269" s="62">
        <f t="shared" si="96"/>
        <v>488235.29411764705</v>
      </c>
      <c r="Z269" s="62">
        <f t="shared" si="96"/>
        <v>488235.29411764705</v>
      </c>
      <c r="AA269" s="62">
        <f t="shared" si="96"/>
        <v>488235.29411764705</v>
      </c>
      <c r="AB269" s="62">
        <f t="shared" si="96"/>
        <v>488235.29411764705</v>
      </c>
      <c r="AC269" s="62">
        <f t="shared" si="96"/>
        <v>488235.29411764705</v>
      </c>
    </row>
    <row r="270" spans="1:29" x14ac:dyDescent="0.25">
      <c r="A270" s="30" t="str">
        <f>A252</f>
        <v>Opex var (mode-fees)</v>
      </c>
      <c r="B270" s="62">
        <f>B252*B261</f>
        <v>97536.682916217906</v>
      </c>
      <c r="C270" s="62">
        <f t="shared" ref="C270:AC270" si="97">C252*C261</f>
        <v>97536.682916217906</v>
      </c>
      <c r="D270" s="62">
        <f t="shared" si="97"/>
        <v>97536.682916217906</v>
      </c>
      <c r="E270" s="62">
        <f t="shared" si="97"/>
        <v>97536.682916217906</v>
      </c>
      <c r="F270" s="62">
        <f t="shared" si="97"/>
        <v>97536.682916217906</v>
      </c>
      <c r="G270" s="62">
        <f t="shared" si="97"/>
        <v>97536.682916217906</v>
      </c>
      <c r="H270" s="62">
        <f t="shared" si="97"/>
        <v>97536.682916217906</v>
      </c>
      <c r="I270" s="62">
        <f t="shared" si="97"/>
        <v>97536.682916217906</v>
      </c>
      <c r="J270" s="62">
        <f t="shared" si="97"/>
        <v>97536.682916217906</v>
      </c>
      <c r="K270" s="62">
        <f t="shared" si="97"/>
        <v>97536.682916217906</v>
      </c>
      <c r="L270" s="62">
        <f t="shared" si="97"/>
        <v>97536.682916217906</v>
      </c>
      <c r="M270" s="62">
        <f t="shared" si="97"/>
        <v>97536.682916217906</v>
      </c>
      <c r="N270" s="62">
        <f t="shared" si="97"/>
        <v>97536.682916217906</v>
      </c>
      <c r="O270" s="62">
        <f t="shared" si="97"/>
        <v>97536.682916217906</v>
      </c>
      <c r="P270" s="62">
        <f t="shared" si="97"/>
        <v>97536.682916217906</v>
      </c>
      <c r="Q270" s="62">
        <f t="shared" si="97"/>
        <v>97536.682916217906</v>
      </c>
      <c r="R270" s="62">
        <f t="shared" si="97"/>
        <v>97536.682916217906</v>
      </c>
      <c r="S270" s="62">
        <f t="shared" si="97"/>
        <v>97536.682916217906</v>
      </c>
      <c r="T270" s="62">
        <f t="shared" si="97"/>
        <v>97536.682916217906</v>
      </c>
      <c r="U270" s="62">
        <f t="shared" si="97"/>
        <v>97536.682916217906</v>
      </c>
      <c r="V270" s="62">
        <f t="shared" si="97"/>
        <v>97536.682916217906</v>
      </c>
      <c r="W270" s="62">
        <f t="shared" si="97"/>
        <v>97536.682916217906</v>
      </c>
      <c r="X270" s="62">
        <f t="shared" si="97"/>
        <v>97536.682916217906</v>
      </c>
      <c r="Y270" s="62">
        <f t="shared" si="97"/>
        <v>97536.682916217906</v>
      </c>
      <c r="Z270" s="62">
        <f t="shared" si="97"/>
        <v>97536.682916217906</v>
      </c>
      <c r="AA270" s="62">
        <f t="shared" si="97"/>
        <v>97536.682916217906</v>
      </c>
      <c r="AB270" s="62">
        <f t="shared" si="97"/>
        <v>97536.682916217906</v>
      </c>
      <c r="AC270" s="62">
        <f t="shared" si="97"/>
        <v>97536.682916217906</v>
      </c>
    </row>
    <row r="271" spans="1:29" x14ac:dyDescent="0.25">
      <c r="A271" s="30" t="str">
        <f>A254</f>
        <v>Fuel Cost</v>
      </c>
      <c r="B271" s="62">
        <f>B253*B254*B261</f>
        <v>2016601.6463383522</v>
      </c>
      <c r="C271" s="62">
        <f t="shared" ref="C271:AC271" si="98">C253*C254*C261</f>
        <v>1877396.0596961828</v>
      </c>
      <c r="D271" s="62">
        <f t="shared" si="98"/>
        <v>1738157.8929535446</v>
      </c>
      <c r="E271" s="62">
        <f t="shared" si="98"/>
        <v>1598879.1618886387</v>
      </c>
      <c r="F271" s="62">
        <f t="shared" si="98"/>
        <v>1459551.1447038057</v>
      </c>
      <c r="G271" s="62">
        <f t="shared" si="98"/>
        <v>1320165.2828480438</v>
      </c>
      <c r="H271" s="62">
        <f t="shared" si="98"/>
        <v>1180715.010052663</v>
      </c>
      <c r="I271" s="62">
        <f t="shared" si="98"/>
        <v>1041199.1125372326</v>
      </c>
      <c r="J271" s="62">
        <f t="shared" si="98"/>
        <v>1019284.9225651143</v>
      </c>
      <c r="K271" s="62">
        <f t="shared" si="98"/>
        <v>997072.28353884362</v>
      </c>
      <c r="L271" s="62">
        <f t="shared" si="98"/>
        <v>974465.93581482011</v>
      </c>
      <c r="M271" s="62">
        <f t="shared" si="98"/>
        <v>951355.36975263874</v>
      </c>
      <c r="N271" s="62">
        <f t="shared" si="98"/>
        <v>927626.7897224084</v>
      </c>
      <c r="O271" s="62">
        <f t="shared" si="98"/>
        <v>903188.87759881245</v>
      </c>
      <c r="P271" s="62">
        <f t="shared" si="98"/>
        <v>878014.90025594714</v>
      </c>
      <c r="Q271" s="62">
        <f t="shared" si="98"/>
        <v>852193.9035026104</v>
      </c>
      <c r="R271" s="62">
        <f t="shared" si="98"/>
        <v>825966.87856994744</v>
      </c>
      <c r="S271" s="62">
        <f t="shared" si="98"/>
        <v>799712.58759018383</v>
      </c>
      <c r="T271" s="62">
        <f t="shared" si="98"/>
        <v>773864.94731231174</v>
      </c>
      <c r="U271" s="62">
        <f t="shared" si="98"/>
        <v>748791.94002792984</v>
      </c>
      <c r="V271" s="62">
        <f t="shared" si="98"/>
        <v>724702.19376327144</v>
      </c>
      <c r="W271" s="62">
        <f t="shared" si="98"/>
        <v>701625.60706388811</v>
      </c>
      <c r="X271" s="62">
        <f t="shared" si="98"/>
        <v>679459.03194522974</v>
      </c>
      <c r="Y271" s="62">
        <f t="shared" si="98"/>
        <v>658034.5257560059</v>
      </c>
      <c r="Z271" s="62">
        <f t="shared" si="98"/>
        <v>637174.92248860688</v>
      </c>
      <c r="AA271" s="62">
        <f t="shared" si="98"/>
        <v>616724.92889380688</v>
      </c>
      <c r="AB271" s="62">
        <f t="shared" si="98"/>
        <v>596561.97616320604</v>
      </c>
      <c r="AC271" s="62">
        <f t="shared" si="98"/>
        <v>576595.44474159461</v>
      </c>
    </row>
    <row r="272" spans="1:29" ht="15.75" thickBot="1" x14ac:dyDescent="0.3">
      <c r="A272" s="59" t="str">
        <f>A235</f>
        <v>Emission Cost</v>
      </c>
      <c r="B272" s="62">
        <f>B255*B261</f>
        <v>0</v>
      </c>
      <c r="C272" s="62">
        <f t="shared" ref="C272:AC272" si="99">C255*C261</f>
        <v>0</v>
      </c>
      <c r="D272" s="62">
        <f t="shared" si="99"/>
        <v>0</v>
      </c>
      <c r="E272" s="62">
        <f t="shared" si="99"/>
        <v>0</v>
      </c>
      <c r="F272" s="62">
        <f t="shared" si="99"/>
        <v>0</v>
      </c>
      <c r="G272" s="62">
        <f t="shared" si="99"/>
        <v>0</v>
      </c>
      <c r="H272" s="62">
        <f t="shared" si="99"/>
        <v>0</v>
      </c>
      <c r="I272" s="62">
        <f t="shared" si="99"/>
        <v>0</v>
      </c>
      <c r="J272" s="62">
        <f t="shared" si="99"/>
        <v>0</v>
      </c>
      <c r="K272" s="62">
        <f t="shared" si="99"/>
        <v>0</v>
      </c>
      <c r="L272" s="62">
        <f t="shared" si="99"/>
        <v>0</v>
      </c>
      <c r="M272" s="62">
        <f t="shared" si="99"/>
        <v>0</v>
      </c>
      <c r="N272" s="62">
        <f t="shared" si="99"/>
        <v>0</v>
      </c>
      <c r="O272" s="62">
        <f t="shared" si="99"/>
        <v>0</v>
      </c>
      <c r="P272" s="62">
        <f t="shared" si="99"/>
        <v>0</v>
      </c>
      <c r="Q272" s="62">
        <f t="shared" si="99"/>
        <v>0</v>
      </c>
      <c r="R272" s="62">
        <f t="shared" si="99"/>
        <v>0</v>
      </c>
      <c r="S272" s="62">
        <f t="shared" si="99"/>
        <v>0</v>
      </c>
      <c r="T272" s="62">
        <f t="shared" si="99"/>
        <v>0</v>
      </c>
      <c r="U272" s="62">
        <f t="shared" si="99"/>
        <v>0</v>
      </c>
      <c r="V272" s="62">
        <f t="shared" si="99"/>
        <v>0</v>
      </c>
      <c r="W272" s="62">
        <f t="shared" si="99"/>
        <v>0</v>
      </c>
      <c r="X272" s="62">
        <f t="shared" si="99"/>
        <v>0</v>
      </c>
      <c r="Y272" s="62">
        <f t="shared" si="99"/>
        <v>0</v>
      </c>
      <c r="Z272" s="62">
        <f t="shared" si="99"/>
        <v>0</v>
      </c>
      <c r="AA272" s="62">
        <f t="shared" si="99"/>
        <v>0</v>
      </c>
      <c r="AB272" s="62">
        <f t="shared" si="99"/>
        <v>0</v>
      </c>
      <c r="AC272" s="62">
        <f t="shared" si="99"/>
        <v>0</v>
      </c>
    </row>
    <row r="273" spans="1:29" ht="15.75" thickBot="1" x14ac:dyDescent="0.3">
      <c r="A273" s="31" t="s">
        <v>209</v>
      </c>
      <c r="B273" s="64">
        <f>B264+B265+B266+B267+B268+B269+B270+B271+B272</f>
        <v>4937202.5140868565</v>
      </c>
      <c r="C273" s="64">
        <f t="shared" ref="C273:AC273" si="100">C264+C265+C266+C267+C268+C269+C270+C271+C272</f>
        <v>4798052.6729158163</v>
      </c>
      <c r="D273" s="64">
        <f t="shared" si="100"/>
        <v>4658894.3045734707</v>
      </c>
      <c r="E273" s="64">
        <f t="shared" si="100"/>
        <v>4519729.7307318579</v>
      </c>
      <c r="F273" s="64">
        <f t="shared" si="100"/>
        <v>4380564.8694091523</v>
      </c>
      <c r="G273" s="64">
        <f t="shared" si="100"/>
        <v>4241411.8662280897</v>
      </c>
      <c r="H273" s="64">
        <f t="shared" si="100"/>
        <v>4102293.2413119664</v>
      </c>
      <c r="I273" s="64">
        <f t="shared" si="100"/>
        <v>3963248.2362427665</v>
      </c>
      <c r="J273" s="64">
        <f t="shared" si="100"/>
        <v>3941999.6074935189</v>
      </c>
      <c r="K273" s="64">
        <f t="shared" si="100"/>
        <v>3920721.4044164405</v>
      </c>
      <c r="L273" s="64">
        <f t="shared" si="100"/>
        <v>3899414.2618725472</v>
      </c>
      <c r="M273" s="64">
        <f t="shared" si="100"/>
        <v>3878084.857508962</v>
      </c>
      <c r="N273" s="64">
        <f t="shared" si="100"/>
        <v>3856749.9679400744</v>
      </c>
      <c r="O273" s="64">
        <f t="shared" si="100"/>
        <v>3835441.0716764405</v>
      </c>
      <c r="P273" s="64">
        <f t="shared" si="100"/>
        <v>3814207.5609368738</v>
      </c>
      <c r="Q273" s="64">
        <f t="shared" si="100"/>
        <v>3793115.0109963841</v>
      </c>
      <c r="R273" s="64">
        <f t="shared" si="100"/>
        <v>3772234.7891440936</v>
      </c>
      <c r="S273" s="64">
        <f t="shared" si="100"/>
        <v>3751625.0962388981</v>
      </c>
      <c r="T273" s="64">
        <f t="shared" si="100"/>
        <v>3731310.9789034114</v>
      </c>
      <c r="U273" s="64">
        <f t="shared" si="100"/>
        <v>3711275.2514530537</v>
      </c>
      <c r="V273" s="64">
        <f t="shared" si="100"/>
        <v>3691466.4757248731</v>
      </c>
      <c r="W273" s="64">
        <f t="shared" si="100"/>
        <v>3671818.1797468239</v>
      </c>
      <c r="X273" s="64">
        <f t="shared" si="100"/>
        <v>3652267.5426069442</v>
      </c>
      <c r="Y273" s="64">
        <f t="shared" si="100"/>
        <v>3632765.9606306506</v>
      </c>
      <c r="Z273" s="64">
        <f t="shared" si="100"/>
        <v>3613281.2203571983</v>
      </c>
      <c r="AA273" s="64">
        <f t="shared" si="100"/>
        <v>3593794.8026818684</v>
      </c>
      <c r="AB273" s="64">
        <f t="shared" si="100"/>
        <v>3574297.7401376264</v>
      </c>
      <c r="AC273" s="64">
        <f t="shared" si="100"/>
        <v>3554786.9105531205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1">A264</f>
        <v>Capex vehicle</v>
      </c>
      <c r="B276" s="65">
        <f>((1+B249)^B256)*B249/(((1+B249)^B256)-1)*(B245)/B261</f>
        <v>9.7783397765342439</v>
      </c>
      <c r="C276" s="65">
        <f t="shared" ref="C276:AC276" si="102">((1+C249)^C256)*C249/(((1+C249)^C256)-1)*(C245)/C261</f>
        <v>9.7783397765342439</v>
      </c>
      <c r="D276" s="65">
        <f t="shared" si="102"/>
        <v>9.7783397765342439</v>
      </c>
      <c r="E276" s="65">
        <f t="shared" si="102"/>
        <v>9.7783397765342439</v>
      </c>
      <c r="F276" s="65">
        <f t="shared" si="102"/>
        <v>9.7783397765342439</v>
      </c>
      <c r="G276" s="65">
        <f t="shared" si="102"/>
        <v>9.7783397765342439</v>
      </c>
      <c r="H276" s="65">
        <f t="shared" si="102"/>
        <v>9.7783397765342439</v>
      </c>
      <c r="I276" s="65">
        <f t="shared" si="102"/>
        <v>9.7783397765342439</v>
      </c>
      <c r="J276" s="65">
        <f t="shared" si="102"/>
        <v>9.7783397765342439</v>
      </c>
      <c r="K276" s="65">
        <f t="shared" si="102"/>
        <v>9.7783397765342439</v>
      </c>
      <c r="L276" s="65">
        <f t="shared" si="102"/>
        <v>9.7783397765342439</v>
      </c>
      <c r="M276" s="65">
        <f t="shared" si="102"/>
        <v>9.7783397765342439</v>
      </c>
      <c r="N276" s="65">
        <f t="shared" si="102"/>
        <v>9.7783397765342439</v>
      </c>
      <c r="O276" s="65">
        <f t="shared" si="102"/>
        <v>9.7783397765342439</v>
      </c>
      <c r="P276" s="65">
        <f t="shared" si="102"/>
        <v>9.7783397765342439</v>
      </c>
      <c r="Q276" s="65">
        <f t="shared" si="102"/>
        <v>9.7783397765342439</v>
      </c>
      <c r="R276" s="65">
        <f t="shared" si="102"/>
        <v>9.7783397765342439</v>
      </c>
      <c r="S276" s="65">
        <f t="shared" si="102"/>
        <v>9.7783397765342439</v>
      </c>
      <c r="T276" s="65">
        <f t="shared" si="102"/>
        <v>9.7783397765342439</v>
      </c>
      <c r="U276" s="65">
        <f t="shared" si="102"/>
        <v>9.7783397765342439</v>
      </c>
      <c r="V276" s="65">
        <f t="shared" si="102"/>
        <v>9.7783397765342439</v>
      </c>
      <c r="W276" s="65">
        <f t="shared" si="102"/>
        <v>9.7783397765342439</v>
      </c>
      <c r="X276" s="65">
        <f t="shared" si="102"/>
        <v>9.7783397765342439</v>
      </c>
      <c r="Y276" s="65">
        <f t="shared" si="102"/>
        <v>9.7783397765342439</v>
      </c>
      <c r="Z276" s="65">
        <f t="shared" si="102"/>
        <v>9.7783397765342439</v>
      </c>
      <c r="AA276" s="65">
        <f t="shared" si="102"/>
        <v>9.7783397765342439</v>
      </c>
      <c r="AB276" s="65">
        <f t="shared" si="102"/>
        <v>9.7783397765342439</v>
      </c>
      <c r="AC276" s="65">
        <f t="shared" si="102"/>
        <v>9.7783397765342439</v>
      </c>
    </row>
    <row r="277" spans="1:29" x14ac:dyDescent="0.25">
      <c r="A277" s="30" t="str">
        <f t="shared" si="101"/>
        <v>Residual value (vehicle)</v>
      </c>
      <c r="B277" s="66">
        <f>((1+B249)^B256)*B249/(((1+B249)^B256)-1)*(B246)/B261</f>
        <v>-0.97676019148470272</v>
      </c>
      <c r="C277" s="66">
        <f t="shared" ref="C277:AC277" si="103">((1+C249)^C256)*C249/(((1+C249)^C256)-1)*(C246)/C261</f>
        <v>-0.97629564589195228</v>
      </c>
      <c r="D277" s="66">
        <f t="shared" si="103"/>
        <v>-0.97563065922284864</v>
      </c>
      <c r="E277" s="66">
        <f t="shared" si="103"/>
        <v>-0.97467934902874298</v>
      </c>
      <c r="F277" s="66">
        <f t="shared" si="103"/>
        <v>-0.97331971684434948</v>
      </c>
      <c r="G277" s="66">
        <f t="shared" si="103"/>
        <v>-0.97137922788852038</v>
      </c>
      <c r="H277" s="66">
        <f t="shared" si="103"/>
        <v>-0.96861549556136939</v>
      </c>
      <c r="I277" s="66">
        <f t="shared" si="103"/>
        <v>-0.96469139184278574</v>
      </c>
      <c r="J277" s="66">
        <f t="shared" si="103"/>
        <v>-0.95914504831885961</v>
      </c>
      <c r="K277" s="66">
        <f t="shared" si="103"/>
        <v>-0.95135808207559314</v>
      </c>
      <c r="L277" s="66">
        <f t="shared" si="103"/>
        <v>-0.94053137224117322</v>
      </c>
      <c r="M277" s="66">
        <f t="shared" si="103"/>
        <v>-0.92568835808620409</v>
      </c>
      <c r="N277" s="66">
        <f t="shared" si="103"/>
        <v>-0.90574093757501994</v>
      </c>
      <c r="O277" s="66">
        <f t="shared" si="103"/>
        <v>-0.87966580540866446</v>
      </c>
      <c r="P277" s="66">
        <f t="shared" si="103"/>
        <v>-0.84682858371450898</v>
      </c>
      <c r="Q277" s="66">
        <f t="shared" si="103"/>
        <v>-0.80742486027411864</v>
      </c>
      <c r="R277" s="66">
        <f t="shared" si="103"/>
        <v>-0.7628681679376812</v>
      </c>
      <c r="S277" s="66">
        <f t="shared" si="103"/>
        <v>-0.71582985064961269</v>
      </c>
      <c r="T277" s="66">
        <f t="shared" si="103"/>
        <v>-0.66971715946306853</v>
      </c>
      <c r="U277" s="66">
        <f t="shared" si="103"/>
        <v>-0.62773982751286628</v>
      </c>
      <c r="V277" s="66">
        <f t="shared" si="103"/>
        <v>-0.59206507304221667</v>
      </c>
      <c r="W277" s="66">
        <f t="shared" si="103"/>
        <v>-0.56349598369776865</v>
      </c>
      <c r="X277" s="66">
        <f t="shared" si="103"/>
        <v>-0.54169650054128426</v>
      </c>
      <c r="Y277" s="66">
        <f t="shared" si="103"/>
        <v>-0.52567213210019181</v>
      </c>
      <c r="Z277" s="66">
        <f t="shared" si="103"/>
        <v>-0.51421494048397043</v>
      </c>
      <c r="AA277" s="66">
        <f t="shared" si="103"/>
        <v>-0.50618514115505298</v>
      </c>
      <c r="AB277" s="66">
        <f t="shared" si="103"/>
        <v>-0.50063605626873253</v>
      </c>
      <c r="AC277" s="66">
        <f t="shared" si="103"/>
        <v>-0.49683854095951707</v>
      </c>
    </row>
    <row r="278" spans="1:29" x14ac:dyDescent="0.25">
      <c r="A278" s="30" t="str">
        <f t="shared" si="101"/>
        <v>Capex costumization</v>
      </c>
      <c r="B278" s="66">
        <f>((1+B249)^B257)*B249/(((1+B249)^B257)-1)*(B247)/B261</f>
        <v>0.65188931843561626</v>
      </c>
      <c r="C278" s="66">
        <f t="shared" ref="C278:AC278" si="104">((1+C249)^C257)*C249/(((1+C249)^C257)-1)*(C247)/C261</f>
        <v>0.65188931843561626</v>
      </c>
      <c r="D278" s="66">
        <f t="shared" si="104"/>
        <v>0.65188931843561626</v>
      </c>
      <c r="E278" s="66">
        <f t="shared" si="104"/>
        <v>0.65188931843561626</v>
      </c>
      <c r="F278" s="66">
        <f t="shared" si="104"/>
        <v>0.65188931843561626</v>
      </c>
      <c r="G278" s="66">
        <f t="shared" si="104"/>
        <v>0.65188931843561626</v>
      </c>
      <c r="H278" s="66">
        <f t="shared" si="104"/>
        <v>0.65188931843561626</v>
      </c>
      <c r="I278" s="66">
        <f t="shared" si="104"/>
        <v>0.65188931843561626</v>
      </c>
      <c r="J278" s="66">
        <f t="shared" si="104"/>
        <v>0.65188931843561626</v>
      </c>
      <c r="K278" s="66">
        <f t="shared" si="104"/>
        <v>0.65188931843561626</v>
      </c>
      <c r="L278" s="66">
        <f t="shared" si="104"/>
        <v>0.65188931843561626</v>
      </c>
      <c r="M278" s="66">
        <f t="shared" si="104"/>
        <v>0.65188931843561626</v>
      </c>
      <c r="N278" s="66">
        <f t="shared" si="104"/>
        <v>0.65188931843561626</v>
      </c>
      <c r="O278" s="66">
        <f t="shared" si="104"/>
        <v>0.65188931843561626</v>
      </c>
      <c r="P278" s="66">
        <f t="shared" si="104"/>
        <v>0.65188931843561626</v>
      </c>
      <c r="Q278" s="66">
        <f t="shared" si="104"/>
        <v>0.65188931843561626</v>
      </c>
      <c r="R278" s="66">
        <f t="shared" si="104"/>
        <v>0.65188931843561626</v>
      </c>
      <c r="S278" s="66">
        <f t="shared" si="104"/>
        <v>0.65188931843561626</v>
      </c>
      <c r="T278" s="66">
        <f t="shared" si="104"/>
        <v>0.65188931843561626</v>
      </c>
      <c r="U278" s="66">
        <f t="shared" si="104"/>
        <v>0.65188931843561626</v>
      </c>
      <c r="V278" s="66">
        <f t="shared" si="104"/>
        <v>0.65188931843561626</v>
      </c>
      <c r="W278" s="66">
        <f t="shared" si="104"/>
        <v>0.65188931843561626</v>
      </c>
      <c r="X278" s="66">
        <f t="shared" si="104"/>
        <v>0.65188931843561626</v>
      </c>
      <c r="Y278" s="66">
        <f t="shared" si="104"/>
        <v>0.65188931843561626</v>
      </c>
      <c r="Z278" s="66">
        <f t="shared" si="104"/>
        <v>0.65188931843561626</v>
      </c>
      <c r="AA278" s="66">
        <f t="shared" si="104"/>
        <v>0.65188931843561626</v>
      </c>
      <c r="AB278" s="66">
        <f t="shared" si="104"/>
        <v>0.65188931843561626</v>
      </c>
      <c r="AC278" s="66">
        <f t="shared" si="104"/>
        <v>0.65188931843561626</v>
      </c>
    </row>
    <row r="279" spans="1:29" x14ac:dyDescent="0.25">
      <c r="A279" s="30" t="str">
        <f t="shared" si="101"/>
        <v>Residual value (costumization)</v>
      </c>
      <c r="B279" s="66">
        <f>((1+B249)^B257)*B249/(((1+B249)^B257)-1)*(B248)/B261</f>
        <v>-6.5188931843561615E-2</v>
      </c>
      <c r="C279" s="66">
        <f t="shared" ref="C279:AC279" si="105">((1+C249)^C257)*C249/(((1+C249)^C257)-1)*(C248)/C261</f>
        <v>-6.5188931843561615E-2</v>
      </c>
      <c r="D279" s="66">
        <f t="shared" si="105"/>
        <v>-6.5188931843561615E-2</v>
      </c>
      <c r="E279" s="66">
        <f t="shared" si="105"/>
        <v>-6.5188931843561615E-2</v>
      </c>
      <c r="F279" s="66">
        <f t="shared" si="105"/>
        <v>-6.5188931843561615E-2</v>
      </c>
      <c r="G279" s="66">
        <f t="shared" si="105"/>
        <v>-6.5188931843561615E-2</v>
      </c>
      <c r="H279" s="66">
        <f t="shared" si="105"/>
        <v>-6.5188931843561615E-2</v>
      </c>
      <c r="I279" s="66">
        <f t="shared" si="105"/>
        <v>-6.5188931843561615E-2</v>
      </c>
      <c r="J279" s="66">
        <f t="shared" si="105"/>
        <v>-6.5188931843561615E-2</v>
      </c>
      <c r="K279" s="66">
        <f t="shared" si="105"/>
        <v>-6.5188931843561615E-2</v>
      </c>
      <c r="L279" s="66">
        <f t="shared" si="105"/>
        <v>-6.5188931843561615E-2</v>
      </c>
      <c r="M279" s="66">
        <f t="shared" si="105"/>
        <v>-6.5188931843561615E-2</v>
      </c>
      <c r="N279" s="66">
        <f t="shared" si="105"/>
        <v>-6.5188931843561615E-2</v>
      </c>
      <c r="O279" s="66">
        <f t="shared" si="105"/>
        <v>-6.5188931843561615E-2</v>
      </c>
      <c r="P279" s="66">
        <f t="shared" si="105"/>
        <v>-6.5188931843561615E-2</v>
      </c>
      <c r="Q279" s="66">
        <f t="shared" si="105"/>
        <v>-6.5188931843561615E-2</v>
      </c>
      <c r="R279" s="66">
        <f t="shared" si="105"/>
        <v>-6.5188931843561615E-2</v>
      </c>
      <c r="S279" s="66">
        <f t="shared" si="105"/>
        <v>-6.5188931843561615E-2</v>
      </c>
      <c r="T279" s="66">
        <f t="shared" si="105"/>
        <v>-6.5188931843561615E-2</v>
      </c>
      <c r="U279" s="66">
        <f t="shared" si="105"/>
        <v>-6.5188931843561615E-2</v>
      </c>
      <c r="V279" s="66">
        <f t="shared" si="105"/>
        <v>-6.5188931843561615E-2</v>
      </c>
      <c r="W279" s="66">
        <f t="shared" si="105"/>
        <v>-6.5188931843561615E-2</v>
      </c>
      <c r="X279" s="66">
        <f t="shared" si="105"/>
        <v>-6.5188931843561615E-2</v>
      </c>
      <c r="Y279" s="66">
        <f t="shared" si="105"/>
        <v>-6.5188931843561615E-2</v>
      </c>
      <c r="Z279" s="66">
        <f t="shared" si="105"/>
        <v>-6.5188931843561615E-2</v>
      </c>
      <c r="AA279" s="66">
        <f t="shared" si="105"/>
        <v>-6.5188931843561615E-2</v>
      </c>
      <c r="AB279" s="66">
        <f t="shared" si="105"/>
        <v>-6.5188931843561615E-2</v>
      </c>
      <c r="AC279" s="66">
        <f t="shared" si="105"/>
        <v>-6.5188931843561615E-2</v>
      </c>
    </row>
    <row r="280" spans="1:29" x14ac:dyDescent="0.25">
      <c r="A280" s="30" t="str">
        <f t="shared" si="101"/>
        <v>Opex fix (admin, crew, insurance)</v>
      </c>
      <c r="B280" s="66">
        <f>B250/B261</f>
        <v>10.068627450980392</v>
      </c>
      <c r="C280" s="66">
        <f t="shared" ref="C280:AC280" si="106">C250/C261</f>
        <v>10.068627450980392</v>
      </c>
      <c r="D280" s="66">
        <f t="shared" si="106"/>
        <v>10.068627450980392</v>
      </c>
      <c r="E280" s="66">
        <f t="shared" si="106"/>
        <v>10.068627450980392</v>
      </c>
      <c r="F280" s="66">
        <f t="shared" si="106"/>
        <v>10.068627450980392</v>
      </c>
      <c r="G280" s="66">
        <f t="shared" si="106"/>
        <v>10.068627450980392</v>
      </c>
      <c r="H280" s="66">
        <f t="shared" si="106"/>
        <v>10.068627450980392</v>
      </c>
      <c r="I280" s="66">
        <f t="shared" si="106"/>
        <v>10.068627450980392</v>
      </c>
      <c r="J280" s="66">
        <f t="shared" si="106"/>
        <v>10.068627450980392</v>
      </c>
      <c r="K280" s="66">
        <f t="shared" si="106"/>
        <v>10.068627450980392</v>
      </c>
      <c r="L280" s="66">
        <f t="shared" si="106"/>
        <v>10.068627450980392</v>
      </c>
      <c r="M280" s="66">
        <f t="shared" si="106"/>
        <v>10.068627450980392</v>
      </c>
      <c r="N280" s="66">
        <f t="shared" si="106"/>
        <v>10.068627450980392</v>
      </c>
      <c r="O280" s="66">
        <f t="shared" si="106"/>
        <v>10.068627450980392</v>
      </c>
      <c r="P280" s="66">
        <f t="shared" si="106"/>
        <v>10.068627450980392</v>
      </c>
      <c r="Q280" s="66">
        <f t="shared" si="106"/>
        <v>10.068627450980392</v>
      </c>
      <c r="R280" s="66">
        <f t="shared" si="106"/>
        <v>10.068627450980392</v>
      </c>
      <c r="S280" s="66">
        <f t="shared" si="106"/>
        <v>10.068627450980392</v>
      </c>
      <c r="T280" s="66">
        <f t="shared" si="106"/>
        <v>10.068627450980392</v>
      </c>
      <c r="U280" s="66">
        <f t="shared" si="106"/>
        <v>10.068627450980392</v>
      </c>
      <c r="V280" s="66">
        <f t="shared" si="106"/>
        <v>10.068627450980392</v>
      </c>
      <c r="W280" s="66">
        <f t="shared" si="106"/>
        <v>10.068627450980392</v>
      </c>
      <c r="X280" s="66">
        <f t="shared" si="106"/>
        <v>10.068627450980392</v>
      </c>
      <c r="Y280" s="66">
        <f t="shared" si="106"/>
        <v>10.068627450980392</v>
      </c>
      <c r="Z280" s="66">
        <f t="shared" si="106"/>
        <v>10.068627450980392</v>
      </c>
      <c r="AA280" s="66">
        <f t="shared" si="106"/>
        <v>10.068627450980392</v>
      </c>
      <c r="AB280" s="66">
        <f t="shared" si="106"/>
        <v>10.068627450980392</v>
      </c>
      <c r="AC280" s="66">
        <f t="shared" si="106"/>
        <v>10.068627450980392</v>
      </c>
    </row>
    <row r="281" spans="1:29" x14ac:dyDescent="0.25">
      <c r="A281" s="30" t="str">
        <f t="shared" si="101"/>
        <v>Opex maintenance &amp; repair</v>
      </c>
      <c r="B281" s="66">
        <f>B251/B261</f>
        <v>4.0686274509803919</v>
      </c>
      <c r="C281" s="66">
        <f t="shared" ref="C281:AC281" si="107">C251/C261</f>
        <v>4.0686274509803919</v>
      </c>
      <c r="D281" s="66">
        <f t="shared" si="107"/>
        <v>4.0686274509803919</v>
      </c>
      <c r="E281" s="66">
        <f t="shared" si="107"/>
        <v>4.0686274509803919</v>
      </c>
      <c r="F281" s="66">
        <f t="shared" si="107"/>
        <v>4.0686274509803919</v>
      </c>
      <c r="G281" s="66">
        <f t="shared" si="107"/>
        <v>4.0686274509803919</v>
      </c>
      <c r="H281" s="66">
        <f t="shared" si="107"/>
        <v>4.0686274509803919</v>
      </c>
      <c r="I281" s="66">
        <f t="shared" si="107"/>
        <v>4.0686274509803919</v>
      </c>
      <c r="J281" s="66">
        <f t="shared" si="107"/>
        <v>4.0686274509803919</v>
      </c>
      <c r="K281" s="66">
        <f t="shared" si="107"/>
        <v>4.0686274509803919</v>
      </c>
      <c r="L281" s="66">
        <f t="shared" si="107"/>
        <v>4.0686274509803919</v>
      </c>
      <c r="M281" s="66">
        <f t="shared" si="107"/>
        <v>4.0686274509803919</v>
      </c>
      <c r="N281" s="66">
        <f t="shared" si="107"/>
        <v>4.0686274509803919</v>
      </c>
      <c r="O281" s="66">
        <f t="shared" si="107"/>
        <v>4.0686274509803919</v>
      </c>
      <c r="P281" s="66">
        <f t="shared" si="107"/>
        <v>4.0686274509803919</v>
      </c>
      <c r="Q281" s="66">
        <f t="shared" si="107"/>
        <v>4.0686274509803919</v>
      </c>
      <c r="R281" s="66">
        <f t="shared" si="107"/>
        <v>4.0686274509803919</v>
      </c>
      <c r="S281" s="66">
        <f t="shared" si="107"/>
        <v>4.0686274509803919</v>
      </c>
      <c r="T281" s="66">
        <f t="shared" si="107"/>
        <v>4.0686274509803919</v>
      </c>
      <c r="U281" s="66">
        <f t="shared" si="107"/>
        <v>4.0686274509803919</v>
      </c>
      <c r="V281" s="66">
        <f t="shared" si="107"/>
        <v>4.0686274509803919</v>
      </c>
      <c r="W281" s="66">
        <f t="shared" si="107"/>
        <v>4.0686274509803919</v>
      </c>
      <c r="X281" s="66">
        <f t="shared" si="107"/>
        <v>4.0686274509803919</v>
      </c>
      <c r="Y281" s="66">
        <f t="shared" si="107"/>
        <v>4.0686274509803919</v>
      </c>
      <c r="Z281" s="66">
        <f t="shared" si="107"/>
        <v>4.0686274509803919</v>
      </c>
      <c r="AA281" s="66">
        <f t="shared" si="107"/>
        <v>4.0686274509803919</v>
      </c>
      <c r="AB281" s="66">
        <f t="shared" si="107"/>
        <v>4.0686274509803919</v>
      </c>
      <c r="AC281" s="66">
        <f t="shared" si="107"/>
        <v>4.0686274509803919</v>
      </c>
    </row>
    <row r="282" spans="1:29" x14ac:dyDescent="0.25">
      <c r="A282" s="30" t="str">
        <f t="shared" si="101"/>
        <v>Opex var (mode-fees)</v>
      </c>
      <c r="B282" s="66">
        <f>B252*B261/B261</f>
        <v>0.81280569096848254</v>
      </c>
      <c r="C282" s="66">
        <f t="shared" ref="C282:AC282" si="108">C252*C261/C261</f>
        <v>0.81280569096848254</v>
      </c>
      <c r="D282" s="66">
        <f t="shared" si="108"/>
        <v>0.81280569096848254</v>
      </c>
      <c r="E282" s="66">
        <f t="shared" si="108"/>
        <v>0.81280569096848254</v>
      </c>
      <c r="F282" s="66">
        <f t="shared" si="108"/>
        <v>0.81280569096848254</v>
      </c>
      <c r="G282" s="66">
        <f t="shared" si="108"/>
        <v>0.81280569096848254</v>
      </c>
      <c r="H282" s="66">
        <f t="shared" si="108"/>
        <v>0.81280569096848254</v>
      </c>
      <c r="I282" s="66">
        <f t="shared" si="108"/>
        <v>0.81280569096848254</v>
      </c>
      <c r="J282" s="66">
        <f t="shared" si="108"/>
        <v>0.81280569096848254</v>
      </c>
      <c r="K282" s="66">
        <f t="shared" si="108"/>
        <v>0.81280569096848254</v>
      </c>
      <c r="L282" s="66">
        <f t="shared" si="108"/>
        <v>0.81280569096848254</v>
      </c>
      <c r="M282" s="66">
        <f t="shared" si="108"/>
        <v>0.81280569096848254</v>
      </c>
      <c r="N282" s="66">
        <f t="shared" si="108"/>
        <v>0.81280569096848254</v>
      </c>
      <c r="O282" s="66">
        <f t="shared" si="108"/>
        <v>0.81280569096848254</v>
      </c>
      <c r="P282" s="66">
        <f t="shared" si="108"/>
        <v>0.81280569096848254</v>
      </c>
      <c r="Q282" s="66">
        <f t="shared" si="108"/>
        <v>0.81280569096848254</v>
      </c>
      <c r="R282" s="66">
        <f t="shared" si="108"/>
        <v>0.81280569096848254</v>
      </c>
      <c r="S282" s="66">
        <f t="shared" si="108"/>
        <v>0.81280569096848254</v>
      </c>
      <c r="T282" s="66">
        <f t="shared" si="108"/>
        <v>0.81280569096848254</v>
      </c>
      <c r="U282" s="66">
        <f t="shared" si="108"/>
        <v>0.81280569096848254</v>
      </c>
      <c r="V282" s="66">
        <f t="shared" si="108"/>
        <v>0.81280569096848254</v>
      </c>
      <c r="W282" s="66">
        <f t="shared" si="108"/>
        <v>0.81280569096848254</v>
      </c>
      <c r="X282" s="66">
        <f t="shared" si="108"/>
        <v>0.81280569096848254</v>
      </c>
      <c r="Y282" s="66">
        <f t="shared" si="108"/>
        <v>0.81280569096848254</v>
      </c>
      <c r="Z282" s="66">
        <f t="shared" si="108"/>
        <v>0.81280569096848254</v>
      </c>
      <c r="AA282" s="66">
        <f t="shared" si="108"/>
        <v>0.81280569096848254</v>
      </c>
      <c r="AB282" s="66">
        <f t="shared" si="108"/>
        <v>0.81280569096848254</v>
      </c>
      <c r="AC282" s="66">
        <f t="shared" si="108"/>
        <v>0.81280569096848254</v>
      </c>
    </row>
    <row r="283" spans="1:29" x14ac:dyDescent="0.25">
      <c r="A283" s="30" t="str">
        <f t="shared" si="101"/>
        <v>Fuel Cost</v>
      </c>
      <c r="B283" s="66">
        <f>B253*B254*B261/B261</f>
        <v>16.805013719486269</v>
      </c>
      <c r="C283" s="66">
        <f t="shared" ref="C283:AC283" si="109">C253*C254*C261/C261</f>
        <v>15.644967164134856</v>
      </c>
      <c r="D283" s="66">
        <f t="shared" si="109"/>
        <v>14.484649107946206</v>
      </c>
      <c r="E283" s="66">
        <f t="shared" si="109"/>
        <v>13.323993015738656</v>
      </c>
      <c r="F283" s="66">
        <f t="shared" si="109"/>
        <v>12.162926205865046</v>
      </c>
      <c r="G283" s="66">
        <f t="shared" si="109"/>
        <v>11.001377357067032</v>
      </c>
      <c r="H283" s="66">
        <f t="shared" si="109"/>
        <v>9.8392917504388588</v>
      </c>
      <c r="I283" s="66">
        <f t="shared" si="109"/>
        <v>8.6766592711436044</v>
      </c>
      <c r="J283" s="66">
        <f t="shared" si="109"/>
        <v>8.4940410213759527</v>
      </c>
      <c r="K283" s="66">
        <f t="shared" si="109"/>
        <v>8.3089356961570306</v>
      </c>
      <c r="L283" s="66">
        <f t="shared" si="109"/>
        <v>8.1205494651235011</v>
      </c>
      <c r="M283" s="66">
        <f t="shared" si="109"/>
        <v>7.9279614146053232</v>
      </c>
      <c r="N283" s="66">
        <f t="shared" si="109"/>
        <v>7.7302232476867365</v>
      </c>
      <c r="O283" s="66">
        <f t="shared" si="109"/>
        <v>7.5265739799901041</v>
      </c>
      <c r="P283" s="66">
        <f t="shared" si="109"/>
        <v>7.3167908354662261</v>
      </c>
      <c r="Q283" s="66">
        <f t="shared" si="109"/>
        <v>7.1016158625217534</v>
      </c>
      <c r="R283" s="66">
        <f t="shared" si="109"/>
        <v>6.8830573214162287</v>
      </c>
      <c r="S283" s="66">
        <f t="shared" si="109"/>
        <v>6.6642715632515319</v>
      </c>
      <c r="T283" s="66">
        <f t="shared" si="109"/>
        <v>6.4488745609359315</v>
      </c>
      <c r="U283" s="66">
        <f t="shared" si="109"/>
        <v>6.2399328335660824</v>
      </c>
      <c r="V283" s="66">
        <f t="shared" si="109"/>
        <v>6.0391849480272617</v>
      </c>
      <c r="W283" s="66">
        <f t="shared" si="109"/>
        <v>5.8468800588657341</v>
      </c>
      <c r="X283" s="66">
        <f t="shared" si="109"/>
        <v>5.6621585995435808</v>
      </c>
      <c r="Y283" s="66">
        <f t="shared" si="109"/>
        <v>5.4836210479667162</v>
      </c>
      <c r="Z283" s="66">
        <f t="shared" si="109"/>
        <v>5.3097910207383903</v>
      </c>
      <c r="AA283" s="66">
        <f t="shared" si="109"/>
        <v>5.1393744074483907</v>
      </c>
      <c r="AB283" s="66">
        <f t="shared" si="109"/>
        <v>4.9713498013600503</v>
      </c>
      <c r="AC283" s="66">
        <f t="shared" si="109"/>
        <v>4.8049620395132884</v>
      </c>
    </row>
    <row r="284" spans="1:29" ht="15.75" thickBot="1" x14ac:dyDescent="0.3">
      <c r="A284" s="59" t="str">
        <f>A235</f>
        <v>Emission Cost</v>
      </c>
      <c r="B284" s="66">
        <f>B255</f>
        <v>0</v>
      </c>
      <c r="C284" s="66">
        <f t="shared" ref="C284:AC284" si="110">C255</f>
        <v>0</v>
      </c>
      <c r="D284" s="66">
        <f t="shared" si="110"/>
        <v>0</v>
      </c>
      <c r="E284" s="66">
        <f t="shared" si="110"/>
        <v>0</v>
      </c>
      <c r="F284" s="66">
        <f t="shared" si="110"/>
        <v>0</v>
      </c>
      <c r="G284" s="66">
        <f t="shared" si="110"/>
        <v>0</v>
      </c>
      <c r="H284" s="66">
        <f t="shared" si="110"/>
        <v>0</v>
      </c>
      <c r="I284" s="66">
        <f t="shared" si="110"/>
        <v>0</v>
      </c>
      <c r="J284" s="66">
        <f t="shared" si="110"/>
        <v>0</v>
      </c>
      <c r="K284" s="66">
        <f t="shared" si="110"/>
        <v>0</v>
      </c>
      <c r="L284" s="66">
        <f t="shared" si="110"/>
        <v>0</v>
      </c>
      <c r="M284" s="66">
        <f t="shared" si="110"/>
        <v>0</v>
      </c>
      <c r="N284" s="66">
        <f t="shared" si="110"/>
        <v>0</v>
      </c>
      <c r="O284" s="66">
        <f t="shared" si="110"/>
        <v>0</v>
      </c>
      <c r="P284" s="66">
        <f t="shared" si="110"/>
        <v>0</v>
      </c>
      <c r="Q284" s="66">
        <f t="shared" si="110"/>
        <v>0</v>
      </c>
      <c r="R284" s="66">
        <f t="shared" si="110"/>
        <v>0</v>
      </c>
      <c r="S284" s="66">
        <f t="shared" si="110"/>
        <v>0</v>
      </c>
      <c r="T284" s="66">
        <f t="shared" si="110"/>
        <v>0</v>
      </c>
      <c r="U284" s="66">
        <f t="shared" si="110"/>
        <v>0</v>
      </c>
      <c r="V284" s="66">
        <f t="shared" si="110"/>
        <v>0</v>
      </c>
      <c r="W284" s="66">
        <f t="shared" si="110"/>
        <v>0</v>
      </c>
      <c r="X284" s="66">
        <f t="shared" si="110"/>
        <v>0</v>
      </c>
      <c r="Y284" s="66">
        <f t="shared" si="110"/>
        <v>0</v>
      </c>
      <c r="Z284" s="66">
        <f t="shared" si="110"/>
        <v>0</v>
      </c>
      <c r="AA284" s="66">
        <f t="shared" si="110"/>
        <v>0</v>
      </c>
      <c r="AB284" s="66">
        <f t="shared" si="110"/>
        <v>0</v>
      </c>
      <c r="AC284" s="66">
        <f t="shared" si="110"/>
        <v>0</v>
      </c>
    </row>
    <row r="285" spans="1:29" ht="15.75" thickBot="1" x14ac:dyDescent="0.3">
      <c r="A285" s="31" t="s">
        <v>63</v>
      </c>
      <c r="B285" s="76">
        <f>B276+B277+B278-B279+B280+B281+B282+B283+B284</f>
        <v>41.273732147744255</v>
      </c>
      <c r="C285" s="76">
        <f t="shared" ref="C285:AC285" si="111">C276+C277+C278-C279+C280+C281+C282+C283+C284</f>
        <v>40.11415013798559</v>
      </c>
      <c r="D285" s="76">
        <f t="shared" si="111"/>
        <v>38.95449706846604</v>
      </c>
      <c r="E285" s="76">
        <f t="shared" si="111"/>
        <v>37.794792286452605</v>
      </c>
      <c r="F285" s="76">
        <f t="shared" si="111"/>
        <v>36.635085108763384</v>
      </c>
      <c r="G285" s="76">
        <f t="shared" si="111"/>
        <v>35.475476748921196</v>
      </c>
      <c r="H285" s="76">
        <f t="shared" si="111"/>
        <v>34.316154874620182</v>
      </c>
      <c r="I285" s="76">
        <f t="shared" si="111"/>
        <v>33.157446499043509</v>
      </c>
      <c r="J285" s="76">
        <f t="shared" si="111"/>
        <v>32.980374592799777</v>
      </c>
      <c r="K285" s="76">
        <f t="shared" si="111"/>
        <v>32.803056233824123</v>
      </c>
      <c r="L285" s="76">
        <f t="shared" si="111"/>
        <v>32.625496712625015</v>
      </c>
      <c r="M285" s="76">
        <f t="shared" si="111"/>
        <v>32.447751676261802</v>
      </c>
      <c r="N285" s="76">
        <f t="shared" si="111"/>
        <v>32.269960929854406</v>
      </c>
      <c r="O285" s="76">
        <f t="shared" si="111"/>
        <v>32.092386794324128</v>
      </c>
      <c r="P285" s="76">
        <f t="shared" si="111"/>
        <v>31.915440871494408</v>
      </c>
      <c r="Q285" s="76">
        <f t="shared" si="111"/>
        <v>31.739669621990323</v>
      </c>
      <c r="R285" s="76">
        <f t="shared" si="111"/>
        <v>31.565667773221232</v>
      </c>
      <c r="S285" s="76">
        <f t="shared" si="111"/>
        <v>31.393920332344607</v>
      </c>
      <c r="T285" s="76">
        <f t="shared" si="111"/>
        <v>31.224636021215549</v>
      </c>
      <c r="U285" s="76">
        <f t="shared" si="111"/>
        <v>31.057671625795901</v>
      </c>
      <c r="V285" s="76">
        <f t="shared" si="111"/>
        <v>30.892598494727736</v>
      </c>
      <c r="W285" s="76">
        <f t="shared" si="111"/>
        <v>30.728862694910653</v>
      </c>
      <c r="X285" s="76">
        <f t="shared" si="111"/>
        <v>30.565940718744983</v>
      </c>
      <c r="Y285" s="76">
        <f t="shared" si="111"/>
        <v>30.403427535609211</v>
      </c>
      <c r="Z285" s="76">
        <f t="shared" si="111"/>
        <v>30.241054699997111</v>
      </c>
      <c r="AA285" s="76">
        <f t="shared" si="111"/>
        <v>30.078667886036026</v>
      </c>
      <c r="AB285" s="76">
        <f t="shared" si="111"/>
        <v>29.916192364834004</v>
      </c>
      <c r="AC285" s="76">
        <f t="shared" si="111"/>
        <v>29.75360211829646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2">A264</f>
        <v>Capex vehicle</v>
      </c>
      <c r="B288" s="65">
        <f>((1+B249)^B256)*B249/(((1+B249)^B256)-1)*(B245)/B261/(B258)</f>
        <v>1.0347449498978036E-3</v>
      </c>
      <c r="C288" s="65">
        <f t="shared" ref="C288:AC288" si="113">((1+C249)^C256)*C249/(((1+C249)^C256)-1)*(C245)/C261/(C258)</f>
        <v>1.0347449498978036E-3</v>
      </c>
      <c r="D288" s="65">
        <f t="shared" si="113"/>
        <v>1.0347449498978036E-3</v>
      </c>
      <c r="E288" s="65">
        <f t="shared" si="113"/>
        <v>1.0347449498978036E-3</v>
      </c>
      <c r="F288" s="65">
        <f t="shared" si="113"/>
        <v>1.0347449498978036E-3</v>
      </c>
      <c r="G288" s="65">
        <f t="shared" si="113"/>
        <v>1.0347449498978036E-3</v>
      </c>
      <c r="H288" s="65">
        <f t="shared" si="113"/>
        <v>1.0347449498978036E-3</v>
      </c>
      <c r="I288" s="65">
        <f t="shared" si="113"/>
        <v>1.0347449498978036E-3</v>
      </c>
      <c r="J288" s="65">
        <f t="shared" si="113"/>
        <v>1.0347449498978036E-3</v>
      </c>
      <c r="K288" s="65">
        <f t="shared" si="113"/>
        <v>1.0347449498978036E-3</v>
      </c>
      <c r="L288" s="65">
        <f t="shared" si="113"/>
        <v>1.0347449498978036E-3</v>
      </c>
      <c r="M288" s="65">
        <f t="shared" si="113"/>
        <v>1.0347449498978036E-3</v>
      </c>
      <c r="N288" s="65">
        <f t="shared" si="113"/>
        <v>1.0347449498978036E-3</v>
      </c>
      <c r="O288" s="65">
        <f t="shared" si="113"/>
        <v>1.0347449498978036E-3</v>
      </c>
      <c r="P288" s="65">
        <f t="shared" si="113"/>
        <v>1.0347449498978036E-3</v>
      </c>
      <c r="Q288" s="65">
        <f t="shared" si="113"/>
        <v>1.0347449498978036E-3</v>
      </c>
      <c r="R288" s="65">
        <f t="shared" si="113"/>
        <v>1.0347449498978036E-3</v>
      </c>
      <c r="S288" s="65">
        <f t="shared" si="113"/>
        <v>1.0347449498978036E-3</v>
      </c>
      <c r="T288" s="65">
        <f t="shared" si="113"/>
        <v>1.0347449498978036E-3</v>
      </c>
      <c r="U288" s="65">
        <f t="shared" si="113"/>
        <v>1.0347449498978036E-3</v>
      </c>
      <c r="V288" s="65">
        <f t="shared" si="113"/>
        <v>1.0347449498978036E-3</v>
      </c>
      <c r="W288" s="65">
        <f t="shared" si="113"/>
        <v>1.0347449498978036E-3</v>
      </c>
      <c r="X288" s="65">
        <f t="shared" si="113"/>
        <v>1.0347449498978036E-3</v>
      </c>
      <c r="Y288" s="65">
        <f t="shared" si="113"/>
        <v>1.0347449498978036E-3</v>
      </c>
      <c r="Z288" s="65">
        <f t="shared" si="113"/>
        <v>1.0347449498978036E-3</v>
      </c>
      <c r="AA288" s="65">
        <f t="shared" si="113"/>
        <v>1.0347449498978036E-3</v>
      </c>
      <c r="AB288" s="65">
        <f t="shared" si="113"/>
        <v>1.0347449498978036E-3</v>
      </c>
      <c r="AC288" s="65">
        <f t="shared" si="113"/>
        <v>1.0347449498978036E-3</v>
      </c>
    </row>
    <row r="289" spans="1:29" x14ac:dyDescent="0.25">
      <c r="A289" s="30" t="str">
        <f t="shared" si="112"/>
        <v>Residual value (vehicle)</v>
      </c>
      <c r="B289" s="68">
        <f>((1+B249)^B256)*B249/(((1+B249)^B256)-1)*(B246)/B261/(B258)</f>
        <v>-1.0336086682377807E-4</v>
      </c>
      <c r="C289" s="68">
        <f t="shared" ref="C289:AC289" si="114">((1+C249)^C256)*C249/(((1+C249)^C256)-1)*(C246)/C261/(C258)</f>
        <v>-1.0331170855999495E-4</v>
      </c>
      <c r="D289" s="68">
        <f t="shared" si="114"/>
        <v>-1.0324133960030145E-4</v>
      </c>
      <c r="E289" s="68">
        <f t="shared" si="114"/>
        <v>-1.0314067185489343E-4</v>
      </c>
      <c r="F289" s="68">
        <f t="shared" si="114"/>
        <v>-1.0299679543326449E-4</v>
      </c>
      <c r="G289" s="68">
        <f t="shared" si="114"/>
        <v>-1.0279145268661591E-4</v>
      </c>
      <c r="H289" s="68">
        <f t="shared" si="114"/>
        <v>-1.0249899423929835E-4</v>
      </c>
      <c r="I289" s="68">
        <f t="shared" si="114"/>
        <v>-1.0208374516854875E-4</v>
      </c>
      <c r="J289" s="68">
        <f t="shared" si="114"/>
        <v>-1.0149683050993223E-4</v>
      </c>
      <c r="K289" s="68">
        <f t="shared" si="114"/>
        <v>-1.0067281291805218E-4</v>
      </c>
      <c r="L289" s="68">
        <f t="shared" si="114"/>
        <v>-9.9527129337690295E-5</v>
      </c>
      <c r="M289" s="68">
        <f t="shared" si="114"/>
        <v>-9.7956440009122124E-5</v>
      </c>
      <c r="N289" s="68">
        <f t="shared" si="114"/>
        <v>-9.5845601859790468E-5</v>
      </c>
      <c r="O289" s="68">
        <f t="shared" si="114"/>
        <v>-9.3086328614673487E-5</v>
      </c>
      <c r="P289" s="68">
        <f t="shared" si="114"/>
        <v>-8.9611490340159677E-5</v>
      </c>
      <c r="Q289" s="68">
        <f t="shared" si="114"/>
        <v>-8.5441784155991385E-5</v>
      </c>
      <c r="R289" s="68">
        <f t="shared" si="114"/>
        <v>-8.0726790257955685E-5</v>
      </c>
      <c r="S289" s="68">
        <f t="shared" si="114"/>
        <v>-7.5749190544932557E-5</v>
      </c>
      <c r="T289" s="68">
        <f t="shared" si="114"/>
        <v>-7.086954068392259E-5</v>
      </c>
      <c r="U289" s="68">
        <f t="shared" si="114"/>
        <v>-6.6427494974906487E-5</v>
      </c>
      <c r="V289" s="68">
        <f t="shared" si="114"/>
        <v>-6.2652388681716054E-5</v>
      </c>
      <c r="W289" s="68">
        <f t="shared" si="114"/>
        <v>-5.9629204624102501E-5</v>
      </c>
      <c r="X289" s="68">
        <f t="shared" si="114"/>
        <v>-5.7322381009659713E-5</v>
      </c>
      <c r="Y289" s="68">
        <f t="shared" si="114"/>
        <v>-5.5626680645522941E-5</v>
      </c>
      <c r="Z289" s="68">
        <f t="shared" si="114"/>
        <v>-5.4414279416293167E-5</v>
      </c>
      <c r="AA289" s="68">
        <f t="shared" si="114"/>
        <v>-5.3564565201592909E-5</v>
      </c>
      <c r="AB289" s="68">
        <f t="shared" si="114"/>
        <v>-5.2977360451717727E-5</v>
      </c>
      <c r="AC289" s="68">
        <f t="shared" si="114"/>
        <v>-5.2575506979843073E-5</v>
      </c>
    </row>
    <row r="290" spans="1:29" x14ac:dyDescent="0.25">
      <c r="A290" s="30" t="str">
        <f t="shared" si="112"/>
        <v>Capex costumization</v>
      </c>
      <c r="B290" s="66">
        <f>((1+B249)^B257)*B249/(((1+B249)^B257)-1)*(B247)/B261/(B258)</f>
        <v>6.8982996659853576E-5</v>
      </c>
      <c r="C290" s="66">
        <f t="shared" ref="C290:AC290" si="115">((1+C249)^C257)*C249/(((1+C249)^C257)-1)*(C247)/C261/(C258)</f>
        <v>6.8982996659853576E-5</v>
      </c>
      <c r="D290" s="66">
        <f t="shared" si="115"/>
        <v>6.8982996659853576E-5</v>
      </c>
      <c r="E290" s="66">
        <f t="shared" si="115"/>
        <v>6.8982996659853576E-5</v>
      </c>
      <c r="F290" s="66">
        <f t="shared" si="115"/>
        <v>6.8982996659853576E-5</v>
      </c>
      <c r="G290" s="66">
        <f t="shared" si="115"/>
        <v>6.8982996659853576E-5</v>
      </c>
      <c r="H290" s="66">
        <f t="shared" si="115"/>
        <v>6.8982996659853576E-5</v>
      </c>
      <c r="I290" s="66">
        <f t="shared" si="115"/>
        <v>6.8982996659853576E-5</v>
      </c>
      <c r="J290" s="66">
        <f t="shared" si="115"/>
        <v>6.8982996659853576E-5</v>
      </c>
      <c r="K290" s="66">
        <f t="shared" si="115"/>
        <v>6.8982996659853576E-5</v>
      </c>
      <c r="L290" s="66">
        <f t="shared" si="115"/>
        <v>6.8982996659853576E-5</v>
      </c>
      <c r="M290" s="66">
        <f t="shared" si="115"/>
        <v>6.8982996659853576E-5</v>
      </c>
      <c r="N290" s="66">
        <f t="shared" si="115"/>
        <v>6.8982996659853576E-5</v>
      </c>
      <c r="O290" s="66">
        <f t="shared" si="115"/>
        <v>6.8982996659853576E-5</v>
      </c>
      <c r="P290" s="66">
        <f t="shared" si="115"/>
        <v>6.8982996659853576E-5</v>
      </c>
      <c r="Q290" s="66">
        <f t="shared" si="115"/>
        <v>6.8982996659853576E-5</v>
      </c>
      <c r="R290" s="66">
        <f t="shared" si="115"/>
        <v>6.8982996659853576E-5</v>
      </c>
      <c r="S290" s="66">
        <f t="shared" si="115"/>
        <v>6.8982996659853576E-5</v>
      </c>
      <c r="T290" s="66">
        <f t="shared" si="115"/>
        <v>6.8982996659853576E-5</v>
      </c>
      <c r="U290" s="66">
        <f t="shared" si="115"/>
        <v>6.8982996659853576E-5</v>
      </c>
      <c r="V290" s="66">
        <f t="shared" si="115"/>
        <v>6.8982996659853576E-5</v>
      </c>
      <c r="W290" s="66">
        <f t="shared" si="115"/>
        <v>6.8982996659853576E-5</v>
      </c>
      <c r="X290" s="66">
        <f t="shared" si="115"/>
        <v>6.8982996659853576E-5</v>
      </c>
      <c r="Y290" s="66">
        <f t="shared" si="115"/>
        <v>6.8982996659853576E-5</v>
      </c>
      <c r="Z290" s="66">
        <f t="shared" si="115"/>
        <v>6.8982996659853576E-5</v>
      </c>
      <c r="AA290" s="66">
        <f t="shared" si="115"/>
        <v>6.8982996659853576E-5</v>
      </c>
      <c r="AB290" s="66">
        <f t="shared" si="115"/>
        <v>6.8982996659853576E-5</v>
      </c>
      <c r="AC290" s="66">
        <f t="shared" si="115"/>
        <v>6.8982996659853576E-5</v>
      </c>
    </row>
    <row r="291" spans="1:29" x14ac:dyDescent="0.25">
      <c r="A291" s="30" t="str">
        <f t="shared" si="112"/>
        <v>Residual value (costumization)</v>
      </c>
      <c r="B291" s="69">
        <f>((1+B249)^B257)*B249/(((1+B249)^B257)-1)*(B248)/B261/(B258)</f>
        <v>-6.8982996659853564E-6</v>
      </c>
      <c r="C291" s="69">
        <f t="shared" ref="C291:AC291" si="116">((1+C249)^C257)*C249/(((1+C249)^C257)-1)*(C248)/C261/(C258)</f>
        <v>-6.8982996659853564E-6</v>
      </c>
      <c r="D291" s="69">
        <f t="shared" si="116"/>
        <v>-6.8982996659853564E-6</v>
      </c>
      <c r="E291" s="69">
        <f t="shared" si="116"/>
        <v>-6.8982996659853564E-6</v>
      </c>
      <c r="F291" s="69">
        <f t="shared" si="116"/>
        <v>-6.8982996659853564E-6</v>
      </c>
      <c r="G291" s="69">
        <f t="shared" si="116"/>
        <v>-6.8982996659853564E-6</v>
      </c>
      <c r="H291" s="69">
        <f t="shared" si="116"/>
        <v>-6.8982996659853564E-6</v>
      </c>
      <c r="I291" s="69">
        <f t="shared" si="116"/>
        <v>-6.8982996659853564E-6</v>
      </c>
      <c r="J291" s="69">
        <f t="shared" si="116"/>
        <v>-6.8982996659853564E-6</v>
      </c>
      <c r="K291" s="69">
        <f t="shared" si="116"/>
        <v>-6.8982996659853564E-6</v>
      </c>
      <c r="L291" s="69">
        <f t="shared" si="116"/>
        <v>-6.8982996659853564E-6</v>
      </c>
      <c r="M291" s="69">
        <f t="shared" si="116"/>
        <v>-6.8982996659853564E-6</v>
      </c>
      <c r="N291" s="69">
        <f t="shared" si="116"/>
        <v>-6.8982996659853564E-6</v>
      </c>
      <c r="O291" s="69">
        <f t="shared" si="116"/>
        <v>-6.8982996659853564E-6</v>
      </c>
      <c r="P291" s="69">
        <f t="shared" si="116"/>
        <v>-6.8982996659853564E-6</v>
      </c>
      <c r="Q291" s="69">
        <f t="shared" si="116"/>
        <v>-6.8982996659853564E-6</v>
      </c>
      <c r="R291" s="69">
        <f t="shared" si="116"/>
        <v>-6.8982996659853564E-6</v>
      </c>
      <c r="S291" s="69">
        <f t="shared" si="116"/>
        <v>-6.8982996659853564E-6</v>
      </c>
      <c r="T291" s="69">
        <f t="shared" si="116"/>
        <v>-6.8982996659853564E-6</v>
      </c>
      <c r="U291" s="69">
        <f t="shared" si="116"/>
        <v>-6.8982996659853564E-6</v>
      </c>
      <c r="V291" s="69">
        <f t="shared" si="116"/>
        <v>-6.8982996659853564E-6</v>
      </c>
      <c r="W291" s="69">
        <f t="shared" si="116"/>
        <v>-6.8982996659853564E-6</v>
      </c>
      <c r="X291" s="69">
        <f t="shared" si="116"/>
        <v>-6.8982996659853564E-6</v>
      </c>
      <c r="Y291" s="69">
        <f t="shared" si="116"/>
        <v>-6.8982996659853564E-6</v>
      </c>
      <c r="Z291" s="69">
        <f t="shared" si="116"/>
        <v>-6.8982996659853564E-6</v>
      </c>
      <c r="AA291" s="69">
        <f t="shared" si="116"/>
        <v>-6.8982996659853564E-6</v>
      </c>
      <c r="AB291" s="69">
        <f t="shared" si="116"/>
        <v>-6.8982996659853564E-6</v>
      </c>
      <c r="AC291" s="69">
        <f t="shared" si="116"/>
        <v>-6.8982996659853564E-6</v>
      </c>
    </row>
    <row r="292" spans="1:29" x14ac:dyDescent="0.25">
      <c r="A292" s="30" t="str">
        <f t="shared" si="112"/>
        <v>Opex fix (admin, crew, insurance)</v>
      </c>
      <c r="B292" s="66">
        <f>B250/B261/(B258)</f>
        <v>1.0654632223259673E-3</v>
      </c>
      <c r="C292" s="66">
        <f t="shared" ref="C292:AC292" si="117">C250/C261/(C258)</f>
        <v>1.0654632223259673E-3</v>
      </c>
      <c r="D292" s="66">
        <f t="shared" si="117"/>
        <v>1.0654632223259673E-3</v>
      </c>
      <c r="E292" s="66">
        <f t="shared" si="117"/>
        <v>1.0654632223259673E-3</v>
      </c>
      <c r="F292" s="66">
        <f t="shared" si="117"/>
        <v>1.0654632223259673E-3</v>
      </c>
      <c r="G292" s="66">
        <f t="shared" si="117"/>
        <v>1.0654632223259673E-3</v>
      </c>
      <c r="H292" s="66">
        <f t="shared" si="117"/>
        <v>1.0654632223259673E-3</v>
      </c>
      <c r="I292" s="66">
        <f t="shared" si="117"/>
        <v>1.0654632223259673E-3</v>
      </c>
      <c r="J292" s="66">
        <f t="shared" si="117"/>
        <v>1.0654632223259673E-3</v>
      </c>
      <c r="K292" s="66">
        <f t="shared" si="117"/>
        <v>1.0654632223259673E-3</v>
      </c>
      <c r="L292" s="66">
        <f t="shared" si="117"/>
        <v>1.0654632223259673E-3</v>
      </c>
      <c r="M292" s="66">
        <f t="shared" si="117"/>
        <v>1.0654632223259673E-3</v>
      </c>
      <c r="N292" s="66">
        <f t="shared" si="117"/>
        <v>1.0654632223259673E-3</v>
      </c>
      <c r="O292" s="66">
        <f t="shared" si="117"/>
        <v>1.0654632223259673E-3</v>
      </c>
      <c r="P292" s="66">
        <f t="shared" si="117"/>
        <v>1.0654632223259673E-3</v>
      </c>
      <c r="Q292" s="66">
        <f t="shared" si="117"/>
        <v>1.0654632223259673E-3</v>
      </c>
      <c r="R292" s="66">
        <f t="shared" si="117"/>
        <v>1.0654632223259673E-3</v>
      </c>
      <c r="S292" s="66">
        <f t="shared" si="117"/>
        <v>1.0654632223259673E-3</v>
      </c>
      <c r="T292" s="66">
        <f t="shared" si="117"/>
        <v>1.0654632223259673E-3</v>
      </c>
      <c r="U292" s="66">
        <f t="shared" si="117"/>
        <v>1.0654632223259673E-3</v>
      </c>
      <c r="V292" s="66">
        <f t="shared" si="117"/>
        <v>1.0654632223259673E-3</v>
      </c>
      <c r="W292" s="66">
        <f t="shared" si="117"/>
        <v>1.0654632223259673E-3</v>
      </c>
      <c r="X292" s="66">
        <f t="shared" si="117"/>
        <v>1.0654632223259673E-3</v>
      </c>
      <c r="Y292" s="66">
        <f t="shared" si="117"/>
        <v>1.0654632223259673E-3</v>
      </c>
      <c r="Z292" s="66">
        <f t="shared" si="117"/>
        <v>1.0654632223259673E-3</v>
      </c>
      <c r="AA292" s="66">
        <f t="shared" si="117"/>
        <v>1.0654632223259673E-3</v>
      </c>
      <c r="AB292" s="66">
        <f t="shared" si="117"/>
        <v>1.0654632223259673E-3</v>
      </c>
      <c r="AC292" s="66">
        <f t="shared" si="117"/>
        <v>1.0654632223259673E-3</v>
      </c>
    </row>
    <row r="293" spans="1:29" x14ac:dyDescent="0.25">
      <c r="A293" s="30" t="str">
        <f t="shared" si="112"/>
        <v>Opex maintenance &amp; repair</v>
      </c>
      <c r="B293" s="66">
        <f>B251/B261/(B258)</f>
        <v>4.305425874053325E-4</v>
      </c>
      <c r="C293" s="66">
        <f t="shared" ref="C293:AC293" si="118">C251/C261/(C258)</f>
        <v>4.305425874053325E-4</v>
      </c>
      <c r="D293" s="66">
        <f t="shared" si="118"/>
        <v>4.305425874053325E-4</v>
      </c>
      <c r="E293" s="66">
        <f t="shared" si="118"/>
        <v>4.305425874053325E-4</v>
      </c>
      <c r="F293" s="66">
        <f t="shared" si="118"/>
        <v>4.305425874053325E-4</v>
      </c>
      <c r="G293" s="66">
        <f t="shared" si="118"/>
        <v>4.305425874053325E-4</v>
      </c>
      <c r="H293" s="66">
        <f t="shared" si="118"/>
        <v>4.305425874053325E-4</v>
      </c>
      <c r="I293" s="66">
        <f t="shared" si="118"/>
        <v>4.305425874053325E-4</v>
      </c>
      <c r="J293" s="66">
        <f t="shared" si="118"/>
        <v>4.305425874053325E-4</v>
      </c>
      <c r="K293" s="66">
        <f t="shared" si="118"/>
        <v>4.305425874053325E-4</v>
      </c>
      <c r="L293" s="66">
        <f t="shared" si="118"/>
        <v>4.305425874053325E-4</v>
      </c>
      <c r="M293" s="66">
        <f t="shared" si="118"/>
        <v>4.305425874053325E-4</v>
      </c>
      <c r="N293" s="66">
        <f t="shared" si="118"/>
        <v>4.305425874053325E-4</v>
      </c>
      <c r="O293" s="66">
        <f t="shared" si="118"/>
        <v>4.305425874053325E-4</v>
      </c>
      <c r="P293" s="66">
        <f t="shared" si="118"/>
        <v>4.305425874053325E-4</v>
      </c>
      <c r="Q293" s="66">
        <f t="shared" si="118"/>
        <v>4.305425874053325E-4</v>
      </c>
      <c r="R293" s="66">
        <f t="shared" si="118"/>
        <v>4.305425874053325E-4</v>
      </c>
      <c r="S293" s="66">
        <f t="shared" si="118"/>
        <v>4.305425874053325E-4</v>
      </c>
      <c r="T293" s="66">
        <f t="shared" si="118"/>
        <v>4.305425874053325E-4</v>
      </c>
      <c r="U293" s="66">
        <f t="shared" si="118"/>
        <v>4.305425874053325E-4</v>
      </c>
      <c r="V293" s="66">
        <f t="shared" si="118"/>
        <v>4.305425874053325E-4</v>
      </c>
      <c r="W293" s="66">
        <f t="shared" si="118"/>
        <v>4.305425874053325E-4</v>
      </c>
      <c r="X293" s="66">
        <f t="shared" si="118"/>
        <v>4.305425874053325E-4</v>
      </c>
      <c r="Y293" s="66">
        <f t="shared" si="118"/>
        <v>4.305425874053325E-4</v>
      </c>
      <c r="Z293" s="66">
        <f t="shared" si="118"/>
        <v>4.305425874053325E-4</v>
      </c>
      <c r="AA293" s="66">
        <f t="shared" si="118"/>
        <v>4.305425874053325E-4</v>
      </c>
      <c r="AB293" s="66">
        <f t="shared" si="118"/>
        <v>4.305425874053325E-4</v>
      </c>
      <c r="AC293" s="66">
        <f t="shared" si="118"/>
        <v>4.305425874053325E-4</v>
      </c>
    </row>
    <row r="294" spans="1:29" x14ac:dyDescent="0.25">
      <c r="A294" s="30" t="str">
        <f t="shared" si="112"/>
        <v>Opex var (mode-fees)</v>
      </c>
      <c r="B294" s="66">
        <f>B252*B261/B261/(B258)</f>
        <v>8.6011184229469056E-5</v>
      </c>
      <c r="C294" s="66">
        <f t="shared" ref="C294:AC294" si="119">C252*C261/C261/(C258)</f>
        <v>8.6011184229469056E-5</v>
      </c>
      <c r="D294" s="66">
        <f t="shared" si="119"/>
        <v>8.6011184229469056E-5</v>
      </c>
      <c r="E294" s="66">
        <f t="shared" si="119"/>
        <v>8.6011184229469056E-5</v>
      </c>
      <c r="F294" s="66">
        <f t="shared" si="119"/>
        <v>8.6011184229469056E-5</v>
      </c>
      <c r="G294" s="66">
        <f t="shared" si="119"/>
        <v>8.6011184229469056E-5</v>
      </c>
      <c r="H294" s="66">
        <f t="shared" si="119"/>
        <v>8.6011184229469056E-5</v>
      </c>
      <c r="I294" s="66">
        <f t="shared" si="119"/>
        <v>8.6011184229469056E-5</v>
      </c>
      <c r="J294" s="66">
        <f t="shared" si="119"/>
        <v>8.6011184229469056E-5</v>
      </c>
      <c r="K294" s="66">
        <f t="shared" si="119"/>
        <v>8.6011184229469056E-5</v>
      </c>
      <c r="L294" s="66">
        <f t="shared" si="119"/>
        <v>8.6011184229469056E-5</v>
      </c>
      <c r="M294" s="66">
        <f t="shared" si="119"/>
        <v>8.6011184229469056E-5</v>
      </c>
      <c r="N294" s="66">
        <f t="shared" si="119"/>
        <v>8.6011184229469056E-5</v>
      </c>
      <c r="O294" s="66">
        <f t="shared" si="119"/>
        <v>8.6011184229469056E-5</v>
      </c>
      <c r="P294" s="66">
        <f t="shared" si="119"/>
        <v>8.6011184229469056E-5</v>
      </c>
      <c r="Q294" s="66">
        <f t="shared" si="119"/>
        <v>8.6011184229469056E-5</v>
      </c>
      <c r="R294" s="66">
        <f t="shared" si="119"/>
        <v>8.6011184229469056E-5</v>
      </c>
      <c r="S294" s="66">
        <f t="shared" si="119"/>
        <v>8.6011184229469056E-5</v>
      </c>
      <c r="T294" s="66">
        <f t="shared" si="119"/>
        <v>8.6011184229469056E-5</v>
      </c>
      <c r="U294" s="66">
        <f t="shared" si="119"/>
        <v>8.6011184229469056E-5</v>
      </c>
      <c r="V294" s="66">
        <f t="shared" si="119"/>
        <v>8.6011184229469056E-5</v>
      </c>
      <c r="W294" s="66">
        <f t="shared" si="119"/>
        <v>8.6011184229469056E-5</v>
      </c>
      <c r="X294" s="66">
        <f t="shared" si="119"/>
        <v>8.6011184229469056E-5</v>
      </c>
      <c r="Y294" s="66">
        <f t="shared" si="119"/>
        <v>8.6011184229469056E-5</v>
      </c>
      <c r="Z294" s="66">
        <f t="shared" si="119"/>
        <v>8.6011184229469056E-5</v>
      </c>
      <c r="AA294" s="66">
        <f t="shared" si="119"/>
        <v>8.6011184229469056E-5</v>
      </c>
      <c r="AB294" s="66">
        <f t="shared" si="119"/>
        <v>8.6011184229469056E-5</v>
      </c>
      <c r="AC294" s="66">
        <f t="shared" si="119"/>
        <v>8.6011184229469056E-5</v>
      </c>
    </row>
    <row r="295" spans="1:29" x14ac:dyDescent="0.25">
      <c r="A295" s="30" t="str">
        <f t="shared" si="112"/>
        <v>Fuel Cost</v>
      </c>
      <c r="B295" s="66">
        <f>B253*B254*B261/B261/(B258)</f>
        <v>1.7783083301043669E-3</v>
      </c>
      <c r="C295" s="66">
        <f t="shared" ref="C295:AC295" si="120">C253*C254*C261/C261/(C258)</f>
        <v>1.6555520808608313E-3</v>
      </c>
      <c r="D295" s="66">
        <f t="shared" si="120"/>
        <v>1.5327671013699688E-3</v>
      </c>
      <c r="E295" s="66">
        <f t="shared" si="120"/>
        <v>1.4099463508718156E-3</v>
      </c>
      <c r="F295" s="66">
        <f t="shared" si="120"/>
        <v>1.2870821381867775E-3</v>
      </c>
      <c r="G295" s="66">
        <f t="shared" si="120"/>
        <v>1.1641669160917494E-3</v>
      </c>
      <c r="H295" s="66">
        <f t="shared" si="120"/>
        <v>1.0411948942263343E-3</v>
      </c>
      <c r="I295" s="66">
        <f t="shared" si="120"/>
        <v>9.1816500223741845E-4</v>
      </c>
      <c r="J295" s="66">
        <f t="shared" si="120"/>
        <v>8.9884031972232309E-4</v>
      </c>
      <c r="K295" s="66">
        <f t="shared" si="120"/>
        <v>8.7925245461979165E-4</v>
      </c>
      <c r="L295" s="66">
        <f t="shared" si="120"/>
        <v>8.5931740371677264E-4</v>
      </c>
      <c r="M295" s="66">
        <f t="shared" si="120"/>
        <v>8.3893771583125115E-4</v>
      </c>
      <c r="N295" s="66">
        <f t="shared" si="120"/>
        <v>8.1801304208325249E-4</v>
      </c>
      <c r="O295" s="66">
        <f t="shared" si="120"/>
        <v>7.9646285502540785E-4</v>
      </c>
      <c r="P295" s="66">
        <f t="shared" si="120"/>
        <v>7.7426358047261656E-4</v>
      </c>
      <c r="Q295" s="66">
        <f t="shared" si="120"/>
        <v>7.5149374206579401E-4</v>
      </c>
      <c r="R295" s="66">
        <f t="shared" si="120"/>
        <v>7.2836585411811946E-4</v>
      </c>
      <c r="S295" s="66">
        <f t="shared" si="120"/>
        <v>7.0521392203719919E-4</v>
      </c>
      <c r="T295" s="66">
        <f t="shared" si="120"/>
        <v>6.8242058845882875E-4</v>
      </c>
      <c r="U295" s="66">
        <f t="shared" si="120"/>
        <v>6.6031035275831561E-4</v>
      </c>
      <c r="V295" s="66">
        <f t="shared" si="120"/>
        <v>6.3906719026743505E-4</v>
      </c>
      <c r="W295" s="66">
        <f t="shared" si="120"/>
        <v>6.1871746654663853E-4</v>
      </c>
      <c r="X295" s="66">
        <f t="shared" si="120"/>
        <v>5.991702221739239E-4</v>
      </c>
      <c r="Y295" s="66">
        <f t="shared" si="120"/>
        <v>5.8027735957319753E-4</v>
      </c>
      <c r="Z295" s="66">
        <f t="shared" si="120"/>
        <v>5.6188264769718417E-4</v>
      </c>
      <c r="AA295" s="66">
        <f t="shared" si="120"/>
        <v>5.4384914364533239E-4</v>
      </c>
      <c r="AB295" s="66">
        <f t="shared" si="120"/>
        <v>5.260687620486826E-4</v>
      </c>
      <c r="AC295" s="66">
        <f t="shared" si="120"/>
        <v>5.0846159148288761E-4</v>
      </c>
    </row>
    <row r="296" spans="1:29" x14ac:dyDescent="0.25">
      <c r="A296" s="59" t="str">
        <f>A259</f>
        <v>Market failure (av. utilization)</v>
      </c>
      <c r="B296" s="66">
        <f t="shared" ref="B296:AC296" si="121">B285/B259-B285/B258</f>
        <v>4.0316221878138464E-3</v>
      </c>
      <c r="C296" s="66">
        <f t="shared" si="121"/>
        <v>3.9183541038325352E-3</v>
      </c>
      <c r="D296" s="66">
        <f t="shared" si="121"/>
        <v>3.8050790787268413E-3</v>
      </c>
      <c r="E296" s="66">
        <f t="shared" si="121"/>
        <v>3.6917990023396926E-3</v>
      </c>
      <c r="F296" s="66">
        <f t="shared" si="121"/>
        <v>3.578518691942699E-3</v>
      </c>
      <c r="G296" s="66">
        <f t="shared" si="121"/>
        <v>3.4652480340826566E-3</v>
      </c>
      <c r="H296" s="66">
        <f t="shared" si="121"/>
        <v>3.3520053601582595E-3</v>
      </c>
      <c r="I296" s="66">
        <f t="shared" si="121"/>
        <v>3.2388226128491826E-3</v>
      </c>
      <c r="J296" s="66">
        <f t="shared" si="121"/>
        <v>3.2215262117508939E-3</v>
      </c>
      <c r="K296" s="66">
        <f t="shared" si="121"/>
        <v>3.2042057371256772E-3</v>
      </c>
      <c r="L296" s="66">
        <f t="shared" si="121"/>
        <v>3.1868617057509169E-3</v>
      </c>
      <c r="M296" s="66">
        <f t="shared" si="121"/>
        <v>3.1694995532368067E-3</v>
      </c>
      <c r="N296" s="66">
        <f t="shared" si="121"/>
        <v>3.1521329357611142E-3</v>
      </c>
      <c r="O296" s="66">
        <f t="shared" si="121"/>
        <v>3.1347874768570573E-3</v>
      </c>
      <c r="P296" s="66">
        <f t="shared" si="121"/>
        <v>3.1175033818309551E-3</v>
      </c>
      <c r="Q296" s="66">
        <f t="shared" si="121"/>
        <v>3.1003340290100437E-3</v>
      </c>
      <c r="R296" s="66">
        <f t="shared" si="121"/>
        <v>3.0833375114257618E-3</v>
      </c>
      <c r="S296" s="66">
        <f t="shared" si="121"/>
        <v>3.066561204624626E-3</v>
      </c>
      <c r="T296" s="66">
        <f t="shared" si="121"/>
        <v>3.050025496577831E-3</v>
      </c>
      <c r="U296" s="66">
        <f t="shared" si="121"/>
        <v>3.0337163981241418E-3</v>
      </c>
      <c r="V296" s="66">
        <f t="shared" si="121"/>
        <v>3.0175920385570433E-3</v>
      </c>
      <c r="W296" s="66">
        <f t="shared" si="121"/>
        <v>3.0015983096371821E-3</v>
      </c>
      <c r="X296" s="66">
        <f t="shared" si="121"/>
        <v>2.9856840750910846E-3</v>
      </c>
      <c r="Y296" s="66">
        <f t="shared" si="121"/>
        <v>2.9698097714880791E-3</v>
      </c>
      <c r="Z296" s="66">
        <f t="shared" si="121"/>
        <v>2.9539491770448952E-3</v>
      </c>
      <c r="AA296" s="66">
        <f t="shared" si="121"/>
        <v>2.9380872171952165E-3</v>
      </c>
      <c r="AB296" s="66">
        <f t="shared" si="121"/>
        <v>2.9222165924135774E-3</v>
      </c>
      <c r="AC296" s="66">
        <f t="shared" si="121"/>
        <v>2.9063347612499593E-3</v>
      </c>
    </row>
    <row r="297" spans="1:29" x14ac:dyDescent="0.25">
      <c r="A297" s="59" t="str">
        <f>A260</f>
        <v>Payload loss (fuel)</v>
      </c>
      <c r="B297" s="66">
        <f>B285/(B258-B260)-B285/B258</f>
        <v>0</v>
      </c>
      <c r="C297" s="66">
        <f t="shared" ref="C297:AC297" si="122">C285/(C258-C260)-C285/C258</f>
        <v>0</v>
      </c>
      <c r="D297" s="66">
        <f t="shared" si="122"/>
        <v>0</v>
      </c>
      <c r="E297" s="66">
        <f t="shared" si="122"/>
        <v>0</v>
      </c>
      <c r="F297" s="66">
        <f t="shared" si="122"/>
        <v>0</v>
      </c>
      <c r="G297" s="66">
        <f t="shared" si="122"/>
        <v>0</v>
      </c>
      <c r="H297" s="66">
        <f t="shared" si="122"/>
        <v>0</v>
      </c>
      <c r="I297" s="66">
        <f t="shared" si="122"/>
        <v>0</v>
      </c>
      <c r="J297" s="66">
        <f t="shared" si="122"/>
        <v>0</v>
      </c>
      <c r="K297" s="66">
        <f t="shared" si="122"/>
        <v>0</v>
      </c>
      <c r="L297" s="66">
        <f t="shared" si="122"/>
        <v>0</v>
      </c>
      <c r="M297" s="66">
        <f t="shared" si="122"/>
        <v>0</v>
      </c>
      <c r="N297" s="66">
        <f t="shared" si="122"/>
        <v>0</v>
      </c>
      <c r="O297" s="66">
        <f t="shared" si="122"/>
        <v>0</v>
      </c>
      <c r="P297" s="66">
        <f t="shared" si="122"/>
        <v>0</v>
      </c>
      <c r="Q297" s="66">
        <f t="shared" si="122"/>
        <v>0</v>
      </c>
      <c r="R297" s="66">
        <f t="shared" si="122"/>
        <v>0</v>
      </c>
      <c r="S297" s="66">
        <f t="shared" si="122"/>
        <v>0</v>
      </c>
      <c r="T297" s="66">
        <f t="shared" si="122"/>
        <v>0</v>
      </c>
      <c r="U297" s="66">
        <f t="shared" si="122"/>
        <v>0</v>
      </c>
      <c r="V297" s="66">
        <f t="shared" si="122"/>
        <v>0</v>
      </c>
      <c r="W297" s="66">
        <f t="shared" si="122"/>
        <v>0</v>
      </c>
      <c r="X297" s="66">
        <f t="shared" si="122"/>
        <v>0</v>
      </c>
      <c r="Y297" s="66">
        <f t="shared" si="122"/>
        <v>0</v>
      </c>
      <c r="Z297" s="66">
        <f t="shared" si="122"/>
        <v>0</v>
      </c>
      <c r="AA297" s="66">
        <f t="shared" si="122"/>
        <v>0</v>
      </c>
      <c r="AB297" s="66">
        <f t="shared" si="122"/>
        <v>0</v>
      </c>
      <c r="AC297" s="66">
        <f t="shared" si="122"/>
        <v>0</v>
      </c>
    </row>
    <row r="298" spans="1:29" ht="15.75" thickBot="1" x14ac:dyDescent="0.3">
      <c r="A298" s="59" t="str">
        <f>A235</f>
        <v>Emission Cost</v>
      </c>
      <c r="B298" s="68">
        <f>B255*B261/B261/(B258)</f>
        <v>0</v>
      </c>
      <c r="C298" s="68">
        <f t="shared" ref="C298:AC298" si="123">C255*C261/C261/(C258)</f>
        <v>0</v>
      </c>
      <c r="D298" s="68">
        <f t="shared" si="123"/>
        <v>0</v>
      </c>
      <c r="E298" s="68">
        <f t="shared" si="123"/>
        <v>0</v>
      </c>
      <c r="F298" s="68">
        <f t="shared" si="123"/>
        <v>0</v>
      </c>
      <c r="G298" s="68">
        <f t="shared" si="123"/>
        <v>0</v>
      </c>
      <c r="H298" s="68">
        <f t="shared" si="123"/>
        <v>0</v>
      </c>
      <c r="I298" s="68">
        <f t="shared" si="123"/>
        <v>0</v>
      </c>
      <c r="J298" s="68">
        <f t="shared" si="123"/>
        <v>0</v>
      </c>
      <c r="K298" s="68">
        <f t="shared" si="123"/>
        <v>0</v>
      </c>
      <c r="L298" s="68">
        <f t="shared" si="123"/>
        <v>0</v>
      </c>
      <c r="M298" s="68">
        <f t="shared" si="123"/>
        <v>0</v>
      </c>
      <c r="N298" s="68">
        <f t="shared" si="123"/>
        <v>0</v>
      </c>
      <c r="O298" s="68">
        <f t="shared" si="123"/>
        <v>0</v>
      </c>
      <c r="P298" s="68">
        <f t="shared" si="123"/>
        <v>0</v>
      </c>
      <c r="Q298" s="68">
        <f t="shared" si="123"/>
        <v>0</v>
      </c>
      <c r="R298" s="68">
        <f t="shared" si="123"/>
        <v>0</v>
      </c>
      <c r="S298" s="68">
        <f t="shared" si="123"/>
        <v>0</v>
      </c>
      <c r="T298" s="68">
        <f t="shared" si="123"/>
        <v>0</v>
      </c>
      <c r="U298" s="68">
        <f t="shared" si="123"/>
        <v>0</v>
      </c>
      <c r="V298" s="68">
        <f t="shared" si="123"/>
        <v>0</v>
      </c>
      <c r="W298" s="68">
        <f t="shared" si="123"/>
        <v>0</v>
      </c>
      <c r="X298" s="68">
        <f t="shared" si="123"/>
        <v>0</v>
      </c>
      <c r="Y298" s="68">
        <f t="shared" si="123"/>
        <v>0</v>
      </c>
      <c r="Z298" s="68">
        <f t="shared" si="123"/>
        <v>0</v>
      </c>
      <c r="AA298" s="68">
        <f t="shared" si="123"/>
        <v>0</v>
      </c>
      <c r="AB298" s="68">
        <f t="shared" si="123"/>
        <v>0</v>
      </c>
      <c r="AC298" s="68">
        <f t="shared" si="123"/>
        <v>0</v>
      </c>
    </row>
    <row r="299" spans="1:29" ht="15.75" thickBot="1" x14ac:dyDescent="0.3">
      <c r="A299" s="31" t="s">
        <v>210</v>
      </c>
      <c r="B299" s="77">
        <f>B288+B289+B290+B291+B292+B293+B294+B295+B296+B297+B298</f>
        <v>8.3854162919468761E-3</v>
      </c>
      <c r="C299" s="67">
        <f t="shared" ref="C299:AC299" si="124">C288+C289+C290+C291+C292+C293+C294+C295+C296+C297+C298</f>
        <v>8.149441116985812E-3</v>
      </c>
      <c r="D299" s="67">
        <f t="shared" si="124"/>
        <v>7.9134514813489487E-3</v>
      </c>
      <c r="E299" s="67">
        <f t="shared" si="124"/>
        <v>7.6774513222090555E-3</v>
      </c>
      <c r="F299" s="67">
        <f t="shared" si="124"/>
        <v>7.4414506755486522E-3</v>
      </c>
      <c r="G299" s="67">
        <f t="shared" si="124"/>
        <v>7.205470138340231E-3</v>
      </c>
      <c r="H299" s="67">
        <f t="shared" si="124"/>
        <v>6.969547900997736E-3</v>
      </c>
      <c r="I299" s="67">
        <f t="shared" si="124"/>
        <v>6.7337505107704929E-3</v>
      </c>
      <c r="J299" s="67">
        <f t="shared" si="124"/>
        <v>6.6977163418157253E-3</v>
      </c>
      <c r="K299" s="67">
        <f t="shared" si="124"/>
        <v>6.6616320196798574E-3</v>
      </c>
      <c r="L299" s="67">
        <f t="shared" si="124"/>
        <v>6.6254986209824396E-3</v>
      </c>
      <c r="M299" s="67">
        <f t="shared" si="124"/>
        <v>6.5893274699113762E-3</v>
      </c>
      <c r="N299" s="67">
        <f t="shared" si="124"/>
        <v>6.5531470168370166E-3</v>
      </c>
      <c r="O299" s="67">
        <f t="shared" si="124"/>
        <v>6.5170106441202321E-3</v>
      </c>
      <c r="P299" s="67">
        <f t="shared" si="124"/>
        <v>6.4810021128158526E-3</v>
      </c>
      <c r="Q299" s="67">
        <f t="shared" si="124"/>
        <v>6.4452326277722877E-3</v>
      </c>
      <c r="R299" s="67">
        <f t="shared" si="124"/>
        <v>6.4098232161383661E-3</v>
      </c>
      <c r="S299" s="67">
        <f t="shared" si="124"/>
        <v>6.3748725769693336E-3</v>
      </c>
      <c r="T299" s="67">
        <f t="shared" si="124"/>
        <v>6.3404231852051771E-3</v>
      </c>
      <c r="U299" s="67">
        <f t="shared" si="124"/>
        <v>6.3064458967599917E-3</v>
      </c>
      <c r="V299" s="67">
        <f t="shared" si="124"/>
        <v>6.2728534809952038E-3</v>
      </c>
      <c r="W299" s="67">
        <f t="shared" si="124"/>
        <v>6.2395332124121593E-3</v>
      </c>
      <c r="X299" s="67">
        <f t="shared" si="124"/>
        <v>6.206378557107789E-3</v>
      </c>
      <c r="Y299" s="67">
        <f t="shared" si="124"/>
        <v>6.1733070912681938E-3</v>
      </c>
      <c r="Z299" s="67">
        <f t="shared" si="124"/>
        <v>6.1402641861782268E-3</v>
      </c>
      <c r="AA299" s="67">
        <f t="shared" si="124"/>
        <v>6.107218436491397E-3</v>
      </c>
      <c r="AB299" s="67">
        <f t="shared" si="124"/>
        <v>6.0741546348629834E-3</v>
      </c>
      <c r="AC299" s="67">
        <f t="shared" si="124"/>
        <v>6.0410674866054441E-3</v>
      </c>
    </row>
    <row r="301" spans="1:29" x14ac:dyDescent="0.25">
      <c r="B301" s="40"/>
    </row>
    <row r="324" spans="1:44" s="3" customFormat="1" ht="21" x14ac:dyDescent="0.35">
      <c r="A324" s="2" t="str">
        <f>'Parameter Input'!A248</f>
        <v>Short-sea:  Neo bulk</v>
      </c>
    </row>
    <row r="325" spans="1:44" s="3" customFormat="1" ht="21" x14ac:dyDescent="0.35">
      <c r="A325" s="2" t="s">
        <v>280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Input'!$L$224</f>
        <v>15000000</v>
      </c>
      <c r="C334" s="42">
        <f>'Parameter Input'!$M$224</f>
        <v>15000000</v>
      </c>
      <c r="D334" s="1" t="s">
        <v>15</v>
      </c>
      <c r="L334" s="51">
        <f>'Parameter Input'!$O$212</f>
        <v>17</v>
      </c>
      <c r="M334" s="52">
        <v>0</v>
      </c>
      <c r="N334" s="52">
        <v>1</v>
      </c>
      <c r="O334" s="52">
        <f>'Parameter Input'!$P$212</f>
        <v>0.9</v>
      </c>
      <c r="P334" s="53">
        <f>'Parameter Input'!$Q$212</f>
        <v>0.4</v>
      </c>
      <c r="Q334" s="4">
        <f t="shared" ref="Q334:AR343" si="125">$N334+($M334-$N334)*((1/(1+EXP(-$P334*(Q$9-$L334)))^$O334))</f>
        <v>0.99780374543478534</v>
      </c>
      <c r="R334" s="4">
        <f t="shared" si="125"/>
        <v>0.99685359315256394</v>
      </c>
      <c r="S334" s="4">
        <f t="shared" si="125"/>
        <v>0.99549347132349975</v>
      </c>
      <c r="T334" s="4">
        <f t="shared" si="125"/>
        <v>0.99354772139898062</v>
      </c>
      <c r="U334" s="4">
        <f t="shared" si="125"/>
        <v>0.99076681540580536</v>
      </c>
      <c r="V334" s="4">
        <f t="shared" si="125"/>
        <v>0.9867978615748374</v>
      </c>
      <c r="W334" s="4">
        <f t="shared" si="125"/>
        <v>0.98114509762858249</v>
      </c>
      <c r="X334" s="4">
        <f t="shared" si="125"/>
        <v>0.97311898315872036</v>
      </c>
      <c r="Y334" s="4">
        <f t="shared" si="125"/>
        <v>0.96177484161592774</v>
      </c>
      <c r="Z334" s="4">
        <f t="shared" si="125"/>
        <v>0.94584787155511363</v>
      </c>
      <c r="AA334" s="4">
        <f t="shared" si="125"/>
        <v>0.92370360150141495</v>
      </c>
      <c r="AB334" s="4">
        <f t="shared" si="125"/>
        <v>0.89334463567658451</v>
      </c>
      <c r="AC334" s="4">
        <f t="shared" si="125"/>
        <v>0.85254543874327005</v>
      </c>
      <c r="AD334" s="4">
        <f t="shared" si="125"/>
        <v>0.79921300652623883</v>
      </c>
      <c r="AE334" s="4">
        <f t="shared" si="125"/>
        <v>0.73204982249993378</v>
      </c>
      <c r="AF334" s="4">
        <f t="shared" si="125"/>
        <v>0.65145592958786691</v>
      </c>
      <c r="AG334" s="4">
        <f t="shared" si="125"/>
        <v>0.56032247880849573</v>
      </c>
      <c r="AH334" s="4">
        <f t="shared" si="125"/>
        <v>0.46411326873185343</v>
      </c>
      <c r="AI334" s="4">
        <f t="shared" si="125"/>
        <v>0.36979727595523937</v>
      </c>
      <c r="AJ334" s="4">
        <f t="shared" si="125"/>
        <v>0.28393948637231203</v>
      </c>
      <c r="AK334" s="4">
        <f t="shared" si="125"/>
        <v>0.21097259161117732</v>
      </c>
      <c r="AL334" s="4">
        <f t="shared" si="125"/>
        <v>0.15253917653798199</v>
      </c>
      <c r="AM334" s="4">
        <f t="shared" si="125"/>
        <v>0.10795188737709993</v>
      </c>
      <c r="AN334" s="4">
        <f t="shared" si="125"/>
        <v>7.5176653938091809E-2</v>
      </c>
      <c r="AO334" s="4">
        <f t="shared" si="125"/>
        <v>5.1742836177502194E-2</v>
      </c>
      <c r="AP334" s="4">
        <f t="shared" si="125"/>
        <v>3.5319190625345942E-2</v>
      </c>
      <c r="AQ334" s="4">
        <f t="shared" si="125"/>
        <v>2.3969442072658165E-2</v>
      </c>
      <c r="AR334" s="4">
        <f t="shared" si="125"/>
        <v>1.6202243558389728E-2</v>
      </c>
    </row>
    <row r="335" spans="1:44" x14ac:dyDescent="0.25">
      <c r="A335" s="24" t="s">
        <v>28</v>
      </c>
      <c r="B335" s="60">
        <f>'Parameter Input'!$L$225</f>
        <v>-1500000</v>
      </c>
      <c r="C335" s="61">
        <f>'Parameter Input'!$M$225</f>
        <v>-750000</v>
      </c>
      <c r="D335" s="1" t="s">
        <v>15</v>
      </c>
      <c r="L335" s="54">
        <f>'Parameter Input'!$O$213</f>
        <v>17</v>
      </c>
      <c r="M335" s="37">
        <v>0</v>
      </c>
      <c r="N335" s="37">
        <v>1</v>
      </c>
      <c r="O335" s="37">
        <f>'Parameter Input'!$P$213</f>
        <v>0.9</v>
      </c>
      <c r="P335" s="55">
        <f>'Parameter Input'!$Q$213</f>
        <v>0.4</v>
      </c>
      <c r="Q335" s="4">
        <f t="shared" si="125"/>
        <v>0.99780374543478534</v>
      </c>
      <c r="R335" s="4">
        <f t="shared" si="125"/>
        <v>0.99685359315256394</v>
      </c>
      <c r="S335" s="4">
        <f t="shared" si="125"/>
        <v>0.99549347132349975</v>
      </c>
      <c r="T335" s="4">
        <f t="shared" si="125"/>
        <v>0.99354772139898062</v>
      </c>
      <c r="U335" s="4">
        <f t="shared" si="125"/>
        <v>0.99076681540580536</v>
      </c>
      <c r="V335" s="4">
        <f t="shared" si="125"/>
        <v>0.9867978615748374</v>
      </c>
      <c r="W335" s="4">
        <f t="shared" si="125"/>
        <v>0.98114509762858249</v>
      </c>
      <c r="X335" s="4">
        <f t="shared" si="125"/>
        <v>0.97311898315872036</v>
      </c>
      <c r="Y335" s="4">
        <f t="shared" si="125"/>
        <v>0.96177484161592774</v>
      </c>
      <c r="Z335" s="4">
        <f t="shared" si="125"/>
        <v>0.94584787155511363</v>
      </c>
      <c r="AA335" s="4">
        <f t="shared" si="125"/>
        <v>0.92370360150141495</v>
      </c>
      <c r="AB335" s="4">
        <f t="shared" si="125"/>
        <v>0.89334463567658451</v>
      </c>
      <c r="AC335" s="4">
        <f t="shared" si="125"/>
        <v>0.85254543874327005</v>
      </c>
      <c r="AD335" s="4">
        <f t="shared" si="125"/>
        <v>0.79921300652623883</v>
      </c>
      <c r="AE335" s="4">
        <f t="shared" si="125"/>
        <v>0.73204982249993378</v>
      </c>
      <c r="AF335" s="4">
        <f t="shared" si="125"/>
        <v>0.65145592958786691</v>
      </c>
      <c r="AG335" s="4">
        <f t="shared" si="125"/>
        <v>0.56032247880849573</v>
      </c>
      <c r="AH335" s="4">
        <f t="shared" si="125"/>
        <v>0.46411326873185343</v>
      </c>
      <c r="AI335" s="4">
        <f t="shared" si="125"/>
        <v>0.36979727595523937</v>
      </c>
      <c r="AJ335" s="4">
        <f t="shared" si="125"/>
        <v>0.28393948637231203</v>
      </c>
      <c r="AK335" s="4">
        <f t="shared" si="125"/>
        <v>0.21097259161117732</v>
      </c>
      <c r="AL335" s="4">
        <f t="shared" si="125"/>
        <v>0.15253917653798199</v>
      </c>
      <c r="AM335" s="4">
        <f t="shared" si="125"/>
        <v>0.10795188737709993</v>
      </c>
      <c r="AN335" s="4">
        <f t="shared" si="125"/>
        <v>7.5176653938091809E-2</v>
      </c>
      <c r="AO335" s="4">
        <f t="shared" si="125"/>
        <v>5.1742836177502194E-2</v>
      </c>
      <c r="AP335" s="4">
        <f t="shared" si="125"/>
        <v>3.5319190625345942E-2</v>
      </c>
      <c r="AQ335" s="4">
        <f t="shared" si="125"/>
        <v>2.3969442072658165E-2</v>
      </c>
      <c r="AR335" s="4">
        <f t="shared" si="125"/>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125"/>
        <v>0.99780374543478534</v>
      </c>
      <c r="R336" s="4">
        <f t="shared" si="125"/>
        <v>0.99685359315256394</v>
      </c>
      <c r="S336" s="4">
        <f t="shared" si="125"/>
        <v>0.99549347132349975</v>
      </c>
      <c r="T336" s="4">
        <f t="shared" si="125"/>
        <v>0.99354772139898062</v>
      </c>
      <c r="U336" s="4">
        <f t="shared" si="125"/>
        <v>0.99076681540580536</v>
      </c>
      <c r="V336" s="4">
        <f t="shared" si="125"/>
        <v>0.9867978615748374</v>
      </c>
      <c r="W336" s="4">
        <f t="shared" si="125"/>
        <v>0.98114509762858249</v>
      </c>
      <c r="X336" s="4">
        <f t="shared" si="125"/>
        <v>0.97311898315872036</v>
      </c>
      <c r="Y336" s="4">
        <f t="shared" si="125"/>
        <v>0.96177484161592774</v>
      </c>
      <c r="Z336" s="4">
        <f t="shared" si="125"/>
        <v>0.94584787155511363</v>
      </c>
      <c r="AA336" s="4">
        <f t="shared" si="125"/>
        <v>0.92370360150141495</v>
      </c>
      <c r="AB336" s="4">
        <f t="shared" si="125"/>
        <v>0.89334463567658451</v>
      </c>
      <c r="AC336" s="4">
        <f t="shared" si="125"/>
        <v>0.85254543874327005</v>
      </c>
      <c r="AD336" s="4">
        <f t="shared" si="125"/>
        <v>0.79921300652623883</v>
      </c>
      <c r="AE336" s="4">
        <f t="shared" si="125"/>
        <v>0.73204982249993378</v>
      </c>
      <c r="AF336" s="4">
        <f t="shared" si="125"/>
        <v>0.65145592958786691</v>
      </c>
      <c r="AG336" s="4">
        <f t="shared" si="125"/>
        <v>0.56032247880849573</v>
      </c>
      <c r="AH336" s="4">
        <f t="shared" si="125"/>
        <v>0.46411326873185343</v>
      </c>
      <c r="AI336" s="4">
        <f t="shared" si="125"/>
        <v>0.36979727595523937</v>
      </c>
      <c r="AJ336" s="4">
        <f t="shared" si="125"/>
        <v>0.28393948637231203</v>
      </c>
      <c r="AK336" s="4">
        <f t="shared" si="125"/>
        <v>0.21097259161117732</v>
      </c>
      <c r="AL336" s="4">
        <f t="shared" si="125"/>
        <v>0.15253917653798199</v>
      </c>
      <c r="AM336" s="4">
        <f t="shared" si="125"/>
        <v>0.10795188737709993</v>
      </c>
      <c r="AN336" s="4">
        <f t="shared" si="125"/>
        <v>7.5176653938091809E-2</v>
      </c>
      <c r="AO336" s="4">
        <f t="shared" si="125"/>
        <v>5.1742836177502194E-2</v>
      </c>
      <c r="AP336" s="4">
        <f t="shared" si="125"/>
        <v>3.5319190625345942E-2</v>
      </c>
      <c r="AQ336" s="4">
        <f t="shared" si="125"/>
        <v>2.3969442072658165E-2</v>
      </c>
      <c r="AR336" s="4">
        <f t="shared" si="125"/>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125"/>
        <v>0.99780374543478534</v>
      </c>
      <c r="R337" s="4">
        <f t="shared" si="125"/>
        <v>0.99685359315256394</v>
      </c>
      <c r="S337" s="4">
        <f t="shared" si="125"/>
        <v>0.99549347132349975</v>
      </c>
      <c r="T337" s="4">
        <f t="shared" si="125"/>
        <v>0.99354772139898062</v>
      </c>
      <c r="U337" s="4">
        <f t="shared" si="125"/>
        <v>0.99076681540580536</v>
      </c>
      <c r="V337" s="4">
        <f t="shared" si="125"/>
        <v>0.9867978615748374</v>
      </c>
      <c r="W337" s="4">
        <f t="shared" si="125"/>
        <v>0.98114509762858249</v>
      </c>
      <c r="X337" s="4">
        <f t="shared" si="125"/>
        <v>0.97311898315872036</v>
      </c>
      <c r="Y337" s="4">
        <f t="shared" si="125"/>
        <v>0.96177484161592774</v>
      </c>
      <c r="Z337" s="4">
        <f t="shared" si="125"/>
        <v>0.94584787155511363</v>
      </c>
      <c r="AA337" s="4">
        <f t="shared" si="125"/>
        <v>0.92370360150141495</v>
      </c>
      <c r="AB337" s="4">
        <f t="shared" si="125"/>
        <v>0.89334463567658451</v>
      </c>
      <c r="AC337" s="4">
        <f t="shared" si="125"/>
        <v>0.85254543874327005</v>
      </c>
      <c r="AD337" s="4">
        <f t="shared" si="125"/>
        <v>0.79921300652623883</v>
      </c>
      <c r="AE337" s="4">
        <f t="shared" si="125"/>
        <v>0.73204982249993378</v>
      </c>
      <c r="AF337" s="4">
        <f t="shared" si="125"/>
        <v>0.65145592958786691</v>
      </c>
      <c r="AG337" s="4">
        <f t="shared" si="125"/>
        <v>0.56032247880849573</v>
      </c>
      <c r="AH337" s="4">
        <f t="shared" si="125"/>
        <v>0.46411326873185343</v>
      </c>
      <c r="AI337" s="4">
        <f t="shared" si="125"/>
        <v>0.36979727595523937</v>
      </c>
      <c r="AJ337" s="4">
        <f t="shared" si="125"/>
        <v>0.28393948637231203</v>
      </c>
      <c r="AK337" s="4">
        <f t="shared" si="125"/>
        <v>0.21097259161117732</v>
      </c>
      <c r="AL337" s="4">
        <f t="shared" si="125"/>
        <v>0.15253917653798199</v>
      </c>
      <c r="AM337" s="4">
        <f t="shared" si="125"/>
        <v>0.10795188737709993</v>
      </c>
      <c r="AN337" s="4">
        <f t="shared" si="125"/>
        <v>7.5176653938091809E-2</v>
      </c>
      <c r="AO337" s="4">
        <f t="shared" si="125"/>
        <v>5.1742836177502194E-2</v>
      </c>
      <c r="AP337" s="4">
        <f t="shared" si="125"/>
        <v>3.5319190625345942E-2</v>
      </c>
      <c r="AQ337" s="4">
        <f t="shared" si="125"/>
        <v>2.3969442072658165E-2</v>
      </c>
      <c r="AR337" s="4">
        <f t="shared" si="125"/>
        <v>1.6202243558389728E-2</v>
      </c>
    </row>
    <row r="338" spans="1:44" x14ac:dyDescent="0.25">
      <c r="A338" s="24" t="s">
        <v>79</v>
      </c>
      <c r="B338" s="92">
        <f>'Parameter Input'!$L$231</f>
        <v>0.06</v>
      </c>
      <c r="C338" s="91">
        <f>'Parameter Input'!$M$231</f>
        <v>0.06</v>
      </c>
      <c r="D338" s="1" t="s">
        <v>57</v>
      </c>
      <c r="L338" s="54">
        <f>'Parameter Input'!$O$219</f>
        <v>17</v>
      </c>
      <c r="M338" s="37">
        <v>0</v>
      </c>
      <c r="N338" s="37">
        <v>1</v>
      </c>
      <c r="O338" s="37">
        <f>'Parameter Input'!$P$219</f>
        <v>0.9</v>
      </c>
      <c r="P338" s="55">
        <f>'Parameter Input'!$Q$219</f>
        <v>0.4</v>
      </c>
      <c r="Q338" s="4">
        <f t="shared" si="125"/>
        <v>0.99780374543478534</v>
      </c>
      <c r="R338" s="4">
        <f t="shared" si="125"/>
        <v>0.99685359315256394</v>
      </c>
      <c r="S338" s="4">
        <f t="shared" si="125"/>
        <v>0.99549347132349975</v>
      </c>
      <c r="T338" s="4">
        <f t="shared" si="125"/>
        <v>0.99354772139898062</v>
      </c>
      <c r="U338" s="4">
        <f t="shared" si="125"/>
        <v>0.99076681540580536</v>
      </c>
      <c r="V338" s="4">
        <f t="shared" si="125"/>
        <v>0.9867978615748374</v>
      </c>
      <c r="W338" s="4">
        <f t="shared" si="125"/>
        <v>0.98114509762858249</v>
      </c>
      <c r="X338" s="4">
        <f t="shared" si="125"/>
        <v>0.97311898315872036</v>
      </c>
      <c r="Y338" s="4">
        <f t="shared" si="125"/>
        <v>0.96177484161592774</v>
      </c>
      <c r="Z338" s="4">
        <f t="shared" si="125"/>
        <v>0.94584787155511363</v>
      </c>
      <c r="AA338" s="4">
        <f t="shared" si="125"/>
        <v>0.92370360150141495</v>
      </c>
      <c r="AB338" s="4">
        <f t="shared" si="125"/>
        <v>0.89334463567658451</v>
      </c>
      <c r="AC338" s="4">
        <f t="shared" si="125"/>
        <v>0.85254543874327005</v>
      </c>
      <c r="AD338" s="4">
        <f t="shared" si="125"/>
        <v>0.79921300652623883</v>
      </c>
      <c r="AE338" s="4">
        <f t="shared" si="125"/>
        <v>0.73204982249993378</v>
      </c>
      <c r="AF338" s="4">
        <f t="shared" si="125"/>
        <v>0.65145592958786691</v>
      </c>
      <c r="AG338" s="4">
        <f t="shared" si="125"/>
        <v>0.56032247880849573</v>
      </c>
      <c r="AH338" s="4">
        <f t="shared" si="125"/>
        <v>0.46411326873185343</v>
      </c>
      <c r="AI338" s="4">
        <f t="shared" si="125"/>
        <v>0.36979727595523937</v>
      </c>
      <c r="AJ338" s="4">
        <f t="shared" si="125"/>
        <v>0.28393948637231203</v>
      </c>
      <c r="AK338" s="4">
        <f t="shared" si="125"/>
        <v>0.21097259161117732</v>
      </c>
      <c r="AL338" s="4">
        <f t="shared" si="125"/>
        <v>0.15253917653798199</v>
      </c>
      <c r="AM338" s="4">
        <f t="shared" si="125"/>
        <v>0.10795188737709993</v>
      </c>
      <c r="AN338" s="4">
        <f t="shared" si="125"/>
        <v>7.5176653938091809E-2</v>
      </c>
      <c r="AO338" s="4">
        <f t="shared" si="125"/>
        <v>5.1742836177502194E-2</v>
      </c>
      <c r="AP338" s="4">
        <f t="shared" si="125"/>
        <v>3.5319190625345942E-2</v>
      </c>
      <c r="AQ338" s="4">
        <f t="shared" si="125"/>
        <v>2.3969442072658165E-2</v>
      </c>
      <c r="AR338" s="4">
        <f t="shared" si="125"/>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125"/>
        <v>0.99780374543478534</v>
      </c>
      <c r="R339" s="4">
        <f t="shared" si="125"/>
        <v>0.99685359315256394</v>
      </c>
      <c r="S339" s="4">
        <f t="shared" si="125"/>
        <v>0.99549347132349975</v>
      </c>
      <c r="T339" s="4">
        <f t="shared" si="125"/>
        <v>0.99354772139898062</v>
      </c>
      <c r="U339" s="4">
        <f t="shared" si="125"/>
        <v>0.99076681540580536</v>
      </c>
      <c r="V339" s="4">
        <f t="shared" si="125"/>
        <v>0.9867978615748374</v>
      </c>
      <c r="W339" s="4">
        <f t="shared" si="125"/>
        <v>0.98114509762858249</v>
      </c>
      <c r="X339" s="4">
        <f t="shared" si="125"/>
        <v>0.97311898315872036</v>
      </c>
      <c r="Y339" s="4">
        <f t="shared" si="125"/>
        <v>0.96177484161592774</v>
      </c>
      <c r="Z339" s="4">
        <f t="shared" si="125"/>
        <v>0.94584787155511363</v>
      </c>
      <c r="AA339" s="4">
        <f t="shared" si="125"/>
        <v>0.92370360150141495</v>
      </c>
      <c r="AB339" s="4">
        <f t="shared" si="125"/>
        <v>0.89334463567658451</v>
      </c>
      <c r="AC339" s="4">
        <f t="shared" si="125"/>
        <v>0.85254543874327005</v>
      </c>
      <c r="AD339" s="4">
        <f t="shared" si="125"/>
        <v>0.79921300652623883</v>
      </c>
      <c r="AE339" s="4">
        <f t="shared" si="125"/>
        <v>0.73204982249993378</v>
      </c>
      <c r="AF339" s="4">
        <f t="shared" si="125"/>
        <v>0.65145592958786691</v>
      </c>
      <c r="AG339" s="4">
        <f t="shared" si="125"/>
        <v>0.56032247880849573</v>
      </c>
      <c r="AH339" s="4">
        <f t="shared" si="125"/>
        <v>0.46411326873185343</v>
      </c>
      <c r="AI339" s="4">
        <f t="shared" si="125"/>
        <v>0.36979727595523937</v>
      </c>
      <c r="AJ339" s="4">
        <f t="shared" si="125"/>
        <v>0.28393948637231203</v>
      </c>
      <c r="AK339" s="4">
        <f t="shared" si="125"/>
        <v>0.21097259161117732</v>
      </c>
      <c r="AL339" s="4">
        <f t="shared" si="125"/>
        <v>0.15253917653798199</v>
      </c>
      <c r="AM339" s="4">
        <f t="shared" si="125"/>
        <v>0.10795188737709993</v>
      </c>
      <c r="AN339" s="4">
        <f t="shared" si="125"/>
        <v>7.5176653938091809E-2</v>
      </c>
      <c r="AO339" s="4">
        <f t="shared" si="125"/>
        <v>5.1742836177502194E-2</v>
      </c>
      <c r="AP339" s="4">
        <f t="shared" si="125"/>
        <v>3.5319190625345942E-2</v>
      </c>
      <c r="AQ339" s="4">
        <f t="shared" si="125"/>
        <v>2.3969442072658165E-2</v>
      </c>
      <c r="AR339" s="4">
        <f t="shared" si="125"/>
        <v>1.6202243558389728E-2</v>
      </c>
    </row>
    <row r="340" spans="1:44" x14ac:dyDescent="0.25">
      <c r="A340" s="24" t="s">
        <v>52</v>
      </c>
      <c r="B340" s="60">
        <f>'Parameter Input'!$L$227</f>
        <v>488235.29411764705</v>
      </c>
      <c r="C340" s="61">
        <f>'Parameter Input'!$M$227</f>
        <v>488235.29411764705</v>
      </c>
      <c r="D340" s="1" t="s">
        <v>38</v>
      </c>
      <c r="L340" s="54">
        <f>'Parameter Input'!$O$215</f>
        <v>17</v>
      </c>
      <c r="M340" s="37">
        <v>0</v>
      </c>
      <c r="N340" s="37">
        <v>1</v>
      </c>
      <c r="O340" s="37">
        <f>'Parameter Input'!$P$215</f>
        <v>0.9</v>
      </c>
      <c r="P340" s="55">
        <f>'Parameter Input'!$Q$215</f>
        <v>0.4</v>
      </c>
      <c r="Q340" s="4">
        <f t="shared" si="125"/>
        <v>0.99780374543478534</v>
      </c>
      <c r="R340" s="4">
        <f t="shared" si="125"/>
        <v>0.99685359315256394</v>
      </c>
      <c r="S340" s="4">
        <f t="shared" si="125"/>
        <v>0.99549347132349975</v>
      </c>
      <c r="T340" s="4">
        <f t="shared" si="125"/>
        <v>0.99354772139898062</v>
      </c>
      <c r="U340" s="4">
        <f t="shared" si="125"/>
        <v>0.99076681540580536</v>
      </c>
      <c r="V340" s="4">
        <f t="shared" si="125"/>
        <v>0.9867978615748374</v>
      </c>
      <c r="W340" s="4">
        <f t="shared" si="125"/>
        <v>0.98114509762858249</v>
      </c>
      <c r="X340" s="4">
        <f t="shared" si="125"/>
        <v>0.97311898315872036</v>
      </c>
      <c r="Y340" s="4">
        <f t="shared" si="125"/>
        <v>0.96177484161592774</v>
      </c>
      <c r="Z340" s="4">
        <f t="shared" si="125"/>
        <v>0.94584787155511363</v>
      </c>
      <c r="AA340" s="4">
        <f t="shared" si="125"/>
        <v>0.92370360150141495</v>
      </c>
      <c r="AB340" s="4">
        <f t="shared" si="125"/>
        <v>0.89334463567658451</v>
      </c>
      <c r="AC340" s="4">
        <f t="shared" si="125"/>
        <v>0.85254543874327005</v>
      </c>
      <c r="AD340" s="4">
        <f t="shared" si="125"/>
        <v>0.79921300652623883</v>
      </c>
      <c r="AE340" s="4">
        <f t="shared" si="125"/>
        <v>0.73204982249993378</v>
      </c>
      <c r="AF340" s="4">
        <f t="shared" si="125"/>
        <v>0.65145592958786691</v>
      </c>
      <c r="AG340" s="4">
        <f t="shared" si="125"/>
        <v>0.56032247880849573</v>
      </c>
      <c r="AH340" s="4">
        <f t="shared" si="125"/>
        <v>0.46411326873185343</v>
      </c>
      <c r="AI340" s="4">
        <f t="shared" si="125"/>
        <v>0.36979727595523937</v>
      </c>
      <c r="AJ340" s="4">
        <f t="shared" si="125"/>
        <v>0.28393948637231203</v>
      </c>
      <c r="AK340" s="4">
        <f t="shared" si="125"/>
        <v>0.21097259161117732</v>
      </c>
      <c r="AL340" s="4">
        <f t="shared" si="125"/>
        <v>0.15253917653798199</v>
      </c>
      <c r="AM340" s="4">
        <f t="shared" si="125"/>
        <v>0.10795188737709993</v>
      </c>
      <c r="AN340" s="4">
        <f t="shared" si="125"/>
        <v>7.5176653938091809E-2</v>
      </c>
      <c r="AO340" s="4">
        <f t="shared" si="125"/>
        <v>5.1742836177502194E-2</v>
      </c>
      <c r="AP340" s="4">
        <f t="shared" si="125"/>
        <v>3.5319190625345942E-2</v>
      </c>
      <c r="AQ340" s="4">
        <f t="shared" si="125"/>
        <v>2.3969442072658165E-2</v>
      </c>
      <c r="AR340" s="4">
        <f t="shared" si="125"/>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125"/>
        <v>0.99780374543478534</v>
      </c>
      <c r="R341" s="4">
        <f t="shared" si="125"/>
        <v>0.99685359315256394</v>
      </c>
      <c r="S341" s="4">
        <f t="shared" si="125"/>
        <v>0.99549347132349975</v>
      </c>
      <c r="T341" s="4">
        <f t="shared" si="125"/>
        <v>0.99354772139898062</v>
      </c>
      <c r="U341" s="4">
        <f t="shared" si="125"/>
        <v>0.99076681540580536</v>
      </c>
      <c r="V341" s="4">
        <f t="shared" si="125"/>
        <v>0.9867978615748374</v>
      </c>
      <c r="W341" s="4">
        <f t="shared" si="125"/>
        <v>0.98114509762858249</v>
      </c>
      <c r="X341" s="4">
        <f t="shared" si="125"/>
        <v>0.97311898315872036</v>
      </c>
      <c r="Y341" s="4">
        <f t="shared" si="125"/>
        <v>0.96177484161592774</v>
      </c>
      <c r="Z341" s="4">
        <f t="shared" si="125"/>
        <v>0.94584787155511363</v>
      </c>
      <c r="AA341" s="4">
        <f t="shared" si="125"/>
        <v>0.92370360150141495</v>
      </c>
      <c r="AB341" s="4">
        <f t="shared" si="125"/>
        <v>0.89334463567658451</v>
      </c>
      <c r="AC341" s="4">
        <f t="shared" si="125"/>
        <v>0.85254543874327005</v>
      </c>
      <c r="AD341" s="4">
        <f t="shared" si="125"/>
        <v>0.79921300652623883</v>
      </c>
      <c r="AE341" s="4">
        <f t="shared" si="125"/>
        <v>0.73204982249993378</v>
      </c>
      <c r="AF341" s="4">
        <f t="shared" si="125"/>
        <v>0.65145592958786691</v>
      </c>
      <c r="AG341" s="4">
        <f t="shared" si="125"/>
        <v>0.56032247880849573</v>
      </c>
      <c r="AH341" s="4">
        <f t="shared" si="125"/>
        <v>0.46411326873185343</v>
      </c>
      <c r="AI341" s="4">
        <f t="shared" si="125"/>
        <v>0.36979727595523937</v>
      </c>
      <c r="AJ341" s="4">
        <f t="shared" si="125"/>
        <v>0.28393948637231203</v>
      </c>
      <c r="AK341" s="4">
        <f t="shared" si="125"/>
        <v>0.21097259161117732</v>
      </c>
      <c r="AL341" s="4">
        <f t="shared" si="125"/>
        <v>0.15253917653798199</v>
      </c>
      <c r="AM341" s="4">
        <f t="shared" si="125"/>
        <v>0.10795188737709993</v>
      </c>
      <c r="AN341" s="4">
        <f t="shared" si="125"/>
        <v>7.5176653938091809E-2</v>
      </c>
      <c r="AO341" s="4">
        <f t="shared" si="125"/>
        <v>5.1742836177502194E-2</v>
      </c>
      <c r="AP341" s="4">
        <f t="shared" si="125"/>
        <v>3.5319190625345942E-2</v>
      </c>
      <c r="AQ341" s="4">
        <f t="shared" si="125"/>
        <v>2.3969442072658165E-2</v>
      </c>
      <c r="AR341" s="4">
        <f t="shared" si="125"/>
        <v>1.6202243558389728E-2</v>
      </c>
    </row>
    <row r="342" spans="1:44" x14ac:dyDescent="0.25">
      <c r="A342" s="24" t="s">
        <v>59</v>
      </c>
      <c r="B342" s="60">
        <f>'Parameter Input'!$L$228</f>
        <v>647</v>
      </c>
      <c r="C342" s="61">
        <f>'Parameter Input'!$M$228</f>
        <v>600</v>
      </c>
      <c r="D342" s="1" t="s">
        <v>60</v>
      </c>
      <c r="L342" s="54">
        <f>'Parameter Input'!$O$216</f>
        <v>17</v>
      </c>
      <c r="M342" s="37">
        <v>0</v>
      </c>
      <c r="N342" s="37">
        <v>1</v>
      </c>
      <c r="O342" s="37">
        <f>'Parameter Input'!$P$216</f>
        <v>0.9</v>
      </c>
      <c r="P342" s="55">
        <f>'Parameter Input'!$Q$216</f>
        <v>0.4</v>
      </c>
      <c r="Q342" s="4">
        <f t="shared" si="125"/>
        <v>0.99780374543478534</v>
      </c>
      <c r="R342" s="4">
        <f t="shared" si="125"/>
        <v>0.99685359315256394</v>
      </c>
      <c r="S342" s="4">
        <f t="shared" si="125"/>
        <v>0.99549347132349975</v>
      </c>
      <c r="T342" s="4">
        <f t="shared" si="125"/>
        <v>0.99354772139898062</v>
      </c>
      <c r="U342" s="4">
        <f t="shared" si="125"/>
        <v>0.99076681540580536</v>
      </c>
      <c r="V342" s="4">
        <f t="shared" si="125"/>
        <v>0.9867978615748374</v>
      </c>
      <c r="W342" s="4">
        <f t="shared" si="125"/>
        <v>0.98114509762858249</v>
      </c>
      <c r="X342" s="4">
        <f t="shared" si="125"/>
        <v>0.97311898315872036</v>
      </c>
      <c r="Y342" s="4">
        <f t="shared" si="125"/>
        <v>0.96177484161592774</v>
      </c>
      <c r="Z342" s="4">
        <f t="shared" si="125"/>
        <v>0.94584787155511363</v>
      </c>
      <c r="AA342" s="4">
        <f t="shared" si="125"/>
        <v>0.92370360150141495</v>
      </c>
      <c r="AB342" s="4">
        <f t="shared" si="125"/>
        <v>0.89334463567658451</v>
      </c>
      <c r="AC342" s="4">
        <f t="shared" si="125"/>
        <v>0.85254543874327005</v>
      </c>
      <c r="AD342" s="4">
        <f t="shared" si="125"/>
        <v>0.79921300652623883</v>
      </c>
      <c r="AE342" s="4">
        <f t="shared" si="125"/>
        <v>0.73204982249993378</v>
      </c>
      <c r="AF342" s="4">
        <f t="shared" si="125"/>
        <v>0.65145592958786691</v>
      </c>
      <c r="AG342" s="4">
        <f t="shared" si="125"/>
        <v>0.56032247880849573</v>
      </c>
      <c r="AH342" s="4">
        <f t="shared" si="125"/>
        <v>0.46411326873185343</v>
      </c>
      <c r="AI342" s="4">
        <f t="shared" si="125"/>
        <v>0.36979727595523937</v>
      </c>
      <c r="AJ342" s="4">
        <f t="shared" si="125"/>
        <v>0.28393948637231203</v>
      </c>
      <c r="AK342" s="4">
        <f t="shared" si="125"/>
        <v>0.21097259161117732</v>
      </c>
      <c r="AL342" s="4">
        <f t="shared" si="125"/>
        <v>0.15253917653798199</v>
      </c>
      <c r="AM342" s="4">
        <f t="shared" si="125"/>
        <v>0.10795188737709993</v>
      </c>
      <c r="AN342" s="4">
        <f t="shared" si="125"/>
        <v>7.5176653938091809E-2</v>
      </c>
      <c r="AO342" s="4">
        <f t="shared" si="125"/>
        <v>5.1742836177502194E-2</v>
      </c>
      <c r="AP342" s="4">
        <f t="shared" si="125"/>
        <v>3.5319190625345942E-2</v>
      </c>
      <c r="AQ342" s="4">
        <f t="shared" si="125"/>
        <v>2.3969442072658165E-2</v>
      </c>
      <c r="AR342" s="4">
        <f t="shared" si="125"/>
        <v>1.6202243558389728E-2</v>
      </c>
    </row>
    <row r="343" spans="1:44" x14ac:dyDescent="0.25">
      <c r="A343" s="24" t="s">
        <v>67</v>
      </c>
      <c r="B343" s="78">
        <f>'Parameter Input'!$L$229</f>
        <v>3.1399999999999997E-2</v>
      </c>
      <c r="C343" s="61">
        <f>'Parameter Input'!$M$229</f>
        <v>3.1399999999999997E-2</v>
      </c>
      <c r="D343" s="1" t="s">
        <v>68</v>
      </c>
      <c r="L343" s="54">
        <f>'Parameter Input'!$O$217</f>
        <v>17</v>
      </c>
      <c r="M343" s="37">
        <v>0</v>
      </c>
      <c r="N343" s="37">
        <v>1</v>
      </c>
      <c r="O343" s="37">
        <f>'Parameter Input'!$P$217</f>
        <v>0.9</v>
      </c>
      <c r="P343" s="55">
        <f>'Parameter Input'!$Q$217</f>
        <v>0.4</v>
      </c>
      <c r="Q343" s="4">
        <f t="shared" si="125"/>
        <v>0.99780374543478534</v>
      </c>
      <c r="R343" s="4">
        <f t="shared" si="125"/>
        <v>0.99685359315256394</v>
      </c>
      <c r="S343" s="4">
        <f t="shared" si="125"/>
        <v>0.99549347132349975</v>
      </c>
      <c r="T343" s="4">
        <f t="shared" ref="T343:AI350" si="126">$N343+($M343-$N343)*((1/(1+EXP(-$P343*(T$9-$L343)))^$O343))</f>
        <v>0.99354772139898062</v>
      </c>
      <c r="U343" s="4">
        <f t="shared" si="126"/>
        <v>0.99076681540580536</v>
      </c>
      <c r="V343" s="4">
        <f t="shared" si="126"/>
        <v>0.9867978615748374</v>
      </c>
      <c r="W343" s="4">
        <f t="shared" si="126"/>
        <v>0.98114509762858249</v>
      </c>
      <c r="X343" s="4">
        <f t="shared" si="126"/>
        <v>0.97311898315872036</v>
      </c>
      <c r="Y343" s="4">
        <f t="shared" si="126"/>
        <v>0.96177484161592774</v>
      </c>
      <c r="Z343" s="4">
        <f t="shared" si="126"/>
        <v>0.94584787155511363</v>
      </c>
      <c r="AA343" s="4">
        <f t="shared" si="126"/>
        <v>0.92370360150141495</v>
      </c>
      <c r="AB343" s="4">
        <f t="shared" si="126"/>
        <v>0.89334463567658451</v>
      </c>
      <c r="AC343" s="4">
        <f t="shared" si="126"/>
        <v>0.85254543874327005</v>
      </c>
      <c r="AD343" s="4">
        <f t="shared" si="126"/>
        <v>0.79921300652623883</v>
      </c>
      <c r="AE343" s="4">
        <f t="shared" si="126"/>
        <v>0.73204982249993378</v>
      </c>
      <c r="AF343" s="4">
        <f t="shared" si="126"/>
        <v>0.65145592958786691</v>
      </c>
      <c r="AG343" s="4">
        <f t="shared" si="126"/>
        <v>0.56032247880849573</v>
      </c>
      <c r="AH343" s="4">
        <f t="shared" si="126"/>
        <v>0.46411326873185343</v>
      </c>
      <c r="AI343" s="4">
        <f t="shared" si="126"/>
        <v>0.36979727595523937</v>
      </c>
      <c r="AJ343" s="4">
        <f t="shared" ref="AJ343:AR350" si="127">$N343+($M343-$N343)*((1/(1+EXP(-$P343*(AJ$9-$L343)))^$O343))</f>
        <v>0.28393948637231203</v>
      </c>
      <c r="AK343" s="4">
        <f t="shared" si="127"/>
        <v>0.21097259161117732</v>
      </c>
      <c r="AL343" s="4">
        <f t="shared" si="127"/>
        <v>0.15253917653798199</v>
      </c>
      <c r="AM343" s="4">
        <f t="shared" si="127"/>
        <v>0.10795188737709993</v>
      </c>
      <c r="AN343" s="4">
        <f t="shared" si="127"/>
        <v>7.5176653938091809E-2</v>
      </c>
      <c r="AO343" s="4">
        <f t="shared" si="127"/>
        <v>5.1742836177502194E-2</v>
      </c>
      <c r="AP343" s="4">
        <f t="shared" si="127"/>
        <v>3.5319190625345942E-2</v>
      </c>
      <c r="AQ343" s="4">
        <f t="shared" si="127"/>
        <v>2.3969442072658165E-2</v>
      </c>
      <c r="AR343" s="4">
        <f t="shared" si="127"/>
        <v>1.6202243558389728E-2</v>
      </c>
    </row>
    <row r="344" spans="1:44" x14ac:dyDescent="0.25">
      <c r="A344" s="24" t="s">
        <v>206</v>
      </c>
      <c r="B344" s="78">
        <f>'Parameter Input'!$L$232</f>
        <v>0</v>
      </c>
      <c r="C344" s="61">
        <f>'Parameter Input'!$M$232</f>
        <v>0</v>
      </c>
      <c r="D344" s="1"/>
      <c r="L344" s="54">
        <f>'Parameter Input'!O220</f>
        <v>17</v>
      </c>
      <c r="M344" s="37">
        <v>0</v>
      </c>
      <c r="N344" s="37">
        <v>1</v>
      </c>
      <c r="O344" s="37">
        <f>'Parameter Input'!P220</f>
        <v>0.9</v>
      </c>
      <c r="P344" s="55">
        <f>'Parameter Input'!Q220</f>
        <v>0.4</v>
      </c>
      <c r="Q344" s="4">
        <f t="shared" ref="Q344:AR350" si="128">$N344+($M344-$N344)*((1/(1+EXP(-$P344*(Q$9-$L344)))^$O344))</f>
        <v>0.99780374543478534</v>
      </c>
      <c r="R344" s="4">
        <f t="shared" si="128"/>
        <v>0.99685359315256394</v>
      </c>
      <c r="S344" s="4">
        <f t="shared" si="128"/>
        <v>0.99549347132349975</v>
      </c>
      <c r="T344" s="4">
        <f t="shared" si="128"/>
        <v>0.99354772139898062</v>
      </c>
      <c r="U344" s="4">
        <f t="shared" si="128"/>
        <v>0.99076681540580536</v>
      </c>
      <c r="V344" s="4">
        <f t="shared" si="128"/>
        <v>0.9867978615748374</v>
      </c>
      <c r="W344" s="4">
        <f t="shared" si="128"/>
        <v>0.98114509762858249</v>
      </c>
      <c r="X344" s="4">
        <f t="shared" si="128"/>
        <v>0.97311898315872036</v>
      </c>
      <c r="Y344" s="4">
        <f t="shared" si="128"/>
        <v>0.96177484161592774</v>
      </c>
      <c r="Z344" s="4">
        <f t="shared" si="128"/>
        <v>0.94584787155511363</v>
      </c>
      <c r="AA344" s="4">
        <f t="shared" si="128"/>
        <v>0.92370360150141495</v>
      </c>
      <c r="AB344" s="4">
        <f t="shared" si="128"/>
        <v>0.89334463567658451</v>
      </c>
      <c r="AC344" s="4">
        <f t="shared" si="128"/>
        <v>0.85254543874327005</v>
      </c>
      <c r="AD344" s="4">
        <f t="shared" si="128"/>
        <v>0.79921300652623883</v>
      </c>
      <c r="AE344" s="4">
        <f t="shared" si="128"/>
        <v>0.73204982249993378</v>
      </c>
      <c r="AF344" s="4">
        <f t="shared" si="128"/>
        <v>0.65145592958786691</v>
      </c>
      <c r="AG344" s="4">
        <f t="shared" si="128"/>
        <v>0.56032247880849573</v>
      </c>
      <c r="AH344" s="4">
        <f t="shared" si="128"/>
        <v>0.46411326873185343</v>
      </c>
      <c r="AI344" s="4">
        <f t="shared" si="128"/>
        <v>0.36979727595523937</v>
      </c>
      <c r="AJ344" s="4">
        <f t="shared" si="128"/>
        <v>0.28393948637231203</v>
      </c>
      <c r="AK344" s="4">
        <f t="shared" si="128"/>
        <v>0.21097259161117732</v>
      </c>
      <c r="AL344" s="4">
        <f t="shared" si="128"/>
        <v>0.15253917653798199</v>
      </c>
      <c r="AM344" s="4">
        <f t="shared" si="128"/>
        <v>0.10795188737709993</v>
      </c>
      <c r="AN344" s="4">
        <f t="shared" si="128"/>
        <v>7.5176653938091809E-2</v>
      </c>
      <c r="AO344" s="4">
        <f t="shared" si="128"/>
        <v>5.1742836177502194E-2</v>
      </c>
      <c r="AP344" s="4">
        <f t="shared" si="128"/>
        <v>3.5319190625345942E-2</v>
      </c>
      <c r="AQ344" s="4">
        <f t="shared" si="128"/>
        <v>2.3969442072658165E-2</v>
      </c>
      <c r="AR344" s="4">
        <f t="shared" si="128"/>
        <v>1.6202243558389728E-2</v>
      </c>
    </row>
    <row r="345" spans="1:44" x14ac:dyDescent="0.25">
      <c r="A345" s="24" t="s">
        <v>41</v>
      </c>
      <c r="B345" s="60">
        <f>'Parameter Input'!$L$226</f>
        <v>25</v>
      </c>
      <c r="C345" s="61">
        <f>'Parameter Input'!$M$226</f>
        <v>25</v>
      </c>
      <c r="D345" s="1" t="s">
        <v>42</v>
      </c>
      <c r="L345" s="54">
        <f>'Parameter Input'!$O$214</f>
        <v>17</v>
      </c>
      <c r="M345" s="37">
        <v>0</v>
      </c>
      <c r="N345" s="37">
        <v>1</v>
      </c>
      <c r="O345" s="37">
        <f>'Parameter Input'!$P$214</f>
        <v>0.9</v>
      </c>
      <c r="P345" s="55">
        <f>'Parameter Input'!$Q$214</f>
        <v>0.4</v>
      </c>
      <c r="Q345" s="4">
        <f t="shared" si="128"/>
        <v>0.99780374543478534</v>
      </c>
      <c r="R345" s="4">
        <f t="shared" si="128"/>
        <v>0.99685359315256394</v>
      </c>
      <c r="S345" s="4">
        <f t="shared" si="128"/>
        <v>0.99549347132349975</v>
      </c>
      <c r="T345" s="4">
        <f t="shared" si="128"/>
        <v>0.99354772139898062</v>
      </c>
      <c r="U345" s="4">
        <f t="shared" si="128"/>
        <v>0.99076681540580536</v>
      </c>
      <c r="V345" s="4">
        <f t="shared" si="128"/>
        <v>0.9867978615748374</v>
      </c>
      <c r="W345" s="4">
        <f t="shared" si="128"/>
        <v>0.98114509762858249</v>
      </c>
      <c r="X345" s="4">
        <f t="shared" si="128"/>
        <v>0.97311898315872036</v>
      </c>
      <c r="Y345" s="4">
        <f t="shared" si="128"/>
        <v>0.96177484161592774</v>
      </c>
      <c r="Z345" s="4">
        <f t="shared" si="128"/>
        <v>0.94584787155511363</v>
      </c>
      <c r="AA345" s="4">
        <f t="shared" si="128"/>
        <v>0.92370360150141495</v>
      </c>
      <c r="AB345" s="4">
        <f t="shared" si="128"/>
        <v>0.89334463567658451</v>
      </c>
      <c r="AC345" s="4">
        <f t="shared" si="128"/>
        <v>0.85254543874327005</v>
      </c>
      <c r="AD345" s="4">
        <f t="shared" si="128"/>
        <v>0.79921300652623883</v>
      </c>
      <c r="AE345" s="4">
        <f t="shared" si="128"/>
        <v>0.73204982249993378</v>
      </c>
      <c r="AF345" s="4">
        <f t="shared" si="128"/>
        <v>0.65145592958786691</v>
      </c>
      <c r="AG345" s="4">
        <f t="shared" si="126"/>
        <v>0.56032247880849573</v>
      </c>
      <c r="AH345" s="4">
        <f t="shared" si="126"/>
        <v>0.46411326873185343</v>
      </c>
      <c r="AI345" s="4">
        <f t="shared" si="126"/>
        <v>0.36979727595523937</v>
      </c>
      <c r="AJ345" s="4">
        <f t="shared" si="127"/>
        <v>0.28393948637231203</v>
      </c>
      <c r="AK345" s="4">
        <f t="shared" si="127"/>
        <v>0.21097259161117732</v>
      </c>
      <c r="AL345" s="4">
        <f t="shared" si="127"/>
        <v>0.15253917653798199</v>
      </c>
      <c r="AM345" s="4">
        <f t="shared" si="127"/>
        <v>0.10795188737709993</v>
      </c>
      <c r="AN345" s="4">
        <f t="shared" si="127"/>
        <v>7.5176653938091809E-2</v>
      </c>
      <c r="AO345" s="4">
        <f t="shared" si="127"/>
        <v>5.1742836177502194E-2</v>
      </c>
      <c r="AP345" s="4">
        <f t="shared" si="127"/>
        <v>3.5319190625345942E-2</v>
      </c>
      <c r="AQ345" s="4">
        <f t="shared" si="127"/>
        <v>2.3969442072658165E-2</v>
      </c>
      <c r="AR345" s="4">
        <f t="shared" si="127"/>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128"/>
        <v>0.99780374543478534</v>
      </c>
      <c r="R346" s="4">
        <f t="shared" si="128"/>
        <v>0.99685359315256394</v>
      </c>
      <c r="S346" s="4">
        <f t="shared" si="128"/>
        <v>0.99549347132349975</v>
      </c>
      <c r="T346" s="4">
        <f t="shared" si="128"/>
        <v>0.99354772139898062</v>
      </c>
      <c r="U346" s="4">
        <f t="shared" si="128"/>
        <v>0.99076681540580536</v>
      </c>
      <c r="V346" s="4">
        <f t="shared" si="128"/>
        <v>0.9867978615748374</v>
      </c>
      <c r="W346" s="4">
        <f t="shared" si="128"/>
        <v>0.98114509762858249</v>
      </c>
      <c r="X346" s="4">
        <f t="shared" si="128"/>
        <v>0.97311898315872036</v>
      </c>
      <c r="Y346" s="4">
        <f t="shared" si="128"/>
        <v>0.96177484161592774</v>
      </c>
      <c r="Z346" s="4">
        <f t="shared" si="128"/>
        <v>0.94584787155511363</v>
      </c>
      <c r="AA346" s="4">
        <f t="shared" si="128"/>
        <v>0.92370360150141495</v>
      </c>
      <c r="AB346" s="4">
        <f t="shared" si="128"/>
        <v>0.89334463567658451</v>
      </c>
      <c r="AC346" s="4">
        <f t="shared" si="128"/>
        <v>0.85254543874327005</v>
      </c>
      <c r="AD346" s="4">
        <f t="shared" si="128"/>
        <v>0.79921300652623883</v>
      </c>
      <c r="AE346" s="4">
        <f t="shared" si="128"/>
        <v>0.73204982249993378</v>
      </c>
      <c r="AF346" s="4">
        <f t="shared" si="128"/>
        <v>0.65145592958786691</v>
      </c>
      <c r="AG346" s="4">
        <f t="shared" si="126"/>
        <v>0.56032247880849573</v>
      </c>
      <c r="AH346" s="4">
        <f t="shared" si="126"/>
        <v>0.46411326873185343</v>
      </c>
      <c r="AI346" s="4">
        <f t="shared" si="126"/>
        <v>0.36979727595523937</v>
      </c>
      <c r="AJ346" s="4">
        <f t="shared" si="127"/>
        <v>0.28393948637231203</v>
      </c>
      <c r="AK346" s="4">
        <f t="shared" si="127"/>
        <v>0.21097259161117732</v>
      </c>
      <c r="AL346" s="4">
        <f t="shared" si="127"/>
        <v>0.15253917653798199</v>
      </c>
      <c r="AM346" s="4">
        <f t="shared" si="127"/>
        <v>0.10795188737709993</v>
      </c>
      <c r="AN346" s="4">
        <f t="shared" si="127"/>
        <v>7.5176653938091809E-2</v>
      </c>
      <c r="AO346" s="4">
        <f t="shared" si="127"/>
        <v>5.1742836177502194E-2</v>
      </c>
      <c r="AP346" s="4">
        <f t="shared" si="127"/>
        <v>3.5319190625345942E-2</v>
      </c>
      <c r="AQ346" s="4">
        <f t="shared" si="127"/>
        <v>2.3969442072658165E-2</v>
      </c>
      <c r="AR346" s="4">
        <f t="shared" si="127"/>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128"/>
        <v>0.99780374543478534</v>
      </c>
      <c r="R347" s="4">
        <f t="shared" si="128"/>
        <v>0.99685359315256394</v>
      </c>
      <c r="S347" s="4">
        <f t="shared" si="128"/>
        <v>0.99549347132349975</v>
      </c>
      <c r="T347" s="4">
        <f t="shared" si="128"/>
        <v>0.99354772139898062</v>
      </c>
      <c r="U347" s="4">
        <f t="shared" si="128"/>
        <v>0.99076681540580536</v>
      </c>
      <c r="V347" s="4">
        <f t="shared" si="128"/>
        <v>0.9867978615748374</v>
      </c>
      <c r="W347" s="4">
        <f t="shared" si="128"/>
        <v>0.98114509762858249</v>
      </c>
      <c r="X347" s="4">
        <f t="shared" si="128"/>
        <v>0.97311898315872036</v>
      </c>
      <c r="Y347" s="4">
        <f t="shared" si="128"/>
        <v>0.96177484161592774</v>
      </c>
      <c r="Z347" s="4">
        <f t="shared" si="128"/>
        <v>0.94584787155511363</v>
      </c>
      <c r="AA347" s="4">
        <f t="shared" si="128"/>
        <v>0.92370360150141495</v>
      </c>
      <c r="AB347" s="4">
        <f t="shared" si="128"/>
        <v>0.89334463567658451</v>
      </c>
      <c r="AC347" s="4">
        <f t="shared" si="128"/>
        <v>0.85254543874327005</v>
      </c>
      <c r="AD347" s="4">
        <f t="shared" si="128"/>
        <v>0.79921300652623883</v>
      </c>
      <c r="AE347" s="4">
        <f t="shared" si="128"/>
        <v>0.73204982249993378</v>
      </c>
      <c r="AF347" s="4">
        <f t="shared" si="128"/>
        <v>0.65145592958786691</v>
      </c>
      <c r="AG347" s="4">
        <f t="shared" si="126"/>
        <v>0.56032247880849573</v>
      </c>
      <c r="AH347" s="4">
        <f t="shared" si="126"/>
        <v>0.46411326873185343</v>
      </c>
      <c r="AI347" s="4">
        <f t="shared" si="126"/>
        <v>0.36979727595523937</v>
      </c>
      <c r="AJ347" s="4">
        <f t="shared" si="127"/>
        <v>0.28393948637231203</v>
      </c>
      <c r="AK347" s="4">
        <f t="shared" si="127"/>
        <v>0.21097259161117732</v>
      </c>
      <c r="AL347" s="4">
        <f t="shared" si="127"/>
        <v>0.15253917653798199</v>
      </c>
      <c r="AM347" s="4">
        <f t="shared" si="127"/>
        <v>0.10795188737709993</v>
      </c>
      <c r="AN347" s="4">
        <f t="shared" si="127"/>
        <v>7.5176653938091809E-2</v>
      </c>
      <c r="AO347" s="4">
        <f t="shared" si="127"/>
        <v>5.1742836177502194E-2</v>
      </c>
      <c r="AP347" s="4">
        <f t="shared" si="127"/>
        <v>3.5319190625345942E-2</v>
      </c>
      <c r="AQ347" s="4">
        <f t="shared" si="127"/>
        <v>2.3969442072658165E-2</v>
      </c>
      <c r="AR347" s="4">
        <f t="shared" si="127"/>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128"/>
        <v>0.99780374543478534</v>
      </c>
      <c r="R348" s="4">
        <f t="shared" si="128"/>
        <v>0.99685359315256394</v>
      </c>
      <c r="S348" s="4">
        <f t="shared" si="128"/>
        <v>0.99549347132349975</v>
      </c>
      <c r="T348" s="4">
        <f t="shared" si="128"/>
        <v>0.99354772139898062</v>
      </c>
      <c r="U348" s="4">
        <f t="shared" si="128"/>
        <v>0.99076681540580536</v>
      </c>
      <c r="V348" s="4">
        <f t="shared" si="128"/>
        <v>0.9867978615748374</v>
      </c>
      <c r="W348" s="4">
        <f t="shared" si="128"/>
        <v>0.98114509762858249</v>
      </c>
      <c r="X348" s="4">
        <f t="shared" si="128"/>
        <v>0.97311898315872036</v>
      </c>
      <c r="Y348" s="4">
        <f t="shared" si="128"/>
        <v>0.96177484161592774</v>
      </c>
      <c r="Z348" s="4">
        <f t="shared" si="128"/>
        <v>0.94584787155511363</v>
      </c>
      <c r="AA348" s="4">
        <f t="shared" si="128"/>
        <v>0.92370360150141495</v>
      </c>
      <c r="AB348" s="4">
        <f t="shared" si="128"/>
        <v>0.89334463567658451</v>
      </c>
      <c r="AC348" s="4">
        <f t="shared" si="128"/>
        <v>0.85254543874327005</v>
      </c>
      <c r="AD348" s="4">
        <f t="shared" si="128"/>
        <v>0.79921300652623883</v>
      </c>
      <c r="AE348" s="4">
        <f t="shared" si="128"/>
        <v>0.73204982249993378</v>
      </c>
      <c r="AF348" s="4">
        <f t="shared" si="128"/>
        <v>0.65145592958786691</v>
      </c>
      <c r="AG348" s="4">
        <f t="shared" si="126"/>
        <v>0.56032247880849573</v>
      </c>
      <c r="AH348" s="4">
        <f t="shared" si="126"/>
        <v>0.46411326873185343</v>
      </c>
      <c r="AI348" s="4">
        <f t="shared" si="126"/>
        <v>0.36979727595523937</v>
      </c>
      <c r="AJ348" s="4">
        <f t="shared" si="127"/>
        <v>0.28393948637231203</v>
      </c>
      <c r="AK348" s="4">
        <f t="shared" si="127"/>
        <v>0.21097259161117732</v>
      </c>
      <c r="AL348" s="4">
        <f t="shared" si="127"/>
        <v>0.15253917653798199</v>
      </c>
      <c r="AM348" s="4">
        <f t="shared" si="127"/>
        <v>0.10795188737709993</v>
      </c>
      <c r="AN348" s="4">
        <f t="shared" si="127"/>
        <v>7.5176653938091809E-2</v>
      </c>
      <c r="AO348" s="4">
        <f t="shared" si="127"/>
        <v>5.1742836177502194E-2</v>
      </c>
      <c r="AP348" s="4">
        <f t="shared" si="127"/>
        <v>3.5319190625345942E-2</v>
      </c>
      <c r="AQ348" s="4">
        <f t="shared" si="127"/>
        <v>2.3969442072658165E-2</v>
      </c>
      <c r="AR348" s="4">
        <f t="shared" si="127"/>
        <v>1.6202243558389728E-2</v>
      </c>
    </row>
    <row r="349" spans="1:44" x14ac:dyDescent="0.25">
      <c r="A349" s="24" t="s">
        <v>73</v>
      </c>
      <c r="B349" s="45">
        <f>'Parameter Input'!$L$230</f>
        <v>0</v>
      </c>
      <c r="C349" s="46">
        <f>'Parameter Input'!$M$230</f>
        <v>0</v>
      </c>
      <c r="D349" s="1" t="s">
        <v>57</v>
      </c>
      <c r="L349" s="54">
        <f>'Parameter Input'!$O$218</f>
        <v>17</v>
      </c>
      <c r="M349" s="37">
        <v>0</v>
      </c>
      <c r="N349" s="37">
        <v>1</v>
      </c>
      <c r="O349" s="37">
        <f>'Parameter Input'!$P$218</f>
        <v>0.9</v>
      </c>
      <c r="P349" s="55">
        <f>'Parameter Input'!$Q$218</f>
        <v>0.4</v>
      </c>
      <c r="Q349" s="4">
        <f t="shared" si="128"/>
        <v>0.99780374543478534</v>
      </c>
      <c r="R349" s="4">
        <f t="shared" si="128"/>
        <v>0.99685359315256394</v>
      </c>
      <c r="S349" s="4">
        <f t="shared" si="128"/>
        <v>0.99549347132349975</v>
      </c>
      <c r="T349" s="4">
        <f t="shared" si="128"/>
        <v>0.99354772139898062</v>
      </c>
      <c r="U349" s="4">
        <f t="shared" si="128"/>
        <v>0.99076681540580536</v>
      </c>
      <c r="V349" s="4">
        <f t="shared" si="128"/>
        <v>0.9867978615748374</v>
      </c>
      <c r="W349" s="4">
        <f t="shared" si="128"/>
        <v>0.98114509762858249</v>
      </c>
      <c r="X349" s="4">
        <f t="shared" si="128"/>
        <v>0.97311898315872036</v>
      </c>
      <c r="Y349" s="4">
        <f t="shared" si="128"/>
        <v>0.96177484161592774</v>
      </c>
      <c r="Z349" s="4">
        <f t="shared" si="128"/>
        <v>0.94584787155511363</v>
      </c>
      <c r="AA349" s="4">
        <f t="shared" si="128"/>
        <v>0.92370360150141495</v>
      </c>
      <c r="AB349" s="4">
        <f t="shared" si="128"/>
        <v>0.89334463567658451</v>
      </c>
      <c r="AC349" s="4">
        <f t="shared" si="128"/>
        <v>0.85254543874327005</v>
      </c>
      <c r="AD349" s="4">
        <f t="shared" si="128"/>
        <v>0.79921300652623883</v>
      </c>
      <c r="AE349" s="4">
        <f t="shared" si="128"/>
        <v>0.73204982249993378</v>
      </c>
      <c r="AF349" s="4">
        <f t="shared" si="128"/>
        <v>0.65145592958786691</v>
      </c>
      <c r="AG349" s="4">
        <f t="shared" si="126"/>
        <v>0.56032247880849573</v>
      </c>
      <c r="AH349" s="4">
        <f t="shared" si="126"/>
        <v>0.46411326873185343</v>
      </c>
      <c r="AI349" s="4">
        <f t="shared" si="126"/>
        <v>0.36979727595523937</v>
      </c>
      <c r="AJ349" s="4">
        <f t="shared" si="127"/>
        <v>0.28393948637231203</v>
      </c>
      <c r="AK349" s="4">
        <f t="shared" si="127"/>
        <v>0.21097259161117732</v>
      </c>
      <c r="AL349" s="4">
        <f t="shared" si="127"/>
        <v>0.15253917653798199</v>
      </c>
      <c r="AM349" s="4">
        <f t="shared" si="127"/>
        <v>0.10795188737709993</v>
      </c>
      <c r="AN349" s="4">
        <f t="shared" si="127"/>
        <v>7.5176653938091809E-2</v>
      </c>
      <c r="AO349" s="4">
        <f t="shared" si="127"/>
        <v>5.1742836177502194E-2</v>
      </c>
      <c r="AP349" s="4">
        <f t="shared" si="127"/>
        <v>3.5319190625345942E-2</v>
      </c>
      <c r="AQ349" s="4">
        <f t="shared" si="127"/>
        <v>2.3969442072658165E-2</v>
      </c>
      <c r="AR349" s="4">
        <f t="shared" si="127"/>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128"/>
        <v>0.99780374543478534</v>
      </c>
      <c r="R350" s="4">
        <f t="shared" si="128"/>
        <v>0.99685359315256394</v>
      </c>
      <c r="S350" s="4">
        <f t="shared" si="128"/>
        <v>0.99549347132349975</v>
      </c>
      <c r="T350" s="4">
        <f t="shared" si="128"/>
        <v>0.99354772139898062</v>
      </c>
      <c r="U350" s="4">
        <f t="shared" si="128"/>
        <v>0.99076681540580536</v>
      </c>
      <c r="V350" s="4">
        <f t="shared" si="128"/>
        <v>0.9867978615748374</v>
      </c>
      <c r="W350" s="4">
        <f t="shared" si="128"/>
        <v>0.98114509762858249</v>
      </c>
      <c r="X350" s="4">
        <f t="shared" si="128"/>
        <v>0.97311898315872036</v>
      </c>
      <c r="Y350" s="4">
        <f t="shared" si="128"/>
        <v>0.96177484161592774</v>
      </c>
      <c r="Z350" s="4">
        <f t="shared" si="128"/>
        <v>0.94584787155511363</v>
      </c>
      <c r="AA350" s="4">
        <f t="shared" si="128"/>
        <v>0.92370360150141495</v>
      </c>
      <c r="AB350" s="4">
        <f t="shared" si="128"/>
        <v>0.89334463567658451</v>
      </c>
      <c r="AC350" s="4">
        <f t="shared" si="128"/>
        <v>0.85254543874327005</v>
      </c>
      <c r="AD350" s="4">
        <f t="shared" si="128"/>
        <v>0.79921300652623883</v>
      </c>
      <c r="AE350" s="4">
        <f t="shared" si="128"/>
        <v>0.73204982249993378</v>
      </c>
      <c r="AF350" s="4">
        <f t="shared" si="128"/>
        <v>0.65145592958786691</v>
      </c>
      <c r="AG350" s="4">
        <f t="shared" si="126"/>
        <v>0.56032247880849573</v>
      </c>
      <c r="AH350" s="4">
        <f t="shared" si="126"/>
        <v>0.46411326873185343</v>
      </c>
      <c r="AI350" s="4">
        <f t="shared" si="126"/>
        <v>0.36979727595523937</v>
      </c>
      <c r="AJ350" s="4">
        <f t="shared" si="127"/>
        <v>0.28393948637231203</v>
      </c>
      <c r="AK350" s="4">
        <f t="shared" si="127"/>
        <v>0.21097259161117732</v>
      </c>
      <c r="AL350" s="4">
        <f t="shared" si="127"/>
        <v>0.15253917653798199</v>
      </c>
      <c r="AM350" s="4">
        <f t="shared" si="127"/>
        <v>0.10795188737709993</v>
      </c>
      <c r="AN350" s="4">
        <f t="shared" si="127"/>
        <v>7.5176653938091809E-2</v>
      </c>
      <c r="AO350" s="4">
        <f t="shared" si="127"/>
        <v>5.1742836177502194E-2</v>
      </c>
      <c r="AP350" s="4">
        <f t="shared" si="127"/>
        <v>3.5319190625345942E-2</v>
      </c>
      <c r="AQ350" s="4">
        <f t="shared" si="127"/>
        <v>2.3969442072658165E-2</v>
      </c>
      <c r="AR350" s="4">
        <f t="shared" si="127"/>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29">A334</f>
        <v>Capex vehicle</v>
      </c>
      <c r="B354" s="62">
        <f t="shared" ref="B354:AC362" si="130">$B334+($C334-$B334)*(1-Q334)</f>
        <v>15000000</v>
      </c>
      <c r="C354" s="62">
        <f t="shared" si="130"/>
        <v>15000000</v>
      </c>
      <c r="D354" s="62">
        <f t="shared" si="130"/>
        <v>15000000</v>
      </c>
      <c r="E354" s="62">
        <f t="shared" si="130"/>
        <v>15000000</v>
      </c>
      <c r="F354" s="62">
        <f t="shared" si="130"/>
        <v>15000000</v>
      </c>
      <c r="G354" s="62">
        <f t="shared" si="130"/>
        <v>15000000</v>
      </c>
      <c r="H354" s="62">
        <f t="shared" si="130"/>
        <v>15000000</v>
      </c>
      <c r="I354" s="62">
        <f t="shared" si="130"/>
        <v>15000000</v>
      </c>
      <c r="J354" s="62">
        <f t="shared" si="130"/>
        <v>15000000</v>
      </c>
      <c r="K354" s="62">
        <f t="shared" si="130"/>
        <v>15000000</v>
      </c>
      <c r="L354" s="62">
        <f t="shared" si="130"/>
        <v>15000000</v>
      </c>
      <c r="M354" s="62">
        <f t="shared" si="130"/>
        <v>15000000</v>
      </c>
      <c r="N354" s="62">
        <f t="shared" si="130"/>
        <v>15000000</v>
      </c>
      <c r="O354" s="62">
        <f t="shared" si="130"/>
        <v>15000000</v>
      </c>
      <c r="P354" s="62">
        <f t="shared" si="130"/>
        <v>15000000</v>
      </c>
      <c r="Q354" s="62">
        <f t="shared" si="130"/>
        <v>15000000</v>
      </c>
      <c r="R354" s="62">
        <f t="shared" si="130"/>
        <v>15000000</v>
      </c>
      <c r="S354" s="62">
        <f t="shared" si="130"/>
        <v>15000000</v>
      </c>
      <c r="T354" s="62">
        <f t="shared" si="130"/>
        <v>15000000</v>
      </c>
      <c r="U354" s="62">
        <f t="shared" si="130"/>
        <v>15000000</v>
      </c>
      <c r="V354" s="62">
        <f t="shared" si="130"/>
        <v>15000000</v>
      </c>
      <c r="W354" s="62">
        <f t="shared" si="130"/>
        <v>15000000</v>
      </c>
      <c r="X354" s="62">
        <f t="shared" si="130"/>
        <v>15000000</v>
      </c>
      <c r="Y354" s="62">
        <f t="shared" si="130"/>
        <v>15000000</v>
      </c>
      <c r="Z354" s="62">
        <f t="shared" si="130"/>
        <v>15000000</v>
      </c>
      <c r="AA354" s="62">
        <f t="shared" si="130"/>
        <v>15000000</v>
      </c>
      <c r="AB354" s="62">
        <f t="shared" si="130"/>
        <v>15000000</v>
      </c>
      <c r="AC354" s="62">
        <f t="shared" si="130"/>
        <v>15000000</v>
      </c>
    </row>
    <row r="355" spans="1:29" x14ac:dyDescent="0.25">
      <c r="A355" s="30" t="str">
        <f t="shared" si="129"/>
        <v>Residual value (vehicle)</v>
      </c>
      <c r="B355" s="62">
        <f t="shared" si="130"/>
        <v>-1498352.8090760889</v>
      </c>
      <c r="C355" s="62">
        <f t="shared" si="130"/>
        <v>-1497640.194864423</v>
      </c>
      <c r="D355" s="62">
        <f t="shared" si="130"/>
        <v>-1496620.1034926248</v>
      </c>
      <c r="E355" s="62">
        <f t="shared" si="130"/>
        <v>-1495160.7910492355</v>
      </c>
      <c r="F355" s="62">
        <f t="shared" si="130"/>
        <v>-1493075.111554354</v>
      </c>
      <c r="G355" s="62">
        <f t="shared" si="130"/>
        <v>-1490098.396181128</v>
      </c>
      <c r="H355" s="62">
        <f t="shared" si="130"/>
        <v>-1485858.8232214369</v>
      </c>
      <c r="I355" s="62">
        <f t="shared" si="130"/>
        <v>-1479839.2373690403</v>
      </c>
      <c r="J355" s="62">
        <f t="shared" si="130"/>
        <v>-1471331.1312119458</v>
      </c>
      <c r="K355" s="62">
        <f t="shared" si="130"/>
        <v>-1459385.9036663352</v>
      </c>
      <c r="L355" s="62">
        <f t="shared" si="130"/>
        <v>-1442777.7011260611</v>
      </c>
      <c r="M355" s="62">
        <f t="shared" si="130"/>
        <v>-1420008.4767574384</v>
      </c>
      <c r="N355" s="62">
        <f t="shared" si="130"/>
        <v>-1389409.0790574525</v>
      </c>
      <c r="O355" s="62">
        <f t="shared" si="130"/>
        <v>-1349409.7548946792</v>
      </c>
      <c r="P355" s="62">
        <f t="shared" si="130"/>
        <v>-1299037.3668749502</v>
      </c>
      <c r="Q355" s="62">
        <f t="shared" si="130"/>
        <v>-1238591.9471909001</v>
      </c>
      <c r="R355" s="62">
        <f t="shared" si="130"/>
        <v>-1170241.8591063719</v>
      </c>
      <c r="S355" s="62">
        <f t="shared" si="130"/>
        <v>-1098084.9515488902</v>
      </c>
      <c r="T355" s="62">
        <f t="shared" si="130"/>
        <v>-1027347.9569664295</v>
      </c>
      <c r="U355" s="62">
        <f t="shared" si="130"/>
        <v>-962954.61477923405</v>
      </c>
      <c r="V355" s="62">
        <f t="shared" si="130"/>
        <v>-908229.44370838301</v>
      </c>
      <c r="W355" s="62">
        <f t="shared" si="130"/>
        <v>-864404.38240348652</v>
      </c>
      <c r="X355" s="62">
        <f t="shared" si="130"/>
        <v>-830963.91553282493</v>
      </c>
      <c r="Y355" s="62">
        <f t="shared" si="130"/>
        <v>-806382.49045356887</v>
      </c>
      <c r="Z355" s="62">
        <f t="shared" si="130"/>
        <v>-788807.1271331266</v>
      </c>
      <c r="AA355" s="62">
        <f t="shared" si="130"/>
        <v>-776489.39296900947</v>
      </c>
      <c r="AB355" s="62">
        <f t="shared" si="130"/>
        <v>-767977.08155449363</v>
      </c>
      <c r="AC355" s="62">
        <f t="shared" si="130"/>
        <v>-762151.68266879232</v>
      </c>
    </row>
    <row r="356" spans="1:29" x14ac:dyDescent="0.25">
      <c r="A356" s="30" t="str">
        <f t="shared" si="129"/>
        <v>Capex costumization</v>
      </c>
      <c r="B356" s="62">
        <f t="shared" si="130"/>
        <v>1000000</v>
      </c>
      <c r="C356" s="62">
        <f t="shared" si="130"/>
        <v>1000000</v>
      </c>
      <c r="D356" s="62">
        <f t="shared" si="130"/>
        <v>1000000</v>
      </c>
      <c r="E356" s="62">
        <f t="shared" si="130"/>
        <v>1000000</v>
      </c>
      <c r="F356" s="62">
        <f t="shared" si="130"/>
        <v>1000000</v>
      </c>
      <c r="G356" s="62">
        <f t="shared" si="130"/>
        <v>1000000</v>
      </c>
      <c r="H356" s="62">
        <f t="shared" si="130"/>
        <v>1000000</v>
      </c>
      <c r="I356" s="62">
        <f t="shared" si="130"/>
        <v>1000000</v>
      </c>
      <c r="J356" s="62">
        <f t="shared" si="130"/>
        <v>1000000</v>
      </c>
      <c r="K356" s="62">
        <f t="shared" si="130"/>
        <v>1000000</v>
      </c>
      <c r="L356" s="62">
        <f t="shared" si="130"/>
        <v>1000000</v>
      </c>
      <c r="M356" s="62">
        <f t="shared" si="130"/>
        <v>1000000</v>
      </c>
      <c r="N356" s="62">
        <f t="shared" si="130"/>
        <v>1000000</v>
      </c>
      <c r="O356" s="62">
        <f t="shared" si="130"/>
        <v>1000000</v>
      </c>
      <c r="P356" s="62">
        <f t="shared" si="130"/>
        <v>1000000</v>
      </c>
      <c r="Q356" s="62">
        <f t="shared" si="130"/>
        <v>1000000</v>
      </c>
      <c r="R356" s="62">
        <f t="shared" si="130"/>
        <v>1000000</v>
      </c>
      <c r="S356" s="62">
        <f t="shared" si="130"/>
        <v>1000000</v>
      </c>
      <c r="T356" s="62">
        <f t="shared" si="130"/>
        <v>1000000</v>
      </c>
      <c r="U356" s="62">
        <f t="shared" si="130"/>
        <v>1000000</v>
      </c>
      <c r="V356" s="62">
        <f t="shared" si="130"/>
        <v>1000000</v>
      </c>
      <c r="W356" s="62">
        <f t="shared" si="130"/>
        <v>1000000</v>
      </c>
      <c r="X356" s="62">
        <f t="shared" si="130"/>
        <v>1000000</v>
      </c>
      <c r="Y356" s="62">
        <f t="shared" si="130"/>
        <v>1000000</v>
      </c>
      <c r="Z356" s="62">
        <f t="shared" si="130"/>
        <v>1000000</v>
      </c>
      <c r="AA356" s="62">
        <f t="shared" si="130"/>
        <v>1000000</v>
      </c>
      <c r="AB356" s="62">
        <f t="shared" si="130"/>
        <v>1000000</v>
      </c>
      <c r="AC356" s="62">
        <f t="shared" si="130"/>
        <v>1000000</v>
      </c>
    </row>
    <row r="357" spans="1:29" x14ac:dyDescent="0.25">
      <c r="A357" s="30" t="str">
        <f t="shared" si="129"/>
        <v>Residual value (costumization)</v>
      </c>
      <c r="B357" s="62">
        <f t="shared" si="130"/>
        <v>-100000</v>
      </c>
      <c r="C357" s="62">
        <f t="shared" si="130"/>
        <v>-100000</v>
      </c>
      <c r="D357" s="62">
        <f t="shared" si="130"/>
        <v>-100000</v>
      </c>
      <c r="E357" s="62">
        <f t="shared" si="130"/>
        <v>-100000</v>
      </c>
      <c r="F357" s="62">
        <f t="shared" si="130"/>
        <v>-100000</v>
      </c>
      <c r="G357" s="62">
        <f t="shared" si="130"/>
        <v>-100000</v>
      </c>
      <c r="H357" s="62">
        <f t="shared" si="130"/>
        <v>-100000</v>
      </c>
      <c r="I357" s="62">
        <f t="shared" si="130"/>
        <v>-100000</v>
      </c>
      <c r="J357" s="62">
        <f t="shared" si="130"/>
        <v>-100000</v>
      </c>
      <c r="K357" s="62">
        <f t="shared" si="130"/>
        <v>-100000</v>
      </c>
      <c r="L357" s="62">
        <f t="shared" si="130"/>
        <v>-100000</v>
      </c>
      <c r="M357" s="62">
        <f t="shared" si="130"/>
        <v>-100000</v>
      </c>
      <c r="N357" s="62">
        <f t="shared" si="130"/>
        <v>-100000</v>
      </c>
      <c r="O357" s="62">
        <f t="shared" si="130"/>
        <v>-100000</v>
      </c>
      <c r="P357" s="62">
        <f t="shared" si="130"/>
        <v>-100000</v>
      </c>
      <c r="Q357" s="62">
        <f t="shared" si="130"/>
        <v>-100000</v>
      </c>
      <c r="R357" s="62">
        <f t="shared" si="130"/>
        <v>-100000</v>
      </c>
      <c r="S357" s="62">
        <f t="shared" si="130"/>
        <v>-100000</v>
      </c>
      <c r="T357" s="62">
        <f t="shared" si="130"/>
        <v>-100000</v>
      </c>
      <c r="U357" s="62">
        <f t="shared" si="130"/>
        <v>-100000</v>
      </c>
      <c r="V357" s="62">
        <f t="shared" si="130"/>
        <v>-100000</v>
      </c>
      <c r="W357" s="62">
        <f t="shared" si="130"/>
        <v>-100000</v>
      </c>
      <c r="X357" s="62">
        <f t="shared" si="130"/>
        <v>-100000</v>
      </c>
      <c r="Y357" s="62">
        <f t="shared" si="130"/>
        <v>-100000</v>
      </c>
      <c r="Z357" s="62">
        <f t="shared" si="130"/>
        <v>-100000</v>
      </c>
      <c r="AA357" s="62">
        <f t="shared" si="130"/>
        <v>-100000</v>
      </c>
      <c r="AB357" s="62">
        <f t="shared" si="130"/>
        <v>-100000</v>
      </c>
      <c r="AC357" s="62">
        <f t="shared" si="130"/>
        <v>-100000</v>
      </c>
    </row>
    <row r="358" spans="1:29" x14ac:dyDescent="0.25">
      <c r="A358" s="30" t="str">
        <f t="shared" si="129"/>
        <v>WACC</v>
      </c>
      <c r="B358" s="62">
        <f t="shared" si="130"/>
        <v>0.06</v>
      </c>
      <c r="C358" s="62">
        <f t="shared" si="130"/>
        <v>0.06</v>
      </c>
      <c r="D358" s="62">
        <f t="shared" si="130"/>
        <v>0.06</v>
      </c>
      <c r="E358" s="62">
        <f t="shared" si="130"/>
        <v>0.06</v>
      </c>
      <c r="F358" s="62">
        <f t="shared" si="130"/>
        <v>0.06</v>
      </c>
      <c r="G358" s="62">
        <f t="shared" si="130"/>
        <v>0.06</v>
      </c>
      <c r="H358" s="62">
        <f t="shared" si="130"/>
        <v>0.06</v>
      </c>
      <c r="I358" s="62">
        <f t="shared" si="130"/>
        <v>0.06</v>
      </c>
      <c r="J358" s="62">
        <f t="shared" si="130"/>
        <v>0.06</v>
      </c>
      <c r="K358" s="62">
        <f t="shared" si="130"/>
        <v>0.06</v>
      </c>
      <c r="L358" s="62">
        <f t="shared" si="130"/>
        <v>0.06</v>
      </c>
      <c r="M358" s="62">
        <f t="shared" si="130"/>
        <v>0.06</v>
      </c>
      <c r="N358" s="62">
        <f t="shared" si="130"/>
        <v>0.06</v>
      </c>
      <c r="O358" s="62">
        <f t="shared" si="130"/>
        <v>0.06</v>
      </c>
      <c r="P358" s="62">
        <f t="shared" si="130"/>
        <v>0.06</v>
      </c>
      <c r="Q358" s="62">
        <f t="shared" si="130"/>
        <v>0.06</v>
      </c>
      <c r="R358" s="62">
        <f t="shared" si="130"/>
        <v>0.06</v>
      </c>
      <c r="S358" s="62">
        <f t="shared" si="130"/>
        <v>0.06</v>
      </c>
      <c r="T358" s="62">
        <f t="shared" si="130"/>
        <v>0.06</v>
      </c>
      <c r="U358" s="62">
        <f t="shared" si="130"/>
        <v>0.06</v>
      </c>
      <c r="V358" s="62">
        <f t="shared" si="130"/>
        <v>0.06</v>
      </c>
      <c r="W358" s="62">
        <f t="shared" si="130"/>
        <v>0.06</v>
      </c>
      <c r="X358" s="62">
        <f t="shared" si="130"/>
        <v>0.06</v>
      </c>
      <c r="Y358" s="62">
        <f t="shared" si="130"/>
        <v>0.06</v>
      </c>
      <c r="Z358" s="62">
        <f t="shared" si="130"/>
        <v>0.06</v>
      </c>
      <c r="AA358" s="62">
        <f t="shared" si="130"/>
        <v>0.06</v>
      </c>
      <c r="AB358" s="62">
        <f t="shared" si="130"/>
        <v>0.06</v>
      </c>
      <c r="AC358" s="62">
        <f t="shared" si="130"/>
        <v>0.06</v>
      </c>
    </row>
    <row r="359" spans="1:29" x14ac:dyDescent="0.25">
      <c r="A359" s="30" t="str">
        <f t="shared" si="129"/>
        <v>Opex fix (admin, crew, insurance)</v>
      </c>
      <c r="B359" s="62">
        <f t="shared" si="130"/>
        <v>1208235.294117647</v>
      </c>
      <c r="C359" s="62">
        <f t="shared" si="130"/>
        <v>1208235.294117647</v>
      </c>
      <c r="D359" s="62">
        <f t="shared" si="130"/>
        <v>1208235.294117647</v>
      </c>
      <c r="E359" s="62">
        <f t="shared" si="130"/>
        <v>1208235.294117647</v>
      </c>
      <c r="F359" s="62">
        <f t="shared" si="130"/>
        <v>1208235.294117647</v>
      </c>
      <c r="G359" s="62">
        <f t="shared" si="130"/>
        <v>1208235.294117647</v>
      </c>
      <c r="H359" s="62">
        <f t="shared" si="130"/>
        <v>1208235.294117647</v>
      </c>
      <c r="I359" s="62">
        <f t="shared" si="130"/>
        <v>1208235.294117647</v>
      </c>
      <c r="J359" s="62">
        <f t="shared" si="130"/>
        <v>1208235.294117647</v>
      </c>
      <c r="K359" s="62">
        <f t="shared" si="130"/>
        <v>1208235.294117647</v>
      </c>
      <c r="L359" s="62">
        <f t="shared" si="130"/>
        <v>1208235.294117647</v>
      </c>
      <c r="M359" s="62">
        <f t="shared" si="130"/>
        <v>1208235.294117647</v>
      </c>
      <c r="N359" s="62">
        <f t="shared" si="130"/>
        <v>1208235.294117647</v>
      </c>
      <c r="O359" s="62">
        <f t="shared" si="130"/>
        <v>1208235.294117647</v>
      </c>
      <c r="P359" s="62">
        <f t="shared" si="130"/>
        <v>1208235.294117647</v>
      </c>
      <c r="Q359" s="62">
        <f t="shared" si="130"/>
        <v>1208235.294117647</v>
      </c>
      <c r="R359" s="62">
        <f t="shared" si="130"/>
        <v>1208235.294117647</v>
      </c>
      <c r="S359" s="62">
        <f t="shared" si="130"/>
        <v>1208235.294117647</v>
      </c>
      <c r="T359" s="62">
        <f t="shared" si="130"/>
        <v>1208235.294117647</v>
      </c>
      <c r="U359" s="62">
        <f t="shared" si="130"/>
        <v>1208235.294117647</v>
      </c>
      <c r="V359" s="62">
        <f t="shared" si="130"/>
        <v>1208235.294117647</v>
      </c>
      <c r="W359" s="62">
        <f t="shared" si="130"/>
        <v>1208235.294117647</v>
      </c>
      <c r="X359" s="62">
        <f t="shared" si="130"/>
        <v>1208235.294117647</v>
      </c>
      <c r="Y359" s="62">
        <f t="shared" si="130"/>
        <v>1208235.294117647</v>
      </c>
      <c r="Z359" s="62">
        <f t="shared" si="130"/>
        <v>1208235.294117647</v>
      </c>
      <c r="AA359" s="62">
        <f t="shared" si="130"/>
        <v>1208235.294117647</v>
      </c>
      <c r="AB359" s="62">
        <f t="shared" si="130"/>
        <v>1208235.294117647</v>
      </c>
      <c r="AC359" s="62">
        <f t="shared" si="130"/>
        <v>1208235.294117647</v>
      </c>
    </row>
    <row r="360" spans="1:29" x14ac:dyDescent="0.25">
      <c r="A360" s="30" t="str">
        <f t="shared" si="129"/>
        <v>Opex maintenance &amp; repair</v>
      </c>
      <c r="B360" s="62">
        <f t="shared" si="130"/>
        <v>488235.29411764705</v>
      </c>
      <c r="C360" s="62">
        <f t="shared" si="130"/>
        <v>488235.29411764705</v>
      </c>
      <c r="D360" s="62">
        <f t="shared" si="130"/>
        <v>488235.29411764705</v>
      </c>
      <c r="E360" s="62">
        <f t="shared" si="130"/>
        <v>488235.29411764705</v>
      </c>
      <c r="F360" s="62">
        <f t="shared" si="130"/>
        <v>488235.29411764705</v>
      </c>
      <c r="G360" s="62">
        <f t="shared" si="130"/>
        <v>488235.29411764705</v>
      </c>
      <c r="H360" s="62">
        <f t="shared" si="130"/>
        <v>488235.29411764705</v>
      </c>
      <c r="I360" s="62">
        <f t="shared" si="130"/>
        <v>488235.29411764705</v>
      </c>
      <c r="J360" s="62">
        <f t="shared" si="130"/>
        <v>488235.29411764705</v>
      </c>
      <c r="K360" s="62">
        <f t="shared" si="130"/>
        <v>488235.29411764705</v>
      </c>
      <c r="L360" s="62">
        <f t="shared" si="130"/>
        <v>488235.29411764705</v>
      </c>
      <c r="M360" s="62">
        <f t="shared" si="130"/>
        <v>488235.29411764705</v>
      </c>
      <c r="N360" s="62">
        <f t="shared" si="130"/>
        <v>488235.29411764705</v>
      </c>
      <c r="O360" s="62">
        <f t="shared" si="130"/>
        <v>488235.29411764705</v>
      </c>
      <c r="P360" s="62">
        <f t="shared" si="130"/>
        <v>488235.29411764705</v>
      </c>
      <c r="Q360" s="62">
        <f t="shared" si="130"/>
        <v>488235.29411764705</v>
      </c>
      <c r="R360" s="62">
        <f t="shared" si="130"/>
        <v>488235.29411764705</v>
      </c>
      <c r="S360" s="62">
        <f t="shared" si="130"/>
        <v>488235.29411764705</v>
      </c>
      <c r="T360" s="62">
        <f t="shared" si="130"/>
        <v>488235.29411764705</v>
      </c>
      <c r="U360" s="62">
        <f t="shared" si="130"/>
        <v>488235.29411764705</v>
      </c>
      <c r="V360" s="62">
        <f t="shared" si="130"/>
        <v>488235.29411764705</v>
      </c>
      <c r="W360" s="62">
        <f t="shared" si="130"/>
        <v>488235.29411764705</v>
      </c>
      <c r="X360" s="62">
        <f t="shared" si="130"/>
        <v>488235.29411764705</v>
      </c>
      <c r="Y360" s="62">
        <f t="shared" si="130"/>
        <v>488235.29411764705</v>
      </c>
      <c r="Z360" s="62">
        <f t="shared" si="130"/>
        <v>488235.29411764705</v>
      </c>
      <c r="AA360" s="62">
        <f t="shared" si="130"/>
        <v>488235.29411764705</v>
      </c>
      <c r="AB360" s="62">
        <f t="shared" si="130"/>
        <v>488235.29411764705</v>
      </c>
      <c r="AC360" s="62">
        <f t="shared" si="130"/>
        <v>488235.29411764705</v>
      </c>
    </row>
    <row r="361" spans="1:29" x14ac:dyDescent="0.25">
      <c r="A361" s="30" t="str">
        <f t="shared" si="129"/>
        <v>Opex var (mode-fees)</v>
      </c>
      <c r="B361" s="62">
        <f t="shared" si="130"/>
        <v>0.81280569096848254</v>
      </c>
      <c r="C361" s="62">
        <f t="shared" si="130"/>
        <v>0.81280569096848254</v>
      </c>
      <c r="D361" s="62">
        <f t="shared" si="130"/>
        <v>0.81280569096848254</v>
      </c>
      <c r="E361" s="62">
        <f t="shared" si="130"/>
        <v>0.81280569096848254</v>
      </c>
      <c r="F361" s="62">
        <f t="shared" si="130"/>
        <v>0.81280569096848254</v>
      </c>
      <c r="G361" s="62">
        <f t="shared" si="130"/>
        <v>0.81280569096848254</v>
      </c>
      <c r="H361" s="62">
        <f t="shared" si="130"/>
        <v>0.81280569096848254</v>
      </c>
      <c r="I361" s="62">
        <f t="shared" si="130"/>
        <v>0.81280569096848254</v>
      </c>
      <c r="J361" s="62">
        <f t="shared" si="130"/>
        <v>0.81280569096848254</v>
      </c>
      <c r="K361" s="62">
        <f t="shared" si="130"/>
        <v>0.81280569096848254</v>
      </c>
      <c r="L361" s="62">
        <f t="shared" si="130"/>
        <v>0.81280569096848254</v>
      </c>
      <c r="M361" s="62">
        <f t="shared" si="130"/>
        <v>0.81280569096848254</v>
      </c>
      <c r="N361" s="62">
        <f t="shared" si="130"/>
        <v>0.81280569096848254</v>
      </c>
      <c r="O361" s="62">
        <f t="shared" si="130"/>
        <v>0.81280569096848254</v>
      </c>
      <c r="P361" s="62">
        <f t="shared" si="130"/>
        <v>0.81280569096848254</v>
      </c>
      <c r="Q361" s="62">
        <f t="shared" si="130"/>
        <v>0.81280569096848254</v>
      </c>
      <c r="R361" s="62">
        <f t="shared" si="130"/>
        <v>0.81280569096848254</v>
      </c>
      <c r="S361" s="62">
        <f t="shared" si="130"/>
        <v>0.81280569096848254</v>
      </c>
      <c r="T361" s="62">
        <f t="shared" si="130"/>
        <v>0.81280569096848254</v>
      </c>
      <c r="U361" s="62">
        <f t="shared" si="130"/>
        <v>0.81280569096848254</v>
      </c>
      <c r="V361" s="62">
        <f t="shared" si="130"/>
        <v>0.81280569096848254</v>
      </c>
      <c r="W361" s="62">
        <f t="shared" si="130"/>
        <v>0.81280569096848254</v>
      </c>
      <c r="X361" s="62">
        <f t="shared" si="130"/>
        <v>0.81280569096848254</v>
      </c>
      <c r="Y361" s="62">
        <f t="shared" si="130"/>
        <v>0.81280569096848254</v>
      </c>
      <c r="Z361" s="62">
        <f t="shared" si="130"/>
        <v>0.81280569096848254</v>
      </c>
      <c r="AA361" s="62">
        <f t="shared" si="130"/>
        <v>0.81280569096848254</v>
      </c>
      <c r="AB361" s="62">
        <f t="shared" si="130"/>
        <v>0.81280569096848254</v>
      </c>
      <c r="AC361" s="62">
        <f t="shared" si="130"/>
        <v>0.81280569096848254</v>
      </c>
    </row>
    <row r="362" spans="1:29" x14ac:dyDescent="0.25">
      <c r="A362" s="30" t="str">
        <f t="shared" si="129"/>
        <v>Fuel Economy</v>
      </c>
      <c r="B362" s="62">
        <f t="shared" si="130"/>
        <v>646.89677603543487</v>
      </c>
      <c r="C362" s="62">
        <f t="shared" si="130"/>
        <v>646.85211887817047</v>
      </c>
      <c r="D362" s="62">
        <f t="shared" si="130"/>
        <v>646.78819315220449</v>
      </c>
      <c r="E362" s="62">
        <f t="shared" si="130"/>
        <v>646.6967429057521</v>
      </c>
      <c r="F362" s="62">
        <f t="shared" si="130"/>
        <v>646.5660403240729</v>
      </c>
      <c r="G362" s="62">
        <f t="shared" si="130"/>
        <v>646.37949949401741</v>
      </c>
      <c r="H362" s="62">
        <f t="shared" si="130"/>
        <v>646.11381958854338</v>
      </c>
      <c r="I362" s="62">
        <f t="shared" si="130"/>
        <v>645.73659220845991</v>
      </c>
      <c r="J362" s="62">
        <f t="shared" si="130"/>
        <v>645.20341755594859</v>
      </c>
      <c r="K362" s="62">
        <f t="shared" si="130"/>
        <v>644.4548499630904</v>
      </c>
      <c r="L362" s="62">
        <f t="shared" si="130"/>
        <v>643.41406927056653</v>
      </c>
      <c r="M362" s="62">
        <f t="shared" si="130"/>
        <v>641.98719787679943</v>
      </c>
      <c r="N362" s="62">
        <f t="shared" si="130"/>
        <v>640.0696356209337</v>
      </c>
      <c r="O362" s="62">
        <f t="shared" si="130"/>
        <v>637.56301130673319</v>
      </c>
      <c r="P362" s="62">
        <f t="shared" si="130"/>
        <v>634.40634165749691</v>
      </c>
      <c r="Q362" s="62">
        <f t="shared" si="130"/>
        <v>630.6184286906298</v>
      </c>
      <c r="R362" s="62">
        <f t="shared" si="130"/>
        <v>626.33515650399931</v>
      </c>
      <c r="S362" s="62">
        <f t="shared" si="130"/>
        <v>621.81332363039712</v>
      </c>
      <c r="T362" s="62">
        <f t="shared" si="130"/>
        <v>617.38047196989623</v>
      </c>
      <c r="U362" s="62">
        <f t="shared" si="130"/>
        <v>613.34515585949862</v>
      </c>
      <c r="V362" s="62">
        <f t="shared" si="130"/>
        <v>609.91571180572532</v>
      </c>
      <c r="W362" s="62">
        <f t="shared" si="130"/>
        <v>607.1693412972852</v>
      </c>
      <c r="X362" s="62">
        <f t="shared" si="130"/>
        <v>605.0737387067237</v>
      </c>
      <c r="Y362" s="62">
        <f t="shared" si="130"/>
        <v>603.53330273509027</v>
      </c>
      <c r="Z362" s="62">
        <f t="shared" si="130"/>
        <v>602.43191330034256</v>
      </c>
      <c r="AA362" s="62">
        <f t="shared" si="130"/>
        <v>601.66000195939125</v>
      </c>
      <c r="AB362" s="62">
        <f t="shared" si="130"/>
        <v>601.12656377741496</v>
      </c>
      <c r="AC362" s="62">
        <f t="shared" si="130"/>
        <v>600.7615054472443</v>
      </c>
    </row>
    <row r="363" spans="1:29" x14ac:dyDescent="0.25">
      <c r="A363" s="30" t="str">
        <f t="shared" si="129"/>
        <v>Fuel Cost</v>
      </c>
      <c r="B363" s="62">
        <f>'Parameter Input'!J10</f>
        <v>2.5977890665149557E-2</v>
      </c>
      <c r="C363" s="62">
        <f>'Parameter Input'!K10</f>
        <v>2.418631199858752E-2</v>
      </c>
      <c r="D363" s="62">
        <f>'Parameter Input'!L10</f>
        <v>2.2394733332025477E-2</v>
      </c>
      <c r="E363" s="62">
        <f>'Parameter Input'!M10</f>
        <v>2.060315466546344E-2</v>
      </c>
      <c r="F363" s="62">
        <f>'Parameter Input'!N10</f>
        <v>1.8811575998901403E-2</v>
      </c>
      <c r="G363" s="62">
        <f>'Parameter Input'!O10</f>
        <v>1.7019997332339366E-2</v>
      </c>
      <c r="H363" s="62">
        <f>'Parameter Input'!P10</f>
        <v>1.5228418665777328E-2</v>
      </c>
      <c r="I363" s="62">
        <f>'Parameter Input'!Q10</f>
        <v>1.3436839999215288E-2</v>
      </c>
      <c r="J363" s="62">
        <f>'Parameter Input'!R10</f>
        <v>1.3164903951612121E-2</v>
      </c>
      <c r="K363" s="62">
        <f>'Parameter Input'!S10</f>
        <v>1.2892967904008954E-2</v>
      </c>
      <c r="L363" s="62">
        <f>'Parameter Input'!T10</f>
        <v>1.2621031856405788E-2</v>
      </c>
      <c r="M363" s="62">
        <f>'Parameter Input'!U10</f>
        <v>1.2349095808802621E-2</v>
      </c>
      <c r="N363" s="62">
        <f>'Parameter Input'!V10</f>
        <v>1.2077159761199453E-2</v>
      </c>
      <c r="O363" s="62">
        <f>'Parameter Input'!W10</f>
        <v>1.1805223713596286E-2</v>
      </c>
      <c r="P363" s="62">
        <f>'Parameter Input'!X10</f>
        <v>1.153328766599312E-2</v>
      </c>
      <c r="Q363" s="62">
        <f>'Parameter Input'!Y10</f>
        <v>1.1261351618389953E-2</v>
      </c>
      <c r="R363" s="62">
        <f>'Parameter Input'!Z10</f>
        <v>1.0989415570786787E-2</v>
      </c>
      <c r="S363" s="62">
        <f>'Parameter Input'!AA10</f>
        <v>1.0717479523183622E-2</v>
      </c>
      <c r="T363" s="62">
        <f>'Parameter Input'!AB10</f>
        <v>1.0445543475580455E-2</v>
      </c>
      <c r="U363" s="62">
        <f>'Parameter Input'!AC10</f>
        <v>1.0173607427977288E-2</v>
      </c>
      <c r="V363" s="62">
        <f>'Parameter Input'!AD10</f>
        <v>9.9016713803741219E-3</v>
      </c>
      <c r="W363" s="62">
        <f>'Parameter Input'!AE10</f>
        <v>9.6297353327709553E-3</v>
      </c>
      <c r="X363" s="62">
        <f>'Parameter Input'!AF10</f>
        <v>9.3577992851677887E-3</v>
      </c>
      <c r="Y363" s="62">
        <f>'Parameter Input'!AG10</f>
        <v>9.0858632375646221E-3</v>
      </c>
      <c r="Z363" s="62">
        <f>'Parameter Input'!AH10</f>
        <v>8.8139271899614555E-3</v>
      </c>
      <c r="AA363" s="62">
        <f>'Parameter Input'!AI10</f>
        <v>8.5419911423582889E-3</v>
      </c>
      <c r="AB363" s="62">
        <f>'Parameter Input'!AJ10</f>
        <v>8.2700550947551223E-3</v>
      </c>
      <c r="AC363" s="62">
        <f>'Parameter Input'!AK10</f>
        <v>7.9981190471519557E-3</v>
      </c>
    </row>
    <row r="364" spans="1:29" x14ac:dyDescent="0.25">
      <c r="A364" s="30" t="str">
        <f t="shared" si="129"/>
        <v>Emission Cost</v>
      </c>
      <c r="B364" s="62">
        <f>$B344+($C344-$B344)*(1-Q344)</f>
        <v>0</v>
      </c>
      <c r="C364" s="62">
        <f t="shared" ref="C364:AC367" si="131">$B344+($C344-$B344)*(1-R344)</f>
        <v>0</v>
      </c>
      <c r="D364" s="62">
        <f t="shared" si="131"/>
        <v>0</v>
      </c>
      <c r="E364" s="62">
        <f t="shared" si="131"/>
        <v>0</v>
      </c>
      <c r="F364" s="62">
        <f t="shared" si="131"/>
        <v>0</v>
      </c>
      <c r="G364" s="62">
        <f t="shared" si="131"/>
        <v>0</v>
      </c>
      <c r="H364" s="62">
        <f t="shared" si="131"/>
        <v>0</v>
      </c>
      <c r="I364" s="62">
        <f t="shared" si="131"/>
        <v>0</v>
      </c>
      <c r="J364" s="62">
        <f t="shared" si="131"/>
        <v>0</v>
      </c>
      <c r="K364" s="62">
        <f t="shared" si="131"/>
        <v>0</v>
      </c>
      <c r="L364" s="62">
        <f t="shared" si="131"/>
        <v>0</v>
      </c>
      <c r="M364" s="62">
        <f t="shared" si="131"/>
        <v>0</v>
      </c>
      <c r="N364" s="62">
        <f t="shared" si="131"/>
        <v>0</v>
      </c>
      <c r="O364" s="62">
        <f t="shared" si="131"/>
        <v>0</v>
      </c>
      <c r="P364" s="62">
        <f t="shared" si="131"/>
        <v>0</v>
      </c>
      <c r="Q364" s="62">
        <f t="shared" si="131"/>
        <v>0</v>
      </c>
      <c r="R364" s="62">
        <f t="shared" si="131"/>
        <v>0</v>
      </c>
      <c r="S364" s="62">
        <f t="shared" si="131"/>
        <v>0</v>
      </c>
      <c r="T364" s="62">
        <f t="shared" si="131"/>
        <v>0</v>
      </c>
      <c r="U364" s="62">
        <f t="shared" si="131"/>
        <v>0</v>
      </c>
      <c r="V364" s="62">
        <f t="shared" si="131"/>
        <v>0</v>
      </c>
      <c r="W364" s="62">
        <f t="shared" si="131"/>
        <v>0</v>
      </c>
      <c r="X364" s="62">
        <f t="shared" si="131"/>
        <v>0</v>
      </c>
      <c r="Y364" s="62">
        <f t="shared" si="131"/>
        <v>0</v>
      </c>
      <c r="Z364" s="62">
        <f t="shared" si="131"/>
        <v>0</v>
      </c>
      <c r="AA364" s="62">
        <f t="shared" si="131"/>
        <v>0</v>
      </c>
      <c r="AB364" s="62">
        <f t="shared" si="131"/>
        <v>0</v>
      </c>
      <c r="AC364" s="62">
        <f t="shared" si="131"/>
        <v>0</v>
      </c>
    </row>
    <row r="365" spans="1:29" x14ac:dyDescent="0.25">
      <c r="A365" s="30" t="str">
        <f t="shared" si="129"/>
        <v>Lifetime vehicle</v>
      </c>
      <c r="B365" s="62">
        <f>$B345+($C345-$B345)*(1-Q345)</f>
        <v>25</v>
      </c>
      <c r="C365" s="62">
        <f t="shared" si="131"/>
        <v>25</v>
      </c>
      <c r="D365" s="62">
        <f t="shared" si="131"/>
        <v>25</v>
      </c>
      <c r="E365" s="62">
        <f t="shared" si="131"/>
        <v>25</v>
      </c>
      <c r="F365" s="62">
        <f t="shared" si="131"/>
        <v>25</v>
      </c>
      <c r="G365" s="62">
        <f t="shared" si="131"/>
        <v>25</v>
      </c>
      <c r="H365" s="62">
        <f t="shared" si="131"/>
        <v>25</v>
      </c>
      <c r="I365" s="62">
        <f t="shared" si="131"/>
        <v>25</v>
      </c>
      <c r="J365" s="62">
        <f t="shared" si="131"/>
        <v>25</v>
      </c>
      <c r="K365" s="62">
        <f t="shared" si="131"/>
        <v>25</v>
      </c>
      <c r="L365" s="62">
        <f t="shared" si="131"/>
        <v>25</v>
      </c>
      <c r="M365" s="62">
        <f t="shared" si="131"/>
        <v>25</v>
      </c>
      <c r="N365" s="62">
        <f t="shared" si="131"/>
        <v>25</v>
      </c>
      <c r="O365" s="62">
        <f t="shared" si="131"/>
        <v>25</v>
      </c>
      <c r="P365" s="62">
        <f t="shared" si="131"/>
        <v>25</v>
      </c>
      <c r="Q365" s="62">
        <f t="shared" si="131"/>
        <v>25</v>
      </c>
      <c r="R365" s="62">
        <f t="shared" si="131"/>
        <v>25</v>
      </c>
      <c r="S365" s="62">
        <f t="shared" si="131"/>
        <v>25</v>
      </c>
      <c r="T365" s="62">
        <f t="shared" si="131"/>
        <v>25</v>
      </c>
      <c r="U365" s="62">
        <f t="shared" si="131"/>
        <v>25</v>
      </c>
      <c r="V365" s="62">
        <f t="shared" si="131"/>
        <v>25</v>
      </c>
      <c r="W365" s="62">
        <f t="shared" si="131"/>
        <v>25</v>
      </c>
      <c r="X365" s="62">
        <f t="shared" si="131"/>
        <v>25</v>
      </c>
      <c r="Y365" s="62">
        <f t="shared" si="131"/>
        <v>25</v>
      </c>
      <c r="Z365" s="62">
        <f t="shared" si="131"/>
        <v>25</v>
      </c>
      <c r="AA365" s="62">
        <f t="shared" si="131"/>
        <v>25</v>
      </c>
      <c r="AB365" s="62">
        <f t="shared" si="131"/>
        <v>25</v>
      </c>
      <c r="AC365" s="62">
        <f t="shared" si="131"/>
        <v>25</v>
      </c>
    </row>
    <row r="366" spans="1:29" x14ac:dyDescent="0.25">
      <c r="A366" s="30" t="str">
        <f t="shared" si="129"/>
        <v>Lifetime costumization</v>
      </c>
      <c r="B366" s="62">
        <f>$B346+($C346-$B346)*(1-Q346)</f>
        <v>25</v>
      </c>
      <c r="C366" s="62">
        <f t="shared" si="131"/>
        <v>25</v>
      </c>
      <c r="D366" s="62">
        <f t="shared" si="131"/>
        <v>25</v>
      </c>
      <c r="E366" s="62">
        <f t="shared" si="131"/>
        <v>25</v>
      </c>
      <c r="F366" s="62">
        <f t="shared" si="131"/>
        <v>25</v>
      </c>
      <c r="G366" s="62">
        <f t="shared" si="131"/>
        <v>25</v>
      </c>
      <c r="H366" s="62">
        <f t="shared" si="131"/>
        <v>25</v>
      </c>
      <c r="I366" s="62">
        <f t="shared" si="131"/>
        <v>25</v>
      </c>
      <c r="J366" s="62">
        <f t="shared" si="131"/>
        <v>25</v>
      </c>
      <c r="K366" s="62">
        <f t="shared" si="131"/>
        <v>25</v>
      </c>
      <c r="L366" s="62">
        <f t="shared" si="131"/>
        <v>25</v>
      </c>
      <c r="M366" s="62">
        <f t="shared" si="131"/>
        <v>25</v>
      </c>
      <c r="N366" s="62">
        <f t="shared" si="131"/>
        <v>25</v>
      </c>
      <c r="O366" s="62">
        <f t="shared" si="131"/>
        <v>25</v>
      </c>
      <c r="P366" s="62">
        <f t="shared" si="131"/>
        <v>25</v>
      </c>
      <c r="Q366" s="62">
        <f t="shared" si="131"/>
        <v>25</v>
      </c>
      <c r="R366" s="62">
        <f t="shared" si="131"/>
        <v>25</v>
      </c>
      <c r="S366" s="62">
        <f t="shared" si="131"/>
        <v>25</v>
      </c>
      <c r="T366" s="62">
        <f t="shared" si="131"/>
        <v>25</v>
      </c>
      <c r="U366" s="62">
        <f t="shared" si="131"/>
        <v>25</v>
      </c>
      <c r="V366" s="62">
        <f t="shared" si="131"/>
        <v>25</v>
      </c>
      <c r="W366" s="62">
        <f t="shared" si="131"/>
        <v>25</v>
      </c>
      <c r="X366" s="62">
        <f t="shared" si="131"/>
        <v>25</v>
      </c>
      <c r="Y366" s="62">
        <f t="shared" si="131"/>
        <v>25</v>
      </c>
      <c r="Z366" s="62">
        <f t="shared" si="131"/>
        <v>25</v>
      </c>
      <c r="AA366" s="62">
        <f t="shared" si="131"/>
        <v>25</v>
      </c>
      <c r="AB366" s="62">
        <f t="shared" si="131"/>
        <v>25</v>
      </c>
      <c r="AC366" s="62">
        <f t="shared" si="131"/>
        <v>25</v>
      </c>
    </row>
    <row r="367" spans="1:29" x14ac:dyDescent="0.25">
      <c r="A367" s="30" t="str">
        <f t="shared" si="129"/>
        <v>Tonnage .</v>
      </c>
      <c r="B367" s="62">
        <f>$B347+($C347-$B347)*(1-Q347)</f>
        <v>9450</v>
      </c>
      <c r="C367" s="62">
        <f t="shared" si="131"/>
        <v>9450</v>
      </c>
      <c r="D367" s="62">
        <f t="shared" si="131"/>
        <v>9450</v>
      </c>
      <c r="E367" s="62">
        <f t="shared" si="131"/>
        <v>9450</v>
      </c>
      <c r="F367" s="62">
        <f t="shared" si="131"/>
        <v>9450</v>
      </c>
      <c r="G367" s="62">
        <f t="shared" si="131"/>
        <v>9450</v>
      </c>
      <c r="H367" s="62">
        <f t="shared" si="131"/>
        <v>9450</v>
      </c>
      <c r="I367" s="62">
        <f t="shared" si="131"/>
        <v>9450</v>
      </c>
      <c r="J367" s="62">
        <f t="shared" si="131"/>
        <v>9450</v>
      </c>
      <c r="K367" s="62">
        <f t="shared" si="131"/>
        <v>9450</v>
      </c>
      <c r="L367" s="62">
        <f t="shared" si="131"/>
        <v>9450</v>
      </c>
      <c r="M367" s="62">
        <f t="shared" si="131"/>
        <v>9450</v>
      </c>
      <c r="N367" s="62">
        <f t="shared" si="131"/>
        <v>9450</v>
      </c>
      <c r="O367" s="62">
        <f t="shared" si="131"/>
        <v>9450</v>
      </c>
      <c r="P367" s="62">
        <f t="shared" si="131"/>
        <v>9450</v>
      </c>
      <c r="Q367" s="62">
        <f t="shared" si="131"/>
        <v>9450</v>
      </c>
      <c r="R367" s="62">
        <f t="shared" si="131"/>
        <v>9450</v>
      </c>
      <c r="S367" s="62">
        <f t="shared" si="131"/>
        <v>9450</v>
      </c>
      <c r="T367" s="62">
        <f t="shared" si="131"/>
        <v>9450</v>
      </c>
      <c r="U367" s="62">
        <f t="shared" si="131"/>
        <v>9450</v>
      </c>
      <c r="V367" s="62">
        <f t="shared" si="131"/>
        <v>9450</v>
      </c>
      <c r="W367" s="62">
        <f t="shared" si="131"/>
        <v>9450</v>
      </c>
      <c r="X367" s="62">
        <f t="shared" si="131"/>
        <v>9450</v>
      </c>
      <c r="Y367" s="62">
        <f t="shared" si="131"/>
        <v>9450</v>
      </c>
      <c r="Z367" s="62">
        <f t="shared" si="131"/>
        <v>9450</v>
      </c>
      <c r="AA367" s="62">
        <f t="shared" si="131"/>
        <v>9450</v>
      </c>
      <c r="AB367" s="62">
        <f t="shared" si="131"/>
        <v>9450</v>
      </c>
      <c r="AC367" s="62">
        <f t="shared" si="131"/>
        <v>9450</v>
      </c>
    </row>
    <row r="368" spans="1:29" x14ac:dyDescent="0.25">
      <c r="A368" s="30" t="str">
        <f t="shared" si="129"/>
        <v>Market failure (av. utilization)</v>
      </c>
      <c r="B368" s="62">
        <f t="shared" ref="B368:AC369" si="132">($B348+($C348-$B348)*(1-Q348))*B$44</f>
        <v>6426.0000000000009</v>
      </c>
      <c r="C368" s="62">
        <f t="shared" si="132"/>
        <v>6426.0000000000009</v>
      </c>
      <c r="D368" s="62">
        <f t="shared" si="132"/>
        <v>6426.0000000000009</v>
      </c>
      <c r="E368" s="62">
        <f t="shared" si="132"/>
        <v>6426.0000000000009</v>
      </c>
      <c r="F368" s="62">
        <f t="shared" si="132"/>
        <v>6426.0000000000009</v>
      </c>
      <c r="G368" s="62">
        <f t="shared" si="132"/>
        <v>6426.0000000000009</v>
      </c>
      <c r="H368" s="62">
        <f t="shared" si="132"/>
        <v>6426.0000000000009</v>
      </c>
      <c r="I368" s="62">
        <f t="shared" si="132"/>
        <v>6426.0000000000009</v>
      </c>
      <c r="J368" s="62">
        <f t="shared" si="132"/>
        <v>6426.0000000000009</v>
      </c>
      <c r="K368" s="62">
        <f t="shared" si="132"/>
        <v>6426.0000000000009</v>
      </c>
      <c r="L368" s="62">
        <f t="shared" si="132"/>
        <v>6426.0000000000009</v>
      </c>
      <c r="M368" s="62">
        <f t="shared" si="132"/>
        <v>6426.0000000000009</v>
      </c>
      <c r="N368" s="62">
        <f t="shared" si="132"/>
        <v>6426.0000000000009</v>
      </c>
      <c r="O368" s="62">
        <f t="shared" si="132"/>
        <v>6426.0000000000009</v>
      </c>
      <c r="P368" s="62">
        <f t="shared" si="132"/>
        <v>6426.0000000000009</v>
      </c>
      <c r="Q368" s="62">
        <f t="shared" si="132"/>
        <v>6426.0000000000009</v>
      </c>
      <c r="R368" s="62">
        <f t="shared" si="132"/>
        <v>6426.0000000000009</v>
      </c>
      <c r="S368" s="62">
        <f t="shared" si="132"/>
        <v>6426.0000000000009</v>
      </c>
      <c r="T368" s="62">
        <f t="shared" si="132"/>
        <v>6426.0000000000009</v>
      </c>
      <c r="U368" s="62">
        <f t="shared" si="132"/>
        <v>6426.0000000000009</v>
      </c>
      <c r="V368" s="62">
        <f t="shared" si="132"/>
        <v>6426.0000000000009</v>
      </c>
      <c r="W368" s="62">
        <f t="shared" si="132"/>
        <v>6426.0000000000009</v>
      </c>
      <c r="X368" s="62">
        <f t="shared" si="132"/>
        <v>6426.0000000000009</v>
      </c>
      <c r="Y368" s="62">
        <f t="shared" si="132"/>
        <v>6426.0000000000009</v>
      </c>
      <c r="Z368" s="62">
        <f t="shared" si="132"/>
        <v>6426.0000000000009</v>
      </c>
      <c r="AA368" s="62">
        <f t="shared" si="132"/>
        <v>6426.0000000000009</v>
      </c>
      <c r="AB368" s="62">
        <f t="shared" si="132"/>
        <v>6426.0000000000009</v>
      </c>
      <c r="AC368" s="62">
        <f t="shared" si="132"/>
        <v>6426.0000000000009</v>
      </c>
    </row>
    <row r="369" spans="1:29" x14ac:dyDescent="0.25">
      <c r="A369" s="30" t="s">
        <v>73</v>
      </c>
      <c r="B369" s="62">
        <f t="shared" si="132"/>
        <v>0</v>
      </c>
      <c r="C369" s="62">
        <f t="shared" si="132"/>
        <v>0</v>
      </c>
      <c r="D369" s="62">
        <f t="shared" si="132"/>
        <v>0</v>
      </c>
      <c r="E369" s="62">
        <f t="shared" si="132"/>
        <v>0</v>
      </c>
      <c r="F369" s="62">
        <f t="shared" si="132"/>
        <v>0</v>
      </c>
      <c r="G369" s="62">
        <f t="shared" si="132"/>
        <v>0</v>
      </c>
      <c r="H369" s="62">
        <f t="shared" si="132"/>
        <v>0</v>
      </c>
      <c r="I369" s="62">
        <f t="shared" si="132"/>
        <v>0</v>
      </c>
      <c r="J369" s="62">
        <f t="shared" si="132"/>
        <v>0</v>
      </c>
      <c r="K369" s="62">
        <f t="shared" si="132"/>
        <v>0</v>
      </c>
      <c r="L369" s="62">
        <f t="shared" si="132"/>
        <v>0</v>
      </c>
      <c r="M369" s="62">
        <f t="shared" si="132"/>
        <v>0</v>
      </c>
      <c r="N369" s="62">
        <f t="shared" si="132"/>
        <v>0</v>
      </c>
      <c r="O369" s="62">
        <f t="shared" si="132"/>
        <v>0</v>
      </c>
      <c r="P369" s="62">
        <f t="shared" si="132"/>
        <v>0</v>
      </c>
      <c r="Q369" s="62">
        <f t="shared" si="132"/>
        <v>0</v>
      </c>
      <c r="R369" s="62">
        <f t="shared" si="132"/>
        <v>0</v>
      </c>
      <c r="S369" s="62">
        <f t="shared" si="132"/>
        <v>0</v>
      </c>
      <c r="T369" s="62">
        <f t="shared" si="132"/>
        <v>0</v>
      </c>
      <c r="U369" s="62">
        <f t="shared" si="132"/>
        <v>0</v>
      </c>
      <c r="V369" s="62">
        <f t="shared" si="132"/>
        <v>0</v>
      </c>
      <c r="W369" s="62">
        <f t="shared" si="132"/>
        <v>0</v>
      </c>
      <c r="X369" s="62">
        <f t="shared" si="132"/>
        <v>0</v>
      </c>
      <c r="Y369" s="62">
        <f t="shared" si="132"/>
        <v>0</v>
      </c>
      <c r="Z369" s="62">
        <f t="shared" si="132"/>
        <v>0</v>
      </c>
      <c r="AA369" s="62">
        <f t="shared" si="132"/>
        <v>0</v>
      </c>
      <c r="AB369" s="62">
        <f t="shared" si="132"/>
        <v>0</v>
      </c>
      <c r="AC369" s="62">
        <f t="shared" si="132"/>
        <v>0</v>
      </c>
    </row>
    <row r="370" spans="1:29" x14ac:dyDescent="0.25">
      <c r="A370" s="30" t="str">
        <f>A350</f>
        <v>Annual Mileage</v>
      </c>
      <c r="B370" s="62">
        <f t="shared" ref="B370:AC370" si="133">$B350+($C350-$B350)*(1-Q350)</f>
        <v>120000</v>
      </c>
      <c r="C370" s="62">
        <f t="shared" si="133"/>
        <v>120000</v>
      </c>
      <c r="D370" s="62">
        <f t="shared" si="133"/>
        <v>120000</v>
      </c>
      <c r="E370" s="62">
        <f t="shared" si="133"/>
        <v>120000</v>
      </c>
      <c r="F370" s="62">
        <f t="shared" si="133"/>
        <v>120000</v>
      </c>
      <c r="G370" s="62">
        <f t="shared" si="133"/>
        <v>120000</v>
      </c>
      <c r="H370" s="62">
        <f t="shared" si="133"/>
        <v>120000</v>
      </c>
      <c r="I370" s="62">
        <f t="shared" si="133"/>
        <v>120000</v>
      </c>
      <c r="J370" s="62">
        <f t="shared" si="133"/>
        <v>120000</v>
      </c>
      <c r="K370" s="62">
        <f t="shared" si="133"/>
        <v>120000</v>
      </c>
      <c r="L370" s="62">
        <f t="shared" si="133"/>
        <v>120000</v>
      </c>
      <c r="M370" s="62">
        <f t="shared" si="133"/>
        <v>120000</v>
      </c>
      <c r="N370" s="62">
        <f t="shared" si="133"/>
        <v>120000</v>
      </c>
      <c r="O370" s="62">
        <f t="shared" si="133"/>
        <v>120000</v>
      </c>
      <c r="P370" s="62">
        <f t="shared" si="133"/>
        <v>120000</v>
      </c>
      <c r="Q370" s="62">
        <f t="shared" si="133"/>
        <v>120000</v>
      </c>
      <c r="R370" s="62">
        <f t="shared" si="133"/>
        <v>120000</v>
      </c>
      <c r="S370" s="62">
        <f t="shared" si="133"/>
        <v>120000</v>
      </c>
      <c r="T370" s="62">
        <f t="shared" si="133"/>
        <v>120000</v>
      </c>
      <c r="U370" s="62">
        <f t="shared" si="133"/>
        <v>120000</v>
      </c>
      <c r="V370" s="62">
        <f t="shared" si="133"/>
        <v>120000</v>
      </c>
      <c r="W370" s="62">
        <f t="shared" si="133"/>
        <v>120000</v>
      </c>
      <c r="X370" s="62">
        <f t="shared" si="133"/>
        <v>120000</v>
      </c>
      <c r="Y370" s="62">
        <f t="shared" si="133"/>
        <v>120000</v>
      </c>
      <c r="Z370" s="62">
        <f t="shared" si="133"/>
        <v>120000</v>
      </c>
      <c r="AA370" s="62">
        <f t="shared" si="133"/>
        <v>120000</v>
      </c>
      <c r="AB370" s="62">
        <f t="shared" si="133"/>
        <v>120000</v>
      </c>
      <c r="AC370" s="62">
        <f t="shared" si="133"/>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4">((1+C358)^C365)*C358/(((1+C358)^C365)-1)*(C354)</f>
        <v>1173400.7731841092</v>
      </c>
      <c r="D373" s="63">
        <f t="shared" si="134"/>
        <v>1173400.7731841092</v>
      </c>
      <c r="E373" s="63">
        <f t="shared" si="134"/>
        <v>1173400.7731841092</v>
      </c>
      <c r="F373" s="63">
        <f t="shared" si="134"/>
        <v>1173400.7731841092</v>
      </c>
      <c r="G373" s="63">
        <f t="shared" si="134"/>
        <v>1173400.7731841092</v>
      </c>
      <c r="H373" s="63">
        <f t="shared" si="134"/>
        <v>1173400.7731841092</v>
      </c>
      <c r="I373" s="63">
        <f t="shared" si="134"/>
        <v>1173400.7731841092</v>
      </c>
      <c r="J373" s="63">
        <f t="shared" si="134"/>
        <v>1173400.7731841092</v>
      </c>
      <c r="K373" s="63">
        <f t="shared" si="134"/>
        <v>1173400.7731841092</v>
      </c>
      <c r="L373" s="63">
        <f t="shared" si="134"/>
        <v>1173400.7731841092</v>
      </c>
      <c r="M373" s="63">
        <f t="shared" si="134"/>
        <v>1173400.7731841092</v>
      </c>
      <c r="N373" s="63">
        <f t="shared" si="134"/>
        <v>1173400.7731841092</v>
      </c>
      <c r="O373" s="63">
        <f t="shared" si="134"/>
        <v>1173400.7731841092</v>
      </c>
      <c r="P373" s="63">
        <f t="shared" si="134"/>
        <v>1173400.7731841092</v>
      </c>
      <c r="Q373" s="63">
        <f t="shared" si="134"/>
        <v>1173400.7731841092</v>
      </c>
      <c r="R373" s="63">
        <f t="shared" si="134"/>
        <v>1173400.7731841092</v>
      </c>
      <c r="S373" s="63">
        <f t="shared" si="134"/>
        <v>1173400.7731841092</v>
      </c>
      <c r="T373" s="63">
        <f t="shared" si="134"/>
        <v>1173400.7731841092</v>
      </c>
      <c r="U373" s="63">
        <f t="shared" si="134"/>
        <v>1173400.7731841092</v>
      </c>
      <c r="V373" s="63">
        <f t="shared" si="134"/>
        <v>1173400.7731841092</v>
      </c>
      <c r="W373" s="63">
        <f t="shared" si="134"/>
        <v>1173400.7731841092</v>
      </c>
      <c r="X373" s="63">
        <f t="shared" si="134"/>
        <v>1173400.7731841092</v>
      </c>
      <c r="Y373" s="63">
        <f t="shared" si="134"/>
        <v>1173400.7731841092</v>
      </c>
      <c r="Z373" s="63">
        <f t="shared" si="134"/>
        <v>1173400.7731841092</v>
      </c>
      <c r="AA373" s="63">
        <f t="shared" si="134"/>
        <v>1173400.7731841092</v>
      </c>
      <c r="AB373" s="63">
        <f t="shared" si="134"/>
        <v>1173400.7731841092</v>
      </c>
      <c r="AC373" s="63">
        <f t="shared" si="134"/>
        <v>1173400.7731841092</v>
      </c>
    </row>
    <row r="374" spans="1:29" x14ac:dyDescent="0.25">
      <c r="A374" s="30" t="str">
        <f>A355</f>
        <v>Residual value (vehicle)</v>
      </c>
      <c r="B374" s="62">
        <f>((1+B358)^B365)*B358/(((1+B358)^B365)-1)*(B355)</f>
        <v>-117211.22297816433</v>
      </c>
      <c r="C374" s="62">
        <f t="shared" ref="C374:AC374" si="135">((1+C358)^C365)*C358/(((1+C358)^C365)-1)*(C355)</f>
        <v>-117155.47750703427</v>
      </c>
      <c r="D374" s="62">
        <f t="shared" si="135"/>
        <v>-117075.67910674184</v>
      </c>
      <c r="E374" s="62">
        <f t="shared" si="135"/>
        <v>-116961.52188344915</v>
      </c>
      <c r="F374" s="62">
        <f t="shared" si="135"/>
        <v>-116798.36602132194</v>
      </c>
      <c r="G374" s="62">
        <f t="shared" si="135"/>
        <v>-116565.50734662244</v>
      </c>
      <c r="H374" s="62">
        <f t="shared" si="135"/>
        <v>-116233.85946736432</v>
      </c>
      <c r="I374" s="62">
        <f t="shared" si="135"/>
        <v>-115762.96702113429</v>
      </c>
      <c r="J374" s="62">
        <f t="shared" si="135"/>
        <v>-115097.40579826315</v>
      </c>
      <c r="K374" s="62">
        <f t="shared" si="135"/>
        <v>-114162.96984907117</v>
      </c>
      <c r="L374" s="62">
        <f t="shared" si="135"/>
        <v>-112863.76466894078</v>
      </c>
      <c r="M374" s="62">
        <f t="shared" si="135"/>
        <v>-111082.60297034449</v>
      </c>
      <c r="N374" s="62">
        <f t="shared" si="135"/>
        <v>-108688.91250900239</v>
      </c>
      <c r="O374" s="62">
        <f t="shared" si="135"/>
        <v>-105559.89664903973</v>
      </c>
      <c r="P374" s="62">
        <f t="shared" si="135"/>
        <v>-101619.43004574107</v>
      </c>
      <c r="Q374" s="62">
        <f t="shared" si="135"/>
        <v>-96890.983232894243</v>
      </c>
      <c r="R374" s="62">
        <f t="shared" si="135"/>
        <v>-91544.180152521745</v>
      </c>
      <c r="S374" s="62">
        <f t="shared" si="135"/>
        <v>-85899.582077953528</v>
      </c>
      <c r="T374" s="62">
        <f t="shared" si="135"/>
        <v>-80366.059135568226</v>
      </c>
      <c r="U374" s="62">
        <f t="shared" si="135"/>
        <v>-75328.779301543953</v>
      </c>
      <c r="V374" s="62">
        <f t="shared" si="135"/>
        <v>-71047.808765066002</v>
      </c>
      <c r="W374" s="62">
        <f t="shared" si="135"/>
        <v>-67619.518043732241</v>
      </c>
      <c r="X374" s="62">
        <f t="shared" si="135"/>
        <v>-65003.580064954105</v>
      </c>
      <c r="Y374" s="62">
        <f t="shared" si="135"/>
        <v>-63080.655852023017</v>
      </c>
      <c r="Z374" s="62">
        <f t="shared" si="135"/>
        <v>-61705.792858076449</v>
      </c>
      <c r="AA374" s="62">
        <f t="shared" si="135"/>
        <v>-60742.216938606354</v>
      </c>
      <c r="AB374" s="62">
        <f t="shared" si="135"/>
        <v>-60076.3267522479</v>
      </c>
      <c r="AC374" s="62">
        <f t="shared" si="135"/>
        <v>-59620.624915142049</v>
      </c>
    </row>
    <row r="375" spans="1:29" x14ac:dyDescent="0.25">
      <c r="A375" s="30" t="str">
        <f>A356</f>
        <v>Capex costumization</v>
      </c>
      <c r="B375" s="62">
        <f>((1+B358)^B366)*B358/(((1+B358)^B366)-1)*(B356)</f>
        <v>78226.718212273947</v>
      </c>
      <c r="C375" s="62">
        <f t="shared" ref="C375:AC375" si="136">((1+C358)^C366)*C358/(((1+C358)^C366)-1)*(C356)</f>
        <v>78226.718212273947</v>
      </c>
      <c r="D375" s="62">
        <f t="shared" si="136"/>
        <v>78226.718212273947</v>
      </c>
      <c r="E375" s="62">
        <f t="shared" si="136"/>
        <v>78226.718212273947</v>
      </c>
      <c r="F375" s="62">
        <f t="shared" si="136"/>
        <v>78226.718212273947</v>
      </c>
      <c r="G375" s="62">
        <f t="shared" si="136"/>
        <v>78226.718212273947</v>
      </c>
      <c r="H375" s="62">
        <f t="shared" si="136"/>
        <v>78226.718212273947</v>
      </c>
      <c r="I375" s="62">
        <f t="shared" si="136"/>
        <v>78226.718212273947</v>
      </c>
      <c r="J375" s="62">
        <f t="shared" si="136"/>
        <v>78226.718212273947</v>
      </c>
      <c r="K375" s="62">
        <f t="shared" si="136"/>
        <v>78226.718212273947</v>
      </c>
      <c r="L375" s="62">
        <f t="shared" si="136"/>
        <v>78226.718212273947</v>
      </c>
      <c r="M375" s="62">
        <f t="shared" si="136"/>
        <v>78226.718212273947</v>
      </c>
      <c r="N375" s="62">
        <f t="shared" si="136"/>
        <v>78226.718212273947</v>
      </c>
      <c r="O375" s="62">
        <f t="shared" si="136"/>
        <v>78226.718212273947</v>
      </c>
      <c r="P375" s="62">
        <f t="shared" si="136"/>
        <v>78226.718212273947</v>
      </c>
      <c r="Q375" s="62">
        <f t="shared" si="136"/>
        <v>78226.718212273947</v>
      </c>
      <c r="R375" s="62">
        <f t="shared" si="136"/>
        <v>78226.718212273947</v>
      </c>
      <c r="S375" s="62">
        <f t="shared" si="136"/>
        <v>78226.718212273947</v>
      </c>
      <c r="T375" s="62">
        <f t="shared" si="136"/>
        <v>78226.718212273947</v>
      </c>
      <c r="U375" s="62">
        <f t="shared" si="136"/>
        <v>78226.718212273947</v>
      </c>
      <c r="V375" s="62">
        <f t="shared" si="136"/>
        <v>78226.718212273947</v>
      </c>
      <c r="W375" s="62">
        <f t="shared" si="136"/>
        <v>78226.718212273947</v>
      </c>
      <c r="X375" s="62">
        <f t="shared" si="136"/>
        <v>78226.718212273947</v>
      </c>
      <c r="Y375" s="62">
        <f t="shared" si="136"/>
        <v>78226.718212273947</v>
      </c>
      <c r="Z375" s="62">
        <f t="shared" si="136"/>
        <v>78226.718212273947</v>
      </c>
      <c r="AA375" s="62">
        <f t="shared" si="136"/>
        <v>78226.718212273947</v>
      </c>
      <c r="AB375" s="62">
        <f t="shared" si="136"/>
        <v>78226.718212273947</v>
      </c>
      <c r="AC375" s="62">
        <f t="shared" si="136"/>
        <v>78226.718212273947</v>
      </c>
    </row>
    <row r="376" spans="1:29" x14ac:dyDescent="0.25">
      <c r="A376" s="30" t="str">
        <f>A357</f>
        <v>Residual value (costumization)</v>
      </c>
      <c r="B376" s="62">
        <f>((1+B358)^B366)*B358/(((1+B358)^B366)-1)*(B357)</f>
        <v>-7822.6718212273945</v>
      </c>
      <c r="C376" s="62">
        <f t="shared" ref="C376:AC376" si="137">((1+C358)^C366)*C358/(((1+C358)^C366)-1)*(C357)</f>
        <v>-7822.6718212273945</v>
      </c>
      <c r="D376" s="62">
        <f t="shared" si="137"/>
        <v>-7822.6718212273945</v>
      </c>
      <c r="E376" s="62">
        <f t="shared" si="137"/>
        <v>-7822.6718212273945</v>
      </c>
      <c r="F376" s="62">
        <f t="shared" si="137"/>
        <v>-7822.6718212273945</v>
      </c>
      <c r="G376" s="62">
        <f t="shared" si="137"/>
        <v>-7822.6718212273945</v>
      </c>
      <c r="H376" s="62">
        <f t="shared" si="137"/>
        <v>-7822.6718212273945</v>
      </c>
      <c r="I376" s="62">
        <f t="shared" si="137"/>
        <v>-7822.6718212273945</v>
      </c>
      <c r="J376" s="62">
        <f t="shared" si="137"/>
        <v>-7822.6718212273945</v>
      </c>
      <c r="K376" s="62">
        <f t="shared" si="137"/>
        <v>-7822.6718212273945</v>
      </c>
      <c r="L376" s="62">
        <f t="shared" si="137"/>
        <v>-7822.6718212273945</v>
      </c>
      <c r="M376" s="62">
        <f t="shared" si="137"/>
        <v>-7822.6718212273945</v>
      </c>
      <c r="N376" s="62">
        <f t="shared" si="137"/>
        <v>-7822.6718212273945</v>
      </c>
      <c r="O376" s="62">
        <f t="shared" si="137"/>
        <v>-7822.6718212273945</v>
      </c>
      <c r="P376" s="62">
        <f t="shared" si="137"/>
        <v>-7822.6718212273945</v>
      </c>
      <c r="Q376" s="62">
        <f t="shared" si="137"/>
        <v>-7822.6718212273945</v>
      </c>
      <c r="R376" s="62">
        <f t="shared" si="137"/>
        <v>-7822.6718212273945</v>
      </c>
      <c r="S376" s="62">
        <f t="shared" si="137"/>
        <v>-7822.6718212273945</v>
      </c>
      <c r="T376" s="62">
        <f t="shared" si="137"/>
        <v>-7822.6718212273945</v>
      </c>
      <c r="U376" s="62">
        <f t="shared" si="137"/>
        <v>-7822.6718212273945</v>
      </c>
      <c r="V376" s="62">
        <f t="shared" si="137"/>
        <v>-7822.6718212273945</v>
      </c>
      <c r="W376" s="62">
        <f t="shared" si="137"/>
        <v>-7822.6718212273945</v>
      </c>
      <c r="X376" s="62">
        <f t="shared" si="137"/>
        <v>-7822.6718212273945</v>
      </c>
      <c r="Y376" s="62">
        <f t="shared" si="137"/>
        <v>-7822.6718212273945</v>
      </c>
      <c r="Z376" s="62">
        <f t="shared" si="137"/>
        <v>-7822.6718212273945</v>
      </c>
      <c r="AA376" s="62">
        <f t="shared" si="137"/>
        <v>-7822.6718212273945</v>
      </c>
      <c r="AB376" s="62">
        <f t="shared" si="137"/>
        <v>-7822.6718212273945</v>
      </c>
      <c r="AC376" s="62">
        <f t="shared" si="137"/>
        <v>-7822.6718212273945</v>
      </c>
    </row>
    <row r="377" spans="1:29" x14ac:dyDescent="0.25">
      <c r="A377" s="30" t="str">
        <f t="shared" ref="A377:AC378" si="138">A359</f>
        <v>Opex fix (admin, crew, insurance)</v>
      </c>
      <c r="B377" s="62">
        <f t="shared" si="138"/>
        <v>1208235.294117647</v>
      </c>
      <c r="C377" s="62">
        <f t="shared" si="138"/>
        <v>1208235.294117647</v>
      </c>
      <c r="D377" s="62">
        <f t="shared" si="138"/>
        <v>1208235.294117647</v>
      </c>
      <c r="E377" s="62">
        <f t="shared" si="138"/>
        <v>1208235.294117647</v>
      </c>
      <c r="F377" s="62">
        <f t="shared" si="138"/>
        <v>1208235.294117647</v>
      </c>
      <c r="G377" s="62">
        <f t="shared" si="138"/>
        <v>1208235.294117647</v>
      </c>
      <c r="H377" s="62">
        <f t="shared" si="138"/>
        <v>1208235.294117647</v>
      </c>
      <c r="I377" s="62">
        <f t="shared" si="138"/>
        <v>1208235.294117647</v>
      </c>
      <c r="J377" s="62">
        <f t="shared" si="138"/>
        <v>1208235.294117647</v>
      </c>
      <c r="K377" s="62">
        <f t="shared" si="138"/>
        <v>1208235.294117647</v>
      </c>
      <c r="L377" s="62">
        <f t="shared" si="138"/>
        <v>1208235.294117647</v>
      </c>
      <c r="M377" s="62">
        <f t="shared" si="138"/>
        <v>1208235.294117647</v>
      </c>
      <c r="N377" s="62">
        <f t="shared" si="138"/>
        <v>1208235.294117647</v>
      </c>
      <c r="O377" s="62">
        <f t="shared" si="138"/>
        <v>1208235.294117647</v>
      </c>
      <c r="P377" s="62">
        <f t="shared" si="138"/>
        <v>1208235.294117647</v>
      </c>
      <c r="Q377" s="62">
        <f t="shared" si="138"/>
        <v>1208235.294117647</v>
      </c>
      <c r="R377" s="62">
        <f t="shared" si="138"/>
        <v>1208235.294117647</v>
      </c>
      <c r="S377" s="62">
        <f t="shared" si="138"/>
        <v>1208235.294117647</v>
      </c>
      <c r="T377" s="62">
        <f t="shared" si="138"/>
        <v>1208235.294117647</v>
      </c>
      <c r="U377" s="62">
        <f t="shared" si="138"/>
        <v>1208235.294117647</v>
      </c>
      <c r="V377" s="62">
        <f t="shared" si="138"/>
        <v>1208235.294117647</v>
      </c>
      <c r="W377" s="62">
        <f t="shared" si="138"/>
        <v>1208235.294117647</v>
      </c>
      <c r="X377" s="62">
        <f t="shared" si="138"/>
        <v>1208235.294117647</v>
      </c>
      <c r="Y377" s="62">
        <f t="shared" si="138"/>
        <v>1208235.294117647</v>
      </c>
      <c r="Z377" s="62">
        <f t="shared" si="138"/>
        <v>1208235.294117647</v>
      </c>
      <c r="AA377" s="62">
        <f t="shared" si="138"/>
        <v>1208235.294117647</v>
      </c>
      <c r="AB377" s="62">
        <f t="shared" si="138"/>
        <v>1208235.294117647</v>
      </c>
      <c r="AC377" s="62">
        <f t="shared" si="138"/>
        <v>1208235.294117647</v>
      </c>
    </row>
    <row r="378" spans="1:29" x14ac:dyDescent="0.25">
      <c r="A378" s="30" t="str">
        <f t="shared" si="138"/>
        <v>Opex maintenance &amp; repair</v>
      </c>
      <c r="B378" s="62">
        <f t="shared" si="138"/>
        <v>488235.29411764705</v>
      </c>
      <c r="C378" s="62">
        <f t="shared" si="138"/>
        <v>488235.29411764705</v>
      </c>
      <c r="D378" s="62">
        <f t="shared" si="138"/>
        <v>488235.29411764705</v>
      </c>
      <c r="E378" s="62">
        <f t="shared" si="138"/>
        <v>488235.29411764705</v>
      </c>
      <c r="F378" s="62">
        <f t="shared" si="138"/>
        <v>488235.29411764705</v>
      </c>
      <c r="G378" s="62">
        <f t="shared" si="138"/>
        <v>488235.29411764705</v>
      </c>
      <c r="H378" s="62">
        <f t="shared" si="138"/>
        <v>488235.29411764705</v>
      </c>
      <c r="I378" s="62">
        <f t="shared" si="138"/>
        <v>488235.29411764705</v>
      </c>
      <c r="J378" s="62">
        <f t="shared" si="138"/>
        <v>488235.29411764705</v>
      </c>
      <c r="K378" s="62">
        <f t="shared" si="138"/>
        <v>488235.29411764705</v>
      </c>
      <c r="L378" s="62">
        <f t="shared" si="138"/>
        <v>488235.29411764705</v>
      </c>
      <c r="M378" s="62">
        <f t="shared" si="138"/>
        <v>488235.29411764705</v>
      </c>
      <c r="N378" s="62">
        <f t="shared" si="138"/>
        <v>488235.29411764705</v>
      </c>
      <c r="O378" s="62">
        <f t="shared" si="138"/>
        <v>488235.29411764705</v>
      </c>
      <c r="P378" s="62">
        <f t="shared" si="138"/>
        <v>488235.29411764705</v>
      </c>
      <c r="Q378" s="62">
        <f t="shared" si="138"/>
        <v>488235.29411764705</v>
      </c>
      <c r="R378" s="62">
        <f t="shared" si="138"/>
        <v>488235.29411764705</v>
      </c>
      <c r="S378" s="62">
        <f t="shared" si="138"/>
        <v>488235.29411764705</v>
      </c>
      <c r="T378" s="62">
        <f t="shared" si="138"/>
        <v>488235.29411764705</v>
      </c>
      <c r="U378" s="62">
        <f t="shared" si="138"/>
        <v>488235.29411764705</v>
      </c>
      <c r="V378" s="62">
        <f t="shared" si="138"/>
        <v>488235.29411764705</v>
      </c>
      <c r="W378" s="62">
        <f t="shared" si="138"/>
        <v>488235.29411764705</v>
      </c>
      <c r="X378" s="62">
        <f t="shared" si="138"/>
        <v>488235.29411764705</v>
      </c>
      <c r="Y378" s="62">
        <f t="shared" si="138"/>
        <v>488235.29411764705</v>
      </c>
      <c r="Z378" s="62">
        <f t="shared" si="138"/>
        <v>488235.29411764705</v>
      </c>
      <c r="AA378" s="62">
        <f t="shared" si="138"/>
        <v>488235.29411764705</v>
      </c>
      <c r="AB378" s="62">
        <f t="shared" si="138"/>
        <v>488235.29411764705</v>
      </c>
      <c r="AC378" s="62">
        <f t="shared" si="138"/>
        <v>488235.29411764705</v>
      </c>
    </row>
    <row r="379" spans="1:29" x14ac:dyDescent="0.25">
      <c r="A379" s="30" t="str">
        <f>A361</f>
        <v>Opex var (mode-fees)</v>
      </c>
      <c r="B379" s="62">
        <f>B361*B370</f>
        <v>97536.682916217906</v>
      </c>
      <c r="C379" s="62">
        <f t="shared" ref="C379:AC379" si="139">C361*C370</f>
        <v>97536.682916217906</v>
      </c>
      <c r="D379" s="62">
        <f t="shared" si="139"/>
        <v>97536.682916217906</v>
      </c>
      <c r="E379" s="62">
        <f t="shared" si="139"/>
        <v>97536.682916217906</v>
      </c>
      <c r="F379" s="62">
        <f t="shared" si="139"/>
        <v>97536.682916217906</v>
      </c>
      <c r="G379" s="62">
        <f t="shared" si="139"/>
        <v>97536.682916217906</v>
      </c>
      <c r="H379" s="62">
        <f t="shared" si="139"/>
        <v>97536.682916217906</v>
      </c>
      <c r="I379" s="62">
        <f t="shared" si="139"/>
        <v>97536.682916217906</v>
      </c>
      <c r="J379" s="62">
        <f t="shared" si="139"/>
        <v>97536.682916217906</v>
      </c>
      <c r="K379" s="62">
        <f t="shared" si="139"/>
        <v>97536.682916217906</v>
      </c>
      <c r="L379" s="62">
        <f t="shared" si="139"/>
        <v>97536.682916217906</v>
      </c>
      <c r="M379" s="62">
        <f t="shared" si="139"/>
        <v>97536.682916217906</v>
      </c>
      <c r="N379" s="62">
        <f t="shared" si="139"/>
        <v>97536.682916217906</v>
      </c>
      <c r="O379" s="62">
        <f t="shared" si="139"/>
        <v>97536.682916217906</v>
      </c>
      <c r="P379" s="62">
        <f t="shared" si="139"/>
        <v>97536.682916217906</v>
      </c>
      <c r="Q379" s="62">
        <f t="shared" si="139"/>
        <v>97536.682916217906</v>
      </c>
      <c r="R379" s="62">
        <f t="shared" si="139"/>
        <v>97536.682916217906</v>
      </c>
      <c r="S379" s="62">
        <f t="shared" si="139"/>
        <v>97536.682916217906</v>
      </c>
      <c r="T379" s="62">
        <f t="shared" si="139"/>
        <v>97536.682916217906</v>
      </c>
      <c r="U379" s="62">
        <f t="shared" si="139"/>
        <v>97536.682916217906</v>
      </c>
      <c r="V379" s="62">
        <f t="shared" si="139"/>
        <v>97536.682916217906</v>
      </c>
      <c r="W379" s="62">
        <f t="shared" si="139"/>
        <v>97536.682916217906</v>
      </c>
      <c r="X379" s="62">
        <f t="shared" si="139"/>
        <v>97536.682916217906</v>
      </c>
      <c r="Y379" s="62">
        <f t="shared" si="139"/>
        <v>97536.682916217906</v>
      </c>
      <c r="Z379" s="62">
        <f t="shared" si="139"/>
        <v>97536.682916217906</v>
      </c>
      <c r="AA379" s="62">
        <f t="shared" si="139"/>
        <v>97536.682916217906</v>
      </c>
      <c r="AB379" s="62">
        <f t="shared" si="139"/>
        <v>97536.682916217906</v>
      </c>
      <c r="AC379" s="62">
        <f t="shared" si="139"/>
        <v>97536.682916217906</v>
      </c>
    </row>
    <row r="380" spans="1:29" x14ac:dyDescent="0.25">
      <c r="A380" s="30" t="str">
        <f>A363</f>
        <v>Fuel Cost</v>
      </c>
      <c r="B380" s="62">
        <f>B362*B363*B370</f>
        <v>2016601.6463383522</v>
      </c>
      <c r="C380" s="62">
        <f t="shared" ref="C380:AC380" si="140">C362*C363*C370</f>
        <v>1877396.0596961828</v>
      </c>
      <c r="D380" s="62">
        <f t="shared" si="140"/>
        <v>1738157.8929535446</v>
      </c>
      <c r="E380" s="62">
        <f t="shared" si="140"/>
        <v>1598879.1618886387</v>
      </c>
      <c r="F380" s="62">
        <f t="shared" si="140"/>
        <v>1459551.1447038057</v>
      </c>
      <c r="G380" s="62">
        <f t="shared" si="140"/>
        <v>1320165.2828480438</v>
      </c>
      <c r="H380" s="62">
        <f t="shared" si="140"/>
        <v>1180715.010052663</v>
      </c>
      <c r="I380" s="62">
        <f t="shared" si="140"/>
        <v>1041199.1125372326</v>
      </c>
      <c r="J380" s="62">
        <f t="shared" si="140"/>
        <v>1019284.9225651143</v>
      </c>
      <c r="K380" s="62">
        <f t="shared" si="140"/>
        <v>997072.28353884362</v>
      </c>
      <c r="L380" s="62">
        <f t="shared" si="140"/>
        <v>974465.93581482011</v>
      </c>
      <c r="M380" s="62">
        <f t="shared" si="140"/>
        <v>951355.36975263874</v>
      </c>
      <c r="N380" s="62">
        <f t="shared" si="140"/>
        <v>927626.7897224084</v>
      </c>
      <c r="O380" s="62">
        <f t="shared" si="140"/>
        <v>903188.87759881245</v>
      </c>
      <c r="P380" s="62">
        <f t="shared" si="140"/>
        <v>878014.90025594714</v>
      </c>
      <c r="Q380" s="62">
        <f t="shared" si="140"/>
        <v>852193.9035026104</v>
      </c>
      <c r="R380" s="62">
        <f t="shared" si="140"/>
        <v>825966.87856994744</v>
      </c>
      <c r="S380" s="62">
        <f t="shared" si="140"/>
        <v>799712.58759018383</v>
      </c>
      <c r="T380" s="62">
        <f t="shared" si="140"/>
        <v>773864.94731231174</v>
      </c>
      <c r="U380" s="62">
        <f t="shared" si="140"/>
        <v>748791.94002792984</v>
      </c>
      <c r="V380" s="62">
        <f t="shared" si="140"/>
        <v>724702.19376327144</v>
      </c>
      <c r="W380" s="62">
        <f t="shared" si="140"/>
        <v>701625.60706388811</v>
      </c>
      <c r="X380" s="62">
        <f t="shared" si="140"/>
        <v>679459.03194522974</v>
      </c>
      <c r="Y380" s="62">
        <f t="shared" si="140"/>
        <v>658034.5257560059</v>
      </c>
      <c r="Z380" s="62">
        <f t="shared" si="140"/>
        <v>637174.92248860688</v>
      </c>
      <c r="AA380" s="62">
        <f t="shared" si="140"/>
        <v>616724.92889380688</v>
      </c>
      <c r="AB380" s="62">
        <f t="shared" si="140"/>
        <v>596561.97616320604</v>
      </c>
      <c r="AC380" s="62">
        <f t="shared" si="140"/>
        <v>576595.44474159461</v>
      </c>
    </row>
    <row r="381" spans="1:29" ht="15.75" thickBot="1" x14ac:dyDescent="0.3">
      <c r="A381" s="59" t="str">
        <f>A344</f>
        <v>Emission Cost</v>
      </c>
      <c r="B381" s="62">
        <f>B364*B370</f>
        <v>0</v>
      </c>
      <c r="C381" s="62">
        <f t="shared" ref="C381:AC381" si="141">C364*C370</f>
        <v>0</v>
      </c>
      <c r="D381" s="62">
        <f t="shared" si="141"/>
        <v>0</v>
      </c>
      <c r="E381" s="62">
        <f t="shared" si="141"/>
        <v>0</v>
      </c>
      <c r="F381" s="62">
        <f t="shared" si="141"/>
        <v>0</v>
      </c>
      <c r="G381" s="62">
        <f t="shared" si="141"/>
        <v>0</v>
      </c>
      <c r="H381" s="62">
        <f t="shared" si="141"/>
        <v>0</v>
      </c>
      <c r="I381" s="62">
        <f t="shared" si="141"/>
        <v>0</v>
      </c>
      <c r="J381" s="62">
        <f t="shared" si="141"/>
        <v>0</v>
      </c>
      <c r="K381" s="62">
        <f t="shared" si="141"/>
        <v>0</v>
      </c>
      <c r="L381" s="62">
        <f t="shared" si="141"/>
        <v>0</v>
      </c>
      <c r="M381" s="62">
        <f t="shared" si="141"/>
        <v>0</v>
      </c>
      <c r="N381" s="62">
        <f t="shared" si="141"/>
        <v>0</v>
      </c>
      <c r="O381" s="62">
        <f t="shared" si="141"/>
        <v>0</v>
      </c>
      <c r="P381" s="62">
        <f t="shared" si="141"/>
        <v>0</v>
      </c>
      <c r="Q381" s="62">
        <f t="shared" si="141"/>
        <v>0</v>
      </c>
      <c r="R381" s="62">
        <f t="shared" si="141"/>
        <v>0</v>
      </c>
      <c r="S381" s="62">
        <f t="shared" si="141"/>
        <v>0</v>
      </c>
      <c r="T381" s="62">
        <f t="shared" si="141"/>
        <v>0</v>
      </c>
      <c r="U381" s="62">
        <f t="shared" si="141"/>
        <v>0</v>
      </c>
      <c r="V381" s="62">
        <f t="shared" si="141"/>
        <v>0</v>
      </c>
      <c r="W381" s="62">
        <f t="shared" si="141"/>
        <v>0</v>
      </c>
      <c r="X381" s="62">
        <f t="shared" si="141"/>
        <v>0</v>
      </c>
      <c r="Y381" s="62">
        <f t="shared" si="141"/>
        <v>0</v>
      </c>
      <c r="Z381" s="62">
        <f t="shared" si="141"/>
        <v>0</v>
      </c>
      <c r="AA381" s="62">
        <f t="shared" si="141"/>
        <v>0</v>
      </c>
      <c r="AB381" s="62">
        <f t="shared" si="141"/>
        <v>0</v>
      </c>
      <c r="AC381" s="62">
        <f t="shared" si="141"/>
        <v>0</v>
      </c>
    </row>
    <row r="382" spans="1:29" ht="15.75" thickBot="1" x14ac:dyDescent="0.3">
      <c r="A382" s="31" t="s">
        <v>209</v>
      </c>
      <c r="B382" s="64">
        <f>B373+B374+B375+B376+B377+B378+B379+B380+B381</f>
        <v>4937202.5140868565</v>
      </c>
      <c r="C382" s="64">
        <f t="shared" ref="C382:AC382" si="142">C373+C374+C375+C376+C377+C378+C379+C380+C381</f>
        <v>4798052.6729158163</v>
      </c>
      <c r="D382" s="64">
        <f t="shared" si="142"/>
        <v>4658894.3045734707</v>
      </c>
      <c r="E382" s="64">
        <f t="shared" si="142"/>
        <v>4519729.7307318579</v>
      </c>
      <c r="F382" s="64">
        <f t="shared" si="142"/>
        <v>4380564.8694091523</v>
      </c>
      <c r="G382" s="64">
        <f t="shared" si="142"/>
        <v>4241411.8662280897</v>
      </c>
      <c r="H382" s="64">
        <f t="shared" si="142"/>
        <v>4102293.2413119664</v>
      </c>
      <c r="I382" s="64">
        <f t="shared" si="142"/>
        <v>3963248.2362427665</v>
      </c>
      <c r="J382" s="64">
        <f t="shared" si="142"/>
        <v>3941999.6074935189</v>
      </c>
      <c r="K382" s="64">
        <f t="shared" si="142"/>
        <v>3920721.4044164405</v>
      </c>
      <c r="L382" s="64">
        <f t="shared" si="142"/>
        <v>3899414.2618725472</v>
      </c>
      <c r="M382" s="64">
        <f t="shared" si="142"/>
        <v>3878084.857508962</v>
      </c>
      <c r="N382" s="64">
        <f t="shared" si="142"/>
        <v>3856749.9679400744</v>
      </c>
      <c r="O382" s="64">
        <f t="shared" si="142"/>
        <v>3835441.0716764405</v>
      </c>
      <c r="P382" s="64">
        <f t="shared" si="142"/>
        <v>3814207.5609368738</v>
      </c>
      <c r="Q382" s="64">
        <f t="shared" si="142"/>
        <v>3793115.0109963841</v>
      </c>
      <c r="R382" s="64">
        <f t="shared" si="142"/>
        <v>3772234.7891440936</v>
      </c>
      <c r="S382" s="64">
        <f t="shared" si="142"/>
        <v>3751625.0962388981</v>
      </c>
      <c r="T382" s="64">
        <f t="shared" si="142"/>
        <v>3731310.9789034114</v>
      </c>
      <c r="U382" s="64">
        <f t="shared" si="142"/>
        <v>3711275.2514530537</v>
      </c>
      <c r="V382" s="64">
        <f t="shared" si="142"/>
        <v>3691466.4757248731</v>
      </c>
      <c r="W382" s="64">
        <f t="shared" si="142"/>
        <v>3671818.1797468239</v>
      </c>
      <c r="X382" s="64">
        <f t="shared" si="142"/>
        <v>3652267.5426069442</v>
      </c>
      <c r="Y382" s="64">
        <f t="shared" si="142"/>
        <v>3632765.9606306506</v>
      </c>
      <c r="Z382" s="64">
        <f t="shared" si="142"/>
        <v>3613281.2203571983</v>
      </c>
      <c r="AA382" s="64">
        <f t="shared" si="142"/>
        <v>3593794.8026818684</v>
      </c>
      <c r="AB382" s="64">
        <f t="shared" si="142"/>
        <v>3574297.7401376264</v>
      </c>
      <c r="AC382" s="64">
        <f t="shared" si="142"/>
        <v>3554786.9105531205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3">A373</f>
        <v>Capex vehicle</v>
      </c>
      <c r="B385" s="65">
        <f>((1+B358)^B365)*B358/(((1+B358)^B365)-1)*(B354)/B370</f>
        <v>9.7783397765342439</v>
      </c>
      <c r="C385" s="65">
        <f t="shared" ref="C385:AC385" si="144">((1+C358)^C365)*C358/(((1+C358)^C365)-1)*(C354)/C370</f>
        <v>9.7783397765342439</v>
      </c>
      <c r="D385" s="65">
        <f t="shared" si="144"/>
        <v>9.7783397765342439</v>
      </c>
      <c r="E385" s="65">
        <f t="shared" si="144"/>
        <v>9.7783397765342439</v>
      </c>
      <c r="F385" s="65">
        <f t="shared" si="144"/>
        <v>9.7783397765342439</v>
      </c>
      <c r="G385" s="65">
        <f t="shared" si="144"/>
        <v>9.7783397765342439</v>
      </c>
      <c r="H385" s="65">
        <f t="shared" si="144"/>
        <v>9.7783397765342439</v>
      </c>
      <c r="I385" s="65">
        <f t="shared" si="144"/>
        <v>9.7783397765342439</v>
      </c>
      <c r="J385" s="65">
        <f t="shared" si="144"/>
        <v>9.7783397765342439</v>
      </c>
      <c r="K385" s="65">
        <f t="shared" si="144"/>
        <v>9.7783397765342439</v>
      </c>
      <c r="L385" s="65">
        <f t="shared" si="144"/>
        <v>9.7783397765342439</v>
      </c>
      <c r="M385" s="65">
        <f t="shared" si="144"/>
        <v>9.7783397765342439</v>
      </c>
      <c r="N385" s="65">
        <f t="shared" si="144"/>
        <v>9.7783397765342439</v>
      </c>
      <c r="O385" s="65">
        <f t="shared" si="144"/>
        <v>9.7783397765342439</v>
      </c>
      <c r="P385" s="65">
        <f t="shared" si="144"/>
        <v>9.7783397765342439</v>
      </c>
      <c r="Q385" s="65">
        <f t="shared" si="144"/>
        <v>9.7783397765342439</v>
      </c>
      <c r="R385" s="65">
        <f t="shared" si="144"/>
        <v>9.7783397765342439</v>
      </c>
      <c r="S385" s="65">
        <f t="shared" si="144"/>
        <v>9.7783397765342439</v>
      </c>
      <c r="T385" s="65">
        <f t="shared" si="144"/>
        <v>9.7783397765342439</v>
      </c>
      <c r="U385" s="65">
        <f t="shared" si="144"/>
        <v>9.7783397765342439</v>
      </c>
      <c r="V385" s="65">
        <f t="shared" si="144"/>
        <v>9.7783397765342439</v>
      </c>
      <c r="W385" s="65">
        <f t="shared" si="144"/>
        <v>9.7783397765342439</v>
      </c>
      <c r="X385" s="65">
        <f t="shared" si="144"/>
        <v>9.7783397765342439</v>
      </c>
      <c r="Y385" s="65">
        <f t="shared" si="144"/>
        <v>9.7783397765342439</v>
      </c>
      <c r="Z385" s="65">
        <f t="shared" si="144"/>
        <v>9.7783397765342439</v>
      </c>
      <c r="AA385" s="65">
        <f t="shared" si="144"/>
        <v>9.7783397765342439</v>
      </c>
      <c r="AB385" s="65">
        <f t="shared" si="144"/>
        <v>9.7783397765342439</v>
      </c>
      <c r="AC385" s="65">
        <f t="shared" si="144"/>
        <v>9.7783397765342439</v>
      </c>
    </row>
    <row r="386" spans="1:29" x14ac:dyDescent="0.25">
      <c r="A386" s="30" t="str">
        <f t="shared" si="143"/>
        <v>Residual value (vehicle)</v>
      </c>
      <c r="B386" s="66">
        <f>((1+B358)^B365)*B358/(((1+B358)^B365)-1)*(B355)/B370</f>
        <v>-0.97676019148470272</v>
      </c>
      <c r="C386" s="66">
        <f t="shared" ref="C386:AC386" si="145">((1+C358)^C365)*C358/(((1+C358)^C365)-1)*(C355)/C370</f>
        <v>-0.97629564589195228</v>
      </c>
      <c r="D386" s="66">
        <f t="shared" si="145"/>
        <v>-0.97563065922284864</v>
      </c>
      <c r="E386" s="66">
        <f t="shared" si="145"/>
        <v>-0.97467934902874298</v>
      </c>
      <c r="F386" s="66">
        <f t="shared" si="145"/>
        <v>-0.97331971684434948</v>
      </c>
      <c r="G386" s="66">
        <f t="shared" si="145"/>
        <v>-0.97137922788852038</v>
      </c>
      <c r="H386" s="66">
        <f t="shared" si="145"/>
        <v>-0.96861549556136939</v>
      </c>
      <c r="I386" s="66">
        <f t="shared" si="145"/>
        <v>-0.96469139184278574</v>
      </c>
      <c r="J386" s="66">
        <f t="shared" si="145"/>
        <v>-0.95914504831885961</v>
      </c>
      <c r="K386" s="66">
        <f t="shared" si="145"/>
        <v>-0.95135808207559314</v>
      </c>
      <c r="L386" s="66">
        <f t="shared" si="145"/>
        <v>-0.94053137224117322</v>
      </c>
      <c r="M386" s="66">
        <f t="shared" si="145"/>
        <v>-0.92568835808620409</v>
      </c>
      <c r="N386" s="66">
        <f t="shared" si="145"/>
        <v>-0.90574093757501994</v>
      </c>
      <c r="O386" s="66">
        <f t="shared" si="145"/>
        <v>-0.87966580540866446</v>
      </c>
      <c r="P386" s="66">
        <f t="shared" si="145"/>
        <v>-0.84682858371450898</v>
      </c>
      <c r="Q386" s="66">
        <f t="shared" si="145"/>
        <v>-0.80742486027411864</v>
      </c>
      <c r="R386" s="66">
        <f t="shared" si="145"/>
        <v>-0.7628681679376812</v>
      </c>
      <c r="S386" s="66">
        <f t="shared" si="145"/>
        <v>-0.71582985064961269</v>
      </c>
      <c r="T386" s="66">
        <f t="shared" si="145"/>
        <v>-0.66971715946306853</v>
      </c>
      <c r="U386" s="66">
        <f t="shared" si="145"/>
        <v>-0.62773982751286628</v>
      </c>
      <c r="V386" s="66">
        <f t="shared" si="145"/>
        <v>-0.59206507304221667</v>
      </c>
      <c r="W386" s="66">
        <f t="shared" si="145"/>
        <v>-0.56349598369776865</v>
      </c>
      <c r="X386" s="66">
        <f t="shared" si="145"/>
        <v>-0.54169650054128426</v>
      </c>
      <c r="Y386" s="66">
        <f t="shared" si="145"/>
        <v>-0.52567213210019181</v>
      </c>
      <c r="Z386" s="66">
        <f t="shared" si="145"/>
        <v>-0.51421494048397043</v>
      </c>
      <c r="AA386" s="66">
        <f t="shared" si="145"/>
        <v>-0.50618514115505298</v>
      </c>
      <c r="AB386" s="66">
        <f t="shared" si="145"/>
        <v>-0.50063605626873253</v>
      </c>
      <c r="AC386" s="66">
        <f t="shared" si="145"/>
        <v>-0.49683854095951707</v>
      </c>
    </row>
    <row r="387" spans="1:29" x14ac:dyDescent="0.25">
      <c r="A387" s="30" t="str">
        <f t="shared" si="143"/>
        <v>Capex costumization</v>
      </c>
      <c r="B387" s="66">
        <f>((1+B358)^B366)*B358/(((1+B358)^B366)-1)*(B356)/B370</f>
        <v>0.65188931843561626</v>
      </c>
      <c r="C387" s="66">
        <f t="shared" ref="C387:AC387" si="146">((1+C358)^C366)*C358/(((1+C358)^C366)-1)*(C356)/C370</f>
        <v>0.65188931843561626</v>
      </c>
      <c r="D387" s="66">
        <f t="shared" si="146"/>
        <v>0.65188931843561626</v>
      </c>
      <c r="E387" s="66">
        <f t="shared" si="146"/>
        <v>0.65188931843561626</v>
      </c>
      <c r="F387" s="66">
        <f t="shared" si="146"/>
        <v>0.65188931843561626</v>
      </c>
      <c r="G387" s="66">
        <f t="shared" si="146"/>
        <v>0.65188931843561626</v>
      </c>
      <c r="H387" s="66">
        <f t="shared" si="146"/>
        <v>0.65188931843561626</v>
      </c>
      <c r="I387" s="66">
        <f t="shared" si="146"/>
        <v>0.65188931843561626</v>
      </c>
      <c r="J387" s="66">
        <f t="shared" si="146"/>
        <v>0.65188931843561626</v>
      </c>
      <c r="K387" s="66">
        <f t="shared" si="146"/>
        <v>0.65188931843561626</v>
      </c>
      <c r="L387" s="66">
        <f t="shared" si="146"/>
        <v>0.65188931843561626</v>
      </c>
      <c r="M387" s="66">
        <f t="shared" si="146"/>
        <v>0.65188931843561626</v>
      </c>
      <c r="N387" s="66">
        <f t="shared" si="146"/>
        <v>0.65188931843561626</v>
      </c>
      <c r="O387" s="66">
        <f t="shared" si="146"/>
        <v>0.65188931843561626</v>
      </c>
      <c r="P387" s="66">
        <f t="shared" si="146"/>
        <v>0.65188931843561626</v>
      </c>
      <c r="Q387" s="66">
        <f t="shared" si="146"/>
        <v>0.65188931843561626</v>
      </c>
      <c r="R387" s="66">
        <f t="shared" si="146"/>
        <v>0.65188931843561626</v>
      </c>
      <c r="S387" s="66">
        <f t="shared" si="146"/>
        <v>0.65188931843561626</v>
      </c>
      <c r="T387" s="66">
        <f t="shared" si="146"/>
        <v>0.65188931843561626</v>
      </c>
      <c r="U387" s="66">
        <f t="shared" si="146"/>
        <v>0.65188931843561626</v>
      </c>
      <c r="V387" s="66">
        <f t="shared" si="146"/>
        <v>0.65188931843561626</v>
      </c>
      <c r="W387" s="66">
        <f t="shared" si="146"/>
        <v>0.65188931843561626</v>
      </c>
      <c r="X387" s="66">
        <f t="shared" si="146"/>
        <v>0.65188931843561626</v>
      </c>
      <c r="Y387" s="66">
        <f t="shared" si="146"/>
        <v>0.65188931843561626</v>
      </c>
      <c r="Z387" s="66">
        <f t="shared" si="146"/>
        <v>0.65188931843561626</v>
      </c>
      <c r="AA387" s="66">
        <f t="shared" si="146"/>
        <v>0.65188931843561626</v>
      </c>
      <c r="AB387" s="66">
        <f t="shared" si="146"/>
        <v>0.65188931843561626</v>
      </c>
      <c r="AC387" s="66">
        <f t="shared" si="146"/>
        <v>0.65188931843561626</v>
      </c>
    </row>
    <row r="388" spans="1:29" x14ac:dyDescent="0.25">
      <c r="A388" s="30" t="str">
        <f t="shared" si="143"/>
        <v>Residual value (costumization)</v>
      </c>
      <c r="B388" s="66">
        <f>((1+B358)^B366)*B358/(((1+B358)^B366)-1)*(B357)/B370</f>
        <v>-6.5188931843561615E-2</v>
      </c>
      <c r="C388" s="66">
        <f t="shared" ref="C388:AC388" si="147">((1+C358)^C366)*C358/(((1+C358)^C366)-1)*(C357)/C370</f>
        <v>-6.5188931843561615E-2</v>
      </c>
      <c r="D388" s="66">
        <f t="shared" si="147"/>
        <v>-6.5188931843561615E-2</v>
      </c>
      <c r="E388" s="66">
        <f t="shared" si="147"/>
        <v>-6.5188931843561615E-2</v>
      </c>
      <c r="F388" s="66">
        <f t="shared" si="147"/>
        <v>-6.5188931843561615E-2</v>
      </c>
      <c r="G388" s="66">
        <f t="shared" si="147"/>
        <v>-6.5188931843561615E-2</v>
      </c>
      <c r="H388" s="66">
        <f t="shared" si="147"/>
        <v>-6.5188931843561615E-2</v>
      </c>
      <c r="I388" s="66">
        <f t="shared" si="147"/>
        <v>-6.5188931843561615E-2</v>
      </c>
      <c r="J388" s="66">
        <f t="shared" si="147"/>
        <v>-6.5188931843561615E-2</v>
      </c>
      <c r="K388" s="66">
        <f t="shared" si="147"/>
        <v>-6.5188931843561615E-2</v>
      </c>
      <c r="L388" s="66">
        <f t="shared" si="147"/>
        <v>-6.5188931843561615E-2</v>
      </c>
      <c r="M388" s="66">
        <f t="shared" si="147"/>
        <v>-6.5188931843561615E-2</v>
      </c>
      <c r="N388" s="66">
        <f t="shared" si="147"/>
        <v>-6.5188931843561615E-2</v>
      </c>
      <c r="O388" s="66">
        <f t="shared" si="147"/>
        <v>-6.5188931843561615E-2</v>
      </c>
      <c r="P388" s="66">
        <f t="shared" si="147"/>
        <v>-6.5188931843561615E-2</v>
      </c>
      <c r="Q388" s="66">
        <f t="shared" si="147"/>
        <v>-6.5188931843561615E-2</v>
      </c>
      <c r="R388" s="66">
        <f t="shared" si="147"/>
        <v>-6.5188931843561615E-2</v>
      </c>
      <c r="S388" s="66">
        <f t="shared" si="147"/>
        <v>-6.5188931843561615E-2</v>
      </c>
      <c r="T388" s="66">
        <f t="shared" si="147"/>
        <v>-6.5188931843561615E-2</v>
      </c>
      <c r="U388" s="66">
        <f t="shared" si="147"/>
        <v>-6.5188931843561615E-2</v>
      </c>
      <c r="V388" s="66">
        <f t="shared" si="147"/>
        <v>-6.5188931843561615E-2</v>
      </c>
      <c r="W388" s="66">
        <f t="shared" si="147"/>
        <v>-6.5188931843561615E-2</v>
      </c>
      <c r="X388" s="66">
        <f t="shared" si="147"/>
        <v>-6.5188931843561615E-2</v>
      </c>
      <c r="Y388" s="66">
        <f t="shared" si="147"/>
        <v>-6.5188931843561615E-2</v>
      </c>
      <c r="Z388" s="66">
        <f t="shared" si="147"/>
        <v>-6.5188931843561615E-2</v>
      </c>
      <c r="AA388" s="66">
        <f t="shared" si="147"/>
        <v>-6.5188931843561615E-2</v>
      </c>
      <c r="AB388" s="66">
        <f t="shared" si="147"/>
        <v>-6.5188931843561615E-2</v>
      </c>
      <c r="AC388" s="66">
        <f t="shared" si="147"/>
        <v>-6.5188931843561615E-2</v>
      </c>
    </row>
    <row r="389" spans="1:29" x14ac:dyDescent="0.25">
      <c r="A389" s="30" t="str">
        <f t="shared" si="143"/>
        <v>Opex fix (admin, crew, insurance)</v>
      </c>
      <c r="B389" s="66">
        <f>B359/B370</f>
        <v>10.068627450980392</v>
      </c>
      <c r="C389" s="66">
        <f t="shared" ref="C389:AC389" si="148">C359/C370</f>
        <v>10.068627450980392</v>
      </c>
      <c r="D389" s="66">
        <f t="shared" si="148"/>
        <v>10.068627450980392</v>
      </c>
      <c r="E389" s="66">
        <f t="shared" si="148"/>
        <v>10.068627450980392</v>
      </c>
      <c r="F389" s="66">
        <f t="shared" si="148"/>
        <v>10.068627450980392</v>
      </c>
      <c r="G389" s="66">
        <f t="shared" si="148"/>
        <v>10.068627450980392</v>
      </c>
      <c r="H389" s="66">
        <f t="shared" si="148"/>
        <v>10.068627450980392</v>
      </c>
      <c r="I389" s="66">
        <f t="shared" si="148"/>
        <v>10.068627450980392</v>
      </c>
      <c r="J389" s="66">
        <f t="shared" si="148"/>
        <v>10.068627450980392</v>
      </c>
      <c r="K389" s="66">
        <f t="shared" si="148"/>
        <v>10.068627450980392</v>
      </c>
      <c r="L389" s="66">
        <f t="shared" si="148"/>
        <v>10.068627450980392</v>
      </c>
      <c r="M389" s="66">
        <f t="shared" si="148"/>
        <v>10.068627450980392</v>
      </c>
      <c r="N389" s="66">
        <f t="shared" si="148"/>
        <v>10.068627450980392</v>
      </c>
      <c r="O389" s="66">
        <f t="shared" si="148"/>
        <v>10.068627450980392</v>
      </c>
      <c r="P389" s="66">
        <f t="shared" si="148"/>
        <v>10.068627450980392</v>
      </c>
      <c r="Q389" s="66">
        <f t="shared" si="148"/>
        <v>10.068627450980392</v>
      </c>
      <c r="R389" s="66">
        <f t="shared" si="148"/>
        <v>10.068627450980392</v>
      </c>
      <c r="S389" s="66">
        <f t="shared" si="148"/>
        <v>10.068627450980392</v>
      </c>
      <c r="T389" s="66">
        <f t="shared" si="148"/>
        <v>10.068627450980392</v>
      </c>
      <c r="U389" s="66">
        <f t="shared" si="148"/>
        <v>10.068627450980392</v>
      </c>
      <c r="V389" s="66">
        <f t="shared" si="148"/>
        <v>10.068627450980392</v>
      </c>
      <c r="W389" s="66">
        <f t="shared" si="148"/>
        <v>10.068627450980392</v>
      </c>
      <c r="X389" s="66">
        <f t="shared" si="148"/>
        <v>10.068627450980392</v>
      </c>
      <c r="Y389" s="66">
        <f t="shared" si="148"/>
        <v>10.068627450980392</v>
      </c>
      <c r="Z389" s="66">
        <f t="shared" si="148"/>
        <v>10.068627450980392</v>
      </c>
      <c r="AA389" s="66">
        <f t="shared" si="148"/>
        <v>10.068627450980392</v>
      </c>
      <c r="AB389" s="66">
        <f t="shared" si="148"/>
        <v>10.068627450980392</v>
      </c>
      <c r="AC389" s="66">
        <f t="shared" si="148"/>
        <v>10.068627450980392</v>
      </c>
    </row>
    <row r="390" spans="1:29" x14ac:dyDescent="0.25">
      <c r="A390" s="30" t="str">
        <f t="shared" si="143"/>
        <v>Opex maintenance &amp; repair</v>
      </c>
      <c r="B390" s="66">
        <f>B360/B370</f>
        <v>4.0686274509803919</v>
      </c>
      <c r="C390" s="66">
        <f t="shared" ref="C390:AC390" si="149">C360/C370</f>
        <v>4.0686274509803919</v>
      </c>
      <c r="D390" s="66">
        <f t="shared" si="149"/>
        <v>4.0686274509803919</v>
      </c>
      <c r="E390" s="66">
        <f t="shared" si="149"/>
        <v>4.0686274509803919</v>
      </c>
      <c r="F390" s="66">
        <f t="shared" si="149"/>
        <v>4.0686274509803919</v>
      </c>
      <c r="G390" s="66">
        <f t="shared" si="149"/>
        <v>4.0686274509803919</v>
      </c>
      <c r="H390" s="66">
        <f t="shared" si="149"/>
        <v>4.0686274509803919</v>
      </c>
      <c r="I390" s="66">
        <f t="shared" si="149"/>
        <v>4.0686274509803919</v>
      </c>
      <c r="J390" s="66">
        <f t="shared" si="149"/>
        <v>4.0686274509803919</v>
      </c>
      <c r="K390" s="66">
        <f t="shared" si="149"/>
        <v>4.0686274509803919</v>
      </c>
      <c r="L390" s="66">
        <f t="shared" si="149"/>
        <v>4.0686274509803919</v>
      </c>
      <c r="M390" s="66">
        <f t="shared" si="149"/>
        <v>4.0686274509803919</v>
      </c>
      <c r="N390" s="66">
        <f t="shared" si="149"/>
        <v>4.0686274509803919</v>
      </c>
      <c r="O390" s="66">
        <f t="shared" si="149"/>
        <v>4.0686274509803919</v>
      </c>
      <c r="P390" s="66">
        <f t="shared" si="149"/>
        <v>4.0686274509803919</v>
      </c>
      <c r="Q390" s="66">
        <f t="shared" si="149"/>
        <v>4.0686274509803919</v>
      </c>
      <c r="R390" s="66">
        <f t="shared" si="149"/>
        <v>4.0686274509803919</v>
      </c>
      <c r="S390" s="66">
        <f t="shared" si="149"/>
        <v>4.0686274509803919</v>
      </c>
      <c r="T390" s="66">
        <f t="shared" si="149"/>
        <v>4.0686274509803919</v>
      </c>
      <c r="U390" s="66">
        <f t="shared" si="149"/>
        <v>4.0686274509803919</v>
      </c>
      <c r="V390" s="66">
        <f t="shared" si="149"/>
        <v>4.0686274509803919</v>
      </c>
      <c r="W390" s="66">
        <f t="shared" si="149"/>
        <v>4.0686274509803919</v>
      </c>
      <c r="X390" s="66">
        <f t="shared" si="149"/>
        <v>4.0686274509803919</v>
      </c>
      <c r="Y390" s="66">
        <f t="shared" si="149"/>
        <v>4.0686274509803919</v>
      </c>
      <c r="Z390" s="66">
        <f t="shared" si="149"/>
        <v>4.0686274509803919</v>
      </c>
      <c r="AA390" s="66">
        <f t="shared" si="149"/>
        <v>4.0686274509803919</v>
      </c>
      <c r="AB390" s="66">
        <f t="shared" si="149"/>
        <v>4.0686274509803919</v>
      </c>
      <c r="AC390" s="66">
        <f t="shared" si="149"/>
        <v>4.0686274509803919</v>
      </c>
    </row>
    <row r="391" spans="1:29" x14ac:dyDescent="0.25">
      <c r="A391" s="30" t="str">
        <f t="shared" si="143"/>
        <v>Opex var (mode-fees)</v>
      </c>
      <c r="B391" s="66">
        <f>B361*B370/B370</f>
        <v>0.81280569096848254</v>
      </c>
      <c r="C391" s="66">
        <f t="shared" ref="C391:AC391" si="150">C361*C370/C370</f>
        <v>0.81280569096848254</v>
      </c>
      <c r="D391" s="66">
        <f t="shared" si="150"/>
        <v>0.81280569096848254</v>
      </c>
      <c r="E391" s="66">
        <f t="shared" si="150"/>
        <v>0.81280569096848254</v>
      </c>
      <c r="F391" s="66">
        <f t="shared" si="150"/>
        <v>0.81280569096848254</v>
      </c>
      <c r="G391" s="66">
        <f t="shared" si="150"/>
        <v>0.81280569096848254</v>
      </c>
      <c r="H391" s="66">
        <f t="shared" si="150"/>
        <v>0.81280569096848254</v>
      </c>
      <c r="I391" s="66">
        <f t="shared" si="150"/>
        <v>0.81280569096848254</v>
      </c>
      <c r="J391" s="66">
        <f t="shared" si="150"/>
        <v>0.81280569096848254</v>
      </c>
      <c r="K391" s="66">
        <f t="shared" si="150"/>
        <v>0.81280569096848254</v>
      </c>
      <c r="L391" s="66">
        <f t="shared" si="150"/>
        <v>0.81280569096848254</v>
      </c>
      <c r="M391" s="66">
        <f t="shared" si="150"/>
        <v>0.81280569096848254</v>
      </c>
      <c r="N391" s="66">
        <f t="shared" si="150"/>
        <v>0.81280569096848254</v>
      </c>
      <c r="O391" s="66">
        <f t="shared" si="150"/>
        <v>0.81280569096848254</v>
      </c>
      <c r="P391" s="66">
        <f t="shared" si="150"/>
        <v>0.81280569096848254</v>
      </c>
      <c r="Q391" s="66">
        <f t="shared" si="150"/>
        <v>0.81280569096848254</v>
      </c>
      <c r="R391" s="66">
        <f t="shared" si="150"/>
        <v>0.81280569096848254</v>
      </c>
      <c r="S391" s="66">
        <f t="shared" si="150"/>
        <v>0.81280569096848254</v>
      </c>
      <c r="T391" s="66">
        <f t="shared" si="150"/>
        <v>0.81280569096848254</v>
      </c>
      <c r="U391" s="66">
        <f t="shared" si="150"/>
        <v>0.81280569096848254</v>
      </c>
      <c r="V391" s="66">
        <f t="shared" si="150"/>
        <v>0.81280569096848254</v>
      </c>
      <c r="W391" s="66">
        <f t="shared" si="150"/>
        <v>0.81280569096848254</v>
      </c>
      <c r="X391" s="66">
        <f t="shared" si="150"/>
        <v>0.81280569096848254</v>
      </c>
      <c r="Y391" s="66">
        <f t="shared" si="150"/>
        <v>0.81280569096848254</v>
      </c>
      <c r="Z391" s="66">
        <f t="shared" si="150"/>
        <v>0.81280569096848254</v>
      </c>
      <c r="AA391" s="66">
        <f t="shared" si="150"/>
        <v>0.81280569096848254</v>
      </c>
      <c r="AB391" s="66">
        <f t="shared" si="150"/>
        <v>0.81280569096848254</v>
      </c>
      <c r="AC391" s="66">
        <f t="shared" si="150"/>
        <v>0.81280569096848254</v>
      </c>
    </row>
    <row r="392" spans="1:29" x14ac:dyDescent="0.25">
      <c r="A392" s="30" t="str">
        <f t="shared" si="143"/>
        <v>Fuel Cost</v>
      </c>
      <c r="B392" s="66">
        <f>B362*B363*B370/B370</f>
        <v>16.805013719486269</v>
      </c>
      <c r="C392" s="66">
        <f t="shared" ref="C392:AC392" si="151">C362*C363*C370/C370</f>
        <v>15.644967164134856</v>
      </c>
      <c r="D392" s="66">
        <f t="shared" si="151"/>
        <v>14.484649107946206</v>
      </c>
      <c r="E392" s="66">
        <f t="shared" si="151"/>
        <v>13.323993015738656</v>
      </c>
      <c r="F392" s="66">
        <f t="shared" si="151"/>
        <v>12.162926205865046</v>
      </c>
      <c r="G392" s="66">
        <f t="shared" si="151"/>
        <v>11.001377357067032</v>
      </c>
      <c r="H392" s="66">
        <f t="shared" si="151"/>
        <v>9.8392917504388588</v>
      </c>
      <c r="I392" s="66">
        <f t="shared" si="151"/>
        <v>8.6766592711436044</v>
      </c>
      <c r="J392" s="66">
        <f t="shared" si="151"/>
        <v>8.4940410213759527</v>
      </c>
      <c r="K392" s="66">
        <f t="shared" si="151"/>
        <v>8.3089356961570306</v>
      </c>
      <c r="L392" s="66">
        <f t="shared" si="151"/>
        <v>8.1205494651235011</v>
      </c>
      <c r="M392" s="66">
        <f t="shared" si="151"/>
        <v>7.9279614146053232</v>
      </c>
      <c r="N392" s="66">
        <f t="shared" si="151"/>
        <v>7.7302232476867365</v>
      </c>
      <c r="O392" s="66">
        <f t="shared" si="151"/>
        <v>7.5265739799901041</v>
      </c>
      <c r="P392" s="66">
        <f t="shared" si="151"/>
        <v>7.3167908354662261</v>
      </c>
      <c r="Q392" s="66">
        <f t="shared" si="151"/>
        <v>7.1016158625217534</v>
      </c>
      <c r="R392" s="66">
        <f t="shared" si="151"/>
        <v>6.8830573214162287</v>
      </c>
      <c r="S392" s="66">
        <f t="shared" si="151"/>
        <v>6.6642715632515319</v>
      </c>
      <c r="T392" s="66">
        <f t="shared" si="151"/>
        <v>6.4488745609359315</v>
      </c>
      <c r="U392" s="66">
        <f t="shared" si="151"/>
        <v>6.2399328335660824</v>
      </c>
      <c r="V392" s="66">
        <f t="shared" si="151"/>
        <v>6.0391849480272617</v>
      </c>
      <c r="W392" s="66">
        <f t="shared" si="151"/>
        <v>5.8468800588657341</v>
      </c>
      <c r="X392" s="66">
        <f t="shared" si="151"/>
        <v>5.6621585995435808</v>
      </c>
      <c r="Y392" s="66">
        <f t="shared" si="151"/>
        <v>5.4836210479667162</v>
      </c>
      <c r="Z392" s="66">
        <f t="shared" si="151"/>
        <v>5.3097910207383903</v>
      </c>
      <c r="AA392" s="66">
        <f t="shared" si="151"/>
        <v>5.1393744074483907</v>
      </c>
      <c r="AB392" s="66">
        <f t="shared" si="151"/>
        <v>4.9713498013600503</v>
      </c>
      <c r="AC392" s="66">
        <f t="shared" si="151"/>
        <v>4.8049620395132884</v>
      </c>
    </row>
    <row r="393" spans="1:29" ht="15.75" thickBot="1" x14ac:dyDescent="0.3">
      <c r="A393" s="59" t="str">
        <f>A344</f>
        <v>Emission Cost</v>
      </c>
      <c r="B393" s="66">
        <f>B364</f>
        <v>0</v>
      </c>
      <c r="C393" s="66">
        <f t="shared" ref="C393:AC393" si="152">C364</f>
        <v>0</v>
      </c>
      <c r="D393" s="66">
        <f t="shared" si="152"/>
        <v>0</v>
      </c>
      <c r="E393" s="66">
        <f t="shared" si="152"/>
        <v>0</v>
      </c>
      <c r="F393" s="66">
        <f t="shared" si="152"/>
        <v>0</v>
      </c>
      <c r="G393" s="66">
        <f t="shared" si="152"/>
        <v>0</v>
      </c>
      <c r="H393" s="66">
        <f t="shared" si="152"/>
        <v>0</v>
      </c>
      <c r="I393" s="66">
        <f t="shared" si="152"/>
        <v>0</v>
      </c>
      <c r="J393" s="66">
        <f t="shared" si="152"/>
        <v>0</v>
      </c>
      <c r="K393" s="66">
        <f t="shared" si="152"/>
        <v>0</v>
      </c>
      <c r="L393" s="66">
        <f t="shared" si="152"/>
        <v>0</v>
      </c>
      <c r="M393" s="66">
        <f t="shared" si="152"/>
        <v>0</v>
      </c>
      <c r="N393" s="66">
        <f t="shared" si="152"/>
        <v>0</v>
      </c>
      <c r="O393" s="66">
        <f t="shared" si="152"/>
        <v>0</v>
      </c>
      <c r="P393" s="66">
        <f t="shared" si="152"/>
        <v>0</v>
      </c>
      <c r="Q393" s="66">
        <f t="shared" si="152"/>
        <v>0</v>
      </c>
      <c r="R393" s="66">
        <f t="shared" si="152"/>
        <v>0</v>
      </c>
      <c r="S393" s="66">
        <f t="shared" si="152"/>
        <v>0</v>
      </c>
      <c r="T393" s="66">
        <f t="shared" si="152"/>
        <v>0</v>
      </c>
      <c r="U393" s="66">
        <f t="shared" si="152"/>
        <v>0</v>
      </c>
      <c r="V393" s="66">
        <f t="shared" si="152"/>
        <v>0</v>
      </c>
      <c r="W393" s="66">
        <f t="shared" si="152"/>
        <v>0</v>
      </c>
      <c r="X393" s="66">
        <f t="shared" si="152"/>
        <v>0</v>
      </c>
      <c r="Y393" s="66">
        <f t="shared" si="152"/>
        <v>0</v>
      </c>
      <c r="Z393" s="66">
        <f t="shared" si="152"/>
        <v>0</v>
      </c>
      <c r="AA393" s="66">
        <f t="shared" si="152"/>
        <v>0</v>
      </c>
      <c r="AB393" s="66">
        <f t="shared" si="152"/>
        <v>0</v>
      </c>
      <c r="AC393" s="66">
        <f t="shared" si="152"/>
        <v>0</v>
      </c>
    </row>
    <row r="394" spans="1:29" ht="15.75" thickBot="1" x14ac:dyDescent="0.3">
      <c r="A394" s="31" t="s">
        <v>63</v>
      </c>
      <c r="B394" s="76">
        <f>B385+B386+B387-B388+B389+B390+B391+B392+B393</f>
        <v>41.273732147744255</v>
      </c>
      <c r="C394" s="76">
        <f t="shared" ref="C394:AC394" si="153">C385+C386+C387-C388+C389+C390+C391+C392+C393</f>
        <v>40.11415013798559</v>
      </c>
      <c r="D394" s="76">
        <f t="shared" si="153"/>
        <v>38.95449706846604</v>
      </c>
      <c r="E394" s="76">
        <f t="shared" si="153"/>
        <v>37.794792286452605</v>
      </c>
      <c r="F394" s="76">
        <f t="shared" si="153"/>
        <v>36.635085108763384</v>
      </c>
      <c r="G394" s="76">
        <f t="shared" si="153"/>
        <v>35.475476748921196</v>
      </c>
      <c r="H394" s="76">
        <f t="shared" si="153"/>
        <v>34.316154874620182</v>
      </c>
      <c r="I394" s="76">
        <f t="shared" si="153"/>
        <v>33.157446499043509</v>
      </c>
      <c r="J394" s="76">
        <f t="shared" si="153"/>
        <v>32.980374592799777</v>
      </c>
      <c r="K394" s="76">
        <f t="shared" si="153"/>
        <v>32.803056233824123</v>
      </c>
      <c r="L394" s="76">
        <f t="shared" si="153"/>
        <v>32.625496712625015</v>
      </c>
      <c r="M394" s="76">
        <f t="shared" si="153"/>
        <v>32.447751676261802</v>
      </c>
      <c r="N394" s="76">
        <f t="shared" si="153"/>
        <v>32.269960929854406</v>
      </c>
      <c r="O394" s="76">
        <f t="shared" si="153"/>
        <v>32.092386794324128</v>
      </c>
      <c r="P394" s="76">
        <f t="shared" si="153"/>
        <v>31.915440871494408</v>
      </c>
      <c r="Q394" s="76">
        <f t="shared" si="153"/>
        <v>31.739669621990323</v>
      </c>
      <c r="R394" s="76">
        <f t="shared" si="153"/>
        <v>31.565667773221232</v>
      </c>
      <c r="S394" s="76">
        <f t="shared" si="153"/>
        <v>31.393920332344607</v>
      </c>
      <c r="T394" s="76">
        <f t="shared" si="153"/>
        <v>31.224636021215549</v>
      </c>
      <c r="U394" s="76">
        <f t="shared" si="153"/>
        <v>31.057671625795901</v>
      </c>
      <c r="V394" s="76">
        <f t="shared" si="153"/>
        <v>30.892598494727736</v>
      </c>
      <c r="W394" s="76">
        <f t="shared" si="153"/>
        <v>30.728862694910653</v>
      </c>
      <c r="X394" s="76">
        <f t="shared" si="153"/>
        <v>30.565940718744983</v>
      </c>
      <c r="Y394" s="76">
        <f t="shared" si="153"/>
        <v>30.403427535609211</v>
      </c>
      <c r="Z394" s="76">
        <f t="shared" si="153"/>
        <v>30.241054699997111</v>
      </c>
      <c r="AA394" s="76">
        <f t="shared" si="153"/>
        <v>30.078667886036026</v>
      </c>
      <c r="AB394" s="76">
        <f t="shared" si="153"/>
        <v>29.916192364834004</v>
      </c>
      <c r="AC394" s="76">
        <f t="shared" si="153"/>
        <v>29.75360211829646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4">A373</f>
        <v>Capex vehicle</v>
      </c>
      <c r="B397" s="65">
        <f>((1+B358)^B365)*B358/(((1+B358)^B365)-1)*(B354)/B370/(B367)</f>
        <v>1.0347449498978036E-3</v>
      </c>
      <c r="C397" s="65">
        <f t="shared" ref="C397:AC397" si="155">((1+C358)^C365)*C358/(((1+C358)^C365)-1)*(C354)/C370/(C367)</f>
        <v>1.0347449498978036E-3</v>
      </c>
      <c r="D397" s="65">
        <f t="shared" si="155"/>
        <v>1.0347449498978036E-3</v>
      </c>
      <c r="E397" s="65">
        <f t="shared" si="155"/>
        <v>1.0347449498978036E-3</v>
      </c>
      <c r="F397" s="65">
        <f t="shared" si="155"/>
        <v>1.0347449498978036E-3</v>
      </c>
      <c r="G397" s="65">
        <f t="shared" si="155"/>
        <v>1.0347449498978036E-3</v>
      </c>
      <c r="H397" s="65">
        <f t="shared" si="155"/>
        <v>1.0347449498978036E-3</v>
      </c>
      <c r="I397" s="65">
        <f t="shared" si="155"/>
        <v>1.0347449498978036E-3</v>
      </c>
      <c r="J397" s="65">
        <f t="shared" si="155"/>
        <v>1.0347449498978036E-3</v>
      </c>
      <c r="K397" s="65">
        <f t="shared" si="155"/>
        <v>1.0347449498978036E-3</v>
      </c>
      <c r="L397" s="65">
        <f t="shared" si="155"/>
        <v>1.0347449498978036E-3</v>
      </c>
      <c r="M397" s="65">
        <f t="shared" si="155"/>
        <v>1.0347449498978036E-3</v>
      </c>
      <c r="N397" s="65">
        <f t="shared" si="155"/>
        <v>1.0347449498978036E-3</v>
      </c>
      <c r="O397" s="65">
        <f t="shared" si="155"/>
        <v>1.0347449498978036E-3</v>
      </c>
      <c r="P397" s="65">
        <f t="shared" si="155"/>
        <v>1.0347449498978036E-3</v>
      </c>
      <c r="Q397" s="65">
        <f t="shared" si="155"/>
        <v>1.0347449498978036E-3</v>
      </c>
      <c r="R397" s="65">
        <f t="shared" si="155"/>
        <v>1.0347449498978036E-3</v>
      </c>
      <c r="S397" s="65">
        <f t="shared" si="155"/>
        <v>1.0347449498978036E-3</v>
      </c>
      <c r="T397" s="65">
        <f t="shared" si="155"/>
        <v>1.0347449498978036E-3</v>
      </c>
      <c r="U397" s="65">
        <f t="shared" si="155"/>
        <v>1.0347449498978036E-3</v>
      </c>
      <c r="V397" s="65">
        <f t="shared" si="155"/>
        <v>1.0347449498978036E-3</v>
      </c>
      <c r="W397" s="65">
        <f t="shared" si="155"/>
        <v>1.0347449498978036E-3</v>
      </c>
      <c r="X397" s="65">
        <f t="shared" si="155"/>
        <v>1.0347449498978036E-3</v>
      </c>
      <c r="Y397" s="65">
        <f t="shared" si="155"/>
        <v>1.0347449498978036E-3</v>
      </c>
      <c r="Z397" s="65">
        <f t="shared" si="155"/>
        <v>1.0347449498978036E-3</v>
      </c>
      <c r="AA397" s="65">
        <f t="shared" si="155"/>
        <v>1.0347449498978036E-3</v>
      </c>
      <c r="AB397" s="65">
        <f t="shared" si="155"/>
        <v>1.0347449498978036E-3</v>
      </c>
      <c r="AC397" s="65">
        <f t="shared" si="155"/>
        <v>1.0347449498978036E-3</v>
      </c>
    </row>
    <row r="398" spans="1:29" x14ac:dyDescent="0.25">
      <c r="A398" s="30" t="str">
        <f t="shared" si="154"/>
        <v>Residual value (vehicle)</v>
      </c>
      <c r="B398" s="68">
        <f>((1+B358)^B365)*B358/(((1+B358)^B365)-1)*(B355)/B370/(B367)</f>
        <v>-1.0336086682377807E-4</v>
      </c>
      <c r="C398" s="68">
        <f t="shared" ref="C398:AC398" si="156">((1+C358)^C365)*C358/(((1+C358)^C365)-1)*(C355)/C370/(C367)</f>
        <v>-1.0331170855999495E-4</v>
      </c>
      <c r="D398" s="68">
        <f t="shared" si="156"/>
        <v>-1.0324133960030145E-4</v>
      </c>
      <c r="E398" s="68">
        <f t="shared" si="156"/>
        <v>-1.0314067185489343E-4</v>
      </c>
      <c r="F398" s="68">
        <f t="shared" si="156"/>
        <v>-1.0299679543326449E-4</v>
      </c>
      <c r="G398" s="68">
        <f t="shared" si="156"/>
        <v>-1.0279145268661591E-4</v>
      </c>
      <c r="H398" s="68">
        <f t="shared" si="156"/>
        <v>-1.0249899423929835E-4</v>
      </c>
      <c r="I398" s="68">
        <f t="shared" si="156"/>
        <v>-1.0208374516854875E-4</v>
      </c>
      <c r="J398" s="68">
        <f t="shared" si="156"/>
        <v>-1.0149683050993223E-4</v>
      </c>
      <c r="K398" s="68">
        <f t="shared" si="156"/>
        <v>-1.0067281291805218E-4</v>
      </c>
      <c r="L398" s="68">
        <f t="shared" si="156"/>
        <v>-9.9527129337690295E-5</v>
      </c>
      <c r="M398" s="68">
        <f t="shared" si="156"/>
        <v>-9.7956440009122124E-5</v>
      </c>
      <c r="N398" s="68">
        <f t="shared" si="156"/>
        <v>-9.5845601859790468E-5</v>
      </c>
      <c r="O398" s="68">
        <f t="shared" si="156"/>
        <v>-9.3086328614673487E-5</v>
      </c>
      <c r="P398" s="68">
        <f t="shared" si="156"/>
        <v>-8.9611490340159677E-5</v>
      </c>
      <c r="Q398" s="68">
        <f t="shared" si="156"/>
        <v>-8.5441784155991385E-5</v>
      </c>
      <c r="R398" s="68">
        <f t="shared" si="156"/>
        <v>-8.0726790257955685E-5</v>
      </c>
      <c r="S398" s="68">
        <f t="shared" si="156"/>
        <v>-7.5749190544932557E-5</v>
      </c>
      <c r="T398" s="68">
        <f t="shared" si="156"/>
        <v>-7.086954068392259E-5</v>
      </c>
      <c r="U398" s="68">
        <f t="shared" si="156"/>
        <v>-6.6427494974906487E-5</v>
      </c>
      <c r="V398" s="68">
        <f t="shared" si="156"/>
        <v>-6.2652388681716054E-5</v>
      </c>
      <c r="W398" s="68">
        <f t="shared" si="156"/>
        <v>-5.9629204624102501E-5</v>
      </c>
      <c r="X398" s="68">
        <f t="shared" si="156"/>
        <v>-5.7322381009659713E-5</v>
      </c>
      <c r="Y398" s="68">
        <f t="shared" si="156"/>
        <v>-5.5626680645522941E-5</v>
      </c>
      <c r="Z398" s="68">
        <f t="shared" si="156"/>
        <v>-5.4414279416293167E-5</v>
      </c>
      <c r="AA398" s="68">
        <f t="shared" si="156"/>
        <v>-5.3564565201592909E-5</v>
      </c>
      <c r="AB398" s="68">
        <f t="shared" si="156"/>
        <v>-5.2977360451717727E-5</v>
      </c>
      <c r="AC398" s="68">
        <f t="shared" si="156"/>
        <v>-5.2575506979843073E-5</v>
      </c>
    </row>
    <row r="399" spans="1:29" x14ac:dyDescent="0.25">
      <c r="A399" s="30" t="str">
        <f t="shared" si="154"/>
        <v>Capex costumization</v>
      </c>
      <c r="B399" s="66">
        <f>((1+B358)^B366)*B358/(((1+B358)^B366)-1)*(B356)/B370/(B367)</f>
        <v>6.8982996659853576E-5</v>
      </c>
      <c r="C399" s="66">
        <f t="shared" ref="C399:AC399" si="157">((1+C358)^C366)*C358/(((1+C358)^C366)-1)*(C356)/C370/(C367)</f>
        <v>6.8982996659853576E-5</v>
      </c>
      <c r="D399" s="66">
        <f t="shared" si="157"/>
        <v>6.8982996659853576E-5</v>
      </c>
      <c r="E399" s="66">
        <f t="shared" si="157"/>
        <v>6.8982996659853576E-5</v>
      </c>
      <c r="F399" s="66">
        <f t="shared" si="157"/>
        <v>6.8982996659853576E-5</v>
      </c>
      <c r="G399" s="66">
        <f t="shared" si="157"/>
        <v>6.8982996659853576E-5</v>
      </c>
      <c r="H399" s="66">
        <f t="shared" si="157"/>
        <v>6.8982996659853576E-5</v>
      </c>
      <c r="I399" s="66">
        <f t="shared" si="157"/>
        <v>6.8982996659853576E-5</v>
      </c>
      <c r="J399" s="66">
        <f t="shared" si="157"/>
        <v>6.8982996659853576E-5</v>
      </c>
      <c r="K399" s="66">
        <f t="shared" si="157"/>
        <v>6.8982996659853576E-5</v>
      </c>
      <c r="L399" s="66">
        <f t="shared" si="157"/>
        <v>6.8982996659853576E-5</v>
      </c>
      <c r="M399" s="66">
        <f t="shared" si="157"/>
        <v>6.8982996659853576E-5</v>
      </c>
      <c r="N399" s="66">
        <f t="shared" si="157"/>
        <v>6.8982996659853576E-5</v>
      </c>
      <c r="O399" s="66">
        <f t="shared" si="157"/>
        <v>6.8982996659853576E-5</v>
      </c>
      <c r="P399" s="66">
        <f t="shared" si="157"/>
        <v>6.8982996659853576E-5</v>
      </c>
      <c r="Q399" s="66">
        <f t="shared" si="157"/>
        <v>6.8982996659853576E-5</v>
      </c>
      <c r="R399" s="66">
        <f t="shared" si="157"/>
        <v>6.8982996659853576E-5</v>
      </c>
      <c r="S399" s="66">
        <f t="shared" si="157"/>
        <v>6.8982996659853576E-5</v>
      </c>
      <c r="T399" s="66">
        <f t="shared" si="157"/>
        <v>6.8982996659853576E-5</v>
      </c>
      <c r="U399" s="66">
        <f t="shared" si="157"/>
        <v>6.8982996659853576E-5</v>
      </c>
      <c r="V399" s="66">
        <f t="shared" si="157"/>
        <v>6.8982996659853576E-5</v>
      </c>
      <c r="W399" s="66">
        <f t="shared" si="157"/>
        <v>6.8982996659853576E-5</v>
      </c>
      <c r="X399" s="66">
        <f t="shared" si="157"/>
        <v>6.8982996659853576E-5</v>
      </c>
      <c r="Y399" s="66">
        <f t="shared" si="157"/>
        <v>6.8982996659853576E-5</v>
      </c>
      <c r="Z399" s="66">
        <f t="shared" si="157"/>
        <v>6.8982996659853576E-5</v>
      </c>
      <c r="AA399" s="66">
        <f t="shared" si="157"/>
        <v>6.8982996659853576E-5</v>
      </c>
      <c r="AB399" s="66">
        <f t="shared" si="157"/>
        <v>6.8982996659853576E-5</v>
      </c>
      <c r="AC399" s="66">
        <f t="shared" si="157"/>
        <v>6.8982996659853576E-5</v>
      </c>
    </row>
    <row r="400" spans="1:29" x14ac:dyDescent="0.25">
      <c r="A400" s="30" t="str">
        <f t="shared" si="154"/>
        <v>Residual value (costumization)</v>
      </c>
      <c r="B400" s="69">
        <f>((1+B358)^B366)*B358/(((1+B358)^B366)-1)*(B357)/B370/(B367)</f>
        <v>-6.8982996659853564E-6</v>
      </c>
      <c r="C400" s="69">
        <f t="shared" ref="C400:AC400" si="158">((1+C358)^C366)*C358/(((1+C358)^C366)-1)*(C357)/C370/(C367)</f>
        <v>-6.8982996659853564E-6</v>
      </c>
      <c r="D400" s="69">
        <f t="shared" si="158"/>
        <v>-6.8982996659853564E-6</v>
      </c>
      <c r="E400" s="69">
        <f t="shared" si="158"/>
        <v>-6.8982996659853564E-6</v>
      </c>
      <c r="F400" s="69">
        <f t="shared" si="158"/>
        <v>-6.8982996659853564E-6</v>
      </c>
      <c r="G400" s="69">
        <f t="shared" si="158"/>
        <v>-6.8982996659853564E-6</v>
      </c>
      <c r="H400" s="69">
        <f t="shared" si="158"/>
        <v>-6.8982996659853564E-6</v>
      </c>
      <c r="I400" s="69">
        <f t="shared" si="158"/>
        <v>-6.8982996659853564E-6</v>
      </c>
      <c r="J400" s="69">
        <f t="shared" si="158"/>
        <v>-6.8982996659853564E-6</v>
      </c>
      <c r="K400" s="69">
        <f t="shared" si="158"/>
        <v>-6.8982996659853564E-6</v>
      </c>
      <c r="L400" s="69">
        <f t="shared" si="158"/>
        <v>-6.8982996659853564E-6</v>
      </c>
      <c r="M400" s="69">
        <f t="shared" si="158"/>
        <v>-6.8982996659853564E-6</v>
      </c>
      <c r="N400" s="69">
        <f t="shared" si="158"/>
        <v>-6.8982996659853564E-6</v>
      </c>
      <c r="O400" s="69">
        <f t="shared" si="158"/>
        <v>-6.8982996659853564E-6</v>
      </c>
      <c r="P400" s="69">
        <f t="shared" si="158"/>
        <v>-6.8982996659853564E-6</v>
      </c>
      <c r="Q400" s="69">
        <f t="shared" si="158"/>
        <v>-6.8982996659853564E-6</v>
      </c>
      <c r="R400" s="69">
        <f t="shared" si="158"/>
        <v>-6.8982996659853564E-6</v>
      </c>
      <c r="S400" s="69">
        <f t="shared" si="158"/>
        <v>-6.8982996659853564E-6</v>
      </c>
      <c r="T400" s="69">
        <f t="shared" si="158"/>
        <v>-6.8982996659853564E-6</v>
      </c>
      <c r="U400" s="69">
        <f t="shared" si="158"/>
        <v>-6.8982996659853564E-6</v>
      </c>
      <c r="V400" s="69">
        <f t="shared" si="158"/>
        <v>-6.8982996659853564E-6</v>
      </c>
      <c r="W400" s="69">
        <f t="shared" si="158"/>
        <v>-6.8982996659853564E-6</v>
      </c>
      <c r="X400" s="69">
        <f t="shared" si="158"/>
        <v>-6.8982996659853564E-6</v>
      </c>
      <c r="Y400" s="69">
        <f t="shared" si="158"/>
        <v>-6.8982996659853564E-6</v>
      </c>
      <c r="Z400" s="69">
        <f t="shared" si="158"/>
        <v>-6.8982996659853564E-6</v>
      </c>
      <c r="AA400" s="69">
        <f t="shared" si="158"/>
        <v>-6.8982996659853564E-6</v>
      </c>
      <c r="AB400" s="69">
        <f t="shared" si="158"/>
        <v>-6.8982996659853564E-6</v>
      </c>
      <c r="AC400" s="69">
        <f t="shared" si="158"/>
        <v>-6.8982996659853564E-6</v>
      </c>
    </row>
    <row r="401" spans="1:29" x14ac:dyDescent="0.25">
      <c r="A401" s="30" t="str">
        <f t="shared" si="154"/>
        <v>Opex fix (admin, crew, insurance)</v>
      </c>
      <c r="B401" s="66">
        <f>B359/B370/(B367)</f>
        <v>1.0654632223259673E-3</v>
      </c>
      <c r="C401" s="66">
        <f t="shared" ref="C401:AC401" si="159">C359/C370/(C367)</f>
        <v>1.0654632223259673E-3</v>
      </c>
      <c r="D401" s="66">
        <f t="shared" si="159"/>
        <v>1.0654632223259673E-3</v>
      </c>
      <c r="E401" s="66">
        <f t="shared" si="159"/>
        <v>1.0654632223259673E-3</v>
      </c>
      <c r="F401" s="66">
        <f t="shared" si="159"/>
        <v>1.0654632223259673E-3</v>
      </c>
      <c r="G401" s="66">
        <f t="shared" si="159"/>
        <v>1.0654632223259673E-3</v>
      </c>
      <c r="H401" s="66">
        <f t="shared" si="159"/>
        <v>1.0654632223259673E-3</v>
      </c>
      <c r="I401" s="66">
        <f t="shared" si="159"/>
        <v>1.0654632223259673E-3</v>
      </c>
      <c r="J401" s="66">
        <f t="shared" si="159"/>
        <v>1.0654632223259673E-3</v>
      </c>
      <c r="K401" s="66">
        <f t="shared" si="159"/>
        <v>1.0654632223259673E-3</v>
      </c>
      <c r="L401" s="66">
        <f t="shared" si="159"/>
        <v>1.0654632223259673E-3</v>
      </c>
      <c r="M401" s="66">
        <f t="shared" si="159"/>
        <v>1.0654632223259673E-3</v>
      </c>
      <c r="N401" s="66">
        <f t="shared" si="159"/>
        <v>1.0654632223259673E-3</v>
      </c>
      <c r="O401" s="66">
        <f t="shared" si="159"/>
        <v>1.0654632223259673E-3</v>
      </c>
      <c r="P401" s="66">
        <f t="shared" si="159"/>
        <v>1.0654632223259673E-3</v>
      </c>
      <c r="Q401" s="66">
        <f t="shared" si="159"/>
        <v>1.0654632223259673E-3</v>
      </c>
      <c r="R401" s="66">
        <f t="shared" si="159"/>
        <v>1.0654632223259673E-3</v>
      </c>
      <c r="S401" s="66">
        <f t="shared" si="159"/>
        <v>1.0654632223259673E-3</v>
      </c>
      <c r="T401" s="66">
        <f t="shared" si="159"/>
        <v>1.0654632223259673E-3</v>
      </c>
      <c r="U401" s="66">
        <f t="shared" si="159"/>
        <v>1.0654632223259673E-3</v>
      </c>
      <c r="V401" s="66">
        <f t="shared" si="159"/>
        <v>1.0654632223259673E-3</v>
      </c>
      <c r="W401" s="66">
        <f t="shared" si="159"/>
        <v>1.0654632223259673E-3</v>
      </c>
      <c r="X401" s="66">
        <f t="shared" si="159"/>
        <v>1.0654632223259673E-3</v>
      </c>
      <c r="Y401" s="66">
        <f t="shared" si="159"/>
        <v>1.0654632223259673E-3</v>
      </c>
      <c r="Z401" s="66">
        <f t="shared" si="159"/>
        <v>1.0654632223259673E-3</v>
      </c>
      <c r="AA401" s="66">
        <f t="shared" si="159"/>
        <v>1.0654632223259673E-3</v>
      </c>
      <c r="AB401" s="66">
        <f t="shared" si="159"/>
        <v>1.0654632223259673E-3</v>
      </c>
      <c r="AC401" s="66">
        <f t="shared" si="159"/>
        <v>1.0654632223259673E-3</v>
      </c>
    </row>
    <row r="402" spans="1:29" x14ac:dyDescent="0.25">
      <c r="A402" s="30" t="str">
        <f t="shared" si="154"/>
        <v>Opex maintenance &amp; repair</v>
      </c>
      <c r="B402" s="66">
        <f>B360/B370/(B367)</f>
        <v>4.305425874053325E-4</v>
      </c>
      <c r="C402" s="66">
        <f t="shared" ref="C402:AC402" si="160">C360/C370/(C367)</f>
        <v>4.305425874053325E-4</v>
      </c>
      <c r="D402" s="66">
        <f t="shared" si="160"/>
        <v>4.305425874053325E-4</v>
      </c>
      <c r="E402" s="66">
        <f t="shared" si="160"/>
        <v>4.305425874053325E-4</v>
      </c>
      <c r="F402" s="66">
        <f t="shared" si="160"/>
        <v>4.305425874053325E-4</v>
      </c>
      <c r="G402" s="66">
        <f t="shared" si="160"/>
        <v>4.305425874053325E-4</v>
      </c>
      <c r="H402" s="66">
        <f t="shared" si="160"/>
        <v>4.305425874053325E-4</v>
      </c>
      <c r="I402" s="66">
        <f t="shared" si="160"/>
        <v>4.305425874053325E-4</v>
      </c>
      <c r="J402" s="66">
        <f t="shared" si="160"/>
        <v>4.305425874053325E-4</v>
      </c>
      <c r="K402" s="66">
        <f t="shared" si="160"/>
        <v>4.305425874053325E-4</v>
      </c>
      <c r="L402" s="66">
        <f t="shared" si="160"/>
        <v>4.305425874053325E-4</v>
      </c>
      <c r="M402" s="66">
        <f t="shared" si="160"/>
        <v>4.305425874053325E-4</v>
      </c>
      <c r="N402" s="66">
        <f t="shared" si="160"/>
        <v>4.305425874053325E-4</v>
      </c>
      <c r="O402" s="66">
        <f t="shared" si="160"/>
        <v>4.305425874053325E-4</v>
      </c>
      <c r="P402" s="66">
        <f t="shared" si="160"/>
        <v>4.305425874053325E-4</v>
      </c>
      <c r="Q402" s="66">
        <f t="shared" si="160"/>
        <v>4.305425874053325E-4</v>
      </c>
      <c r="R402" s="66">
        <f t="shared" si="160"/>
        <v>4.305425874053325E-4</v>
      </c>
      <c r="S402" s="66">
        <f t="shared" si="160"/>
        <v>4.305425874053325E-4</v>
      </c>
      <c r="T402" s="66">
        <f t="shared" si="160"/>
        <v>4.305425874053325E-4</v>
      </c>
      <c r="U402" s="66">
        <f t="shared" si="160"/>
        <v>4.305425874053325E-4</v>
      </c>
      <c r="V402" s="66">
        <f t="shared" si="160"/>
        <v>4.305425874053325E-4</v>
      </c>
      <c r="W402" s="66">
        <f t="shared" si="160"/>
        <v>4.305425874053325E-4</v>
      </c>
      <c r="X402" s="66">
        <f t="shared" si="160"/>
        <v>4.305425874053325E-4</v>
      </c>
      <c r="Y402" s="66">
        <f t="shared" si="160"/>
        <v>4.305425874053325E-4</v>
      </c>
      <c r="Z402" s="66">
        <f t="shared" si="160"/>
        <v>4.305425874053325E-4</v>
      </c>
      <c r="AA402" s="66">
        <f t="shared" si="160"/>
        <v>4.305425874053325E-4</v>
      </c>
      <c r="AB402" s="66">
        <f t="shared" si="160"/>
        <v>4.305425874053325E-4</v>
      </c>
      <c r="AC402" s="66">
        <f t="shared" si="160"/>
        <v>4.305425874053325E-4</v>
      </c>
    </row>
    <row r="403" spans="1:29" x14ac:dyDescent="0.25">
      <c r="A403" s="30" t="str">
        <f t="shared" si="154"/>
        <v>Opex var (mode-fees)</v>
      </c>
      <c r="B403" s="66">
        <f>B361*B370/B370/(B367)</f>
        <v>8.6011184229469056E-5</v>
      </c>
      <c r="C403" s="66">
        <f t="shared" ref="C403:AC403" si="161">C361*C370/C370/(C367)</f>
        <v>8.6011184229469056E-5</v>
      </c>
      <c r="D403" s="66">
        <f t="shared" si="161"/>
        <v>8.6011184229469056E-5</v>
      </c>
      <c r="E403" s="66">
        <f t="shared" si="161"/>
        <v>8.6011184229469056E-5</v>
      </c>
      <c r="F403" s="66">
        <f t="shared" si="161"/>
        <v>8.6011184229469056E-5</v>
      </c>
      <c r="G403" s="66">
        <f t="shared" si="161"/>
        <v>8.6011184229469056E-5</v>
      </c>
      <c r="H403" s="66">
        <f t="shared" si="161"/>
        <v>8.6011184229469056E-5</v>
      </c>
      <c r="I403" s="66">
        <f t="shared" si="161"/>
        <v>8.6011184229469056E-5</v>
      </c>
      <c r="J403" s="66">
        <f t="shared" si="161"/>
        <v>8.6011184229469056E-5</v>
      </c>
      <c r="K403" s="66">
        <f t="shared" si="161"/>
        <v>8.6011184229469056E-5</v>
      </c>
      <c r="L403" s="66">
        <f t="shared" si="161"/>
        <v>8.6011184229469056E-5</v>
      </c>
      <c r="M403" s="66">
        <f t="shared" si="161"/>
        <v>8.6011184229469056E-5</v>
      </c>
      <c r="N403" s="66">
        <f t="shared" si="161"/>
        <v>8.6011184229469056E-5</v>
      </c>
      <c r="O403" s="66">
        <f t="shared" si="161"/>
        <v>8.6011184229469056E-5</v>
      </c>
      <c r="P403" s="66">
        <f t="shared" si="161"/>
        <v>8.6011184229469056E-5</v>
      </c>
      <c r="Q403" s="66">
        <f t="shared" si="161"/>
        <v>8.6011184229469056E-5</v>
      </c>
      <c r="R403" s="66">
        <f t="shared" si="161"/>
        <v>8.6011184229469056E-5</v>
      </c>
      <c r="S403" s="66">
        <f t="shared" si="161"/>
        <v>8.6011184229469056E-5</v>
      </c>
      <c r="T403" s="66">
        <f t="shared" si="161"/>
        <v>8.6011184229469056E-5</v>
      </c>
      <c r="U403" s="66">
        <f t="shared" si="161"/>
        <v>8.6011184229469056E-5</v>
      </c>
      <c r="V403" s="66">
        <f t="shared" si="161"/>
        <v>8.6011184229469056E-5</v>
      </c>
      <c r="W403" s="66">
        <f t="shared" si="161"/>
        <v>8.6011184229469056E-5</v>
      </c>
      <c r="X403" s="66">
        <f t="shared" si="161"/>
        <v>8.6011184229469056E-5</v>
      </c>
      <c r="Y403" s="66">
        <f t="shared" si="161"/>
        <v>8.6011184229469056E-5</v>
      </c>
      <c r="Z403" s="66">
        <f t="shared" si="161"/>
        <v>8.6011184229469056E-5</v>
      </c>
      <c r="AA403" s="66">
        <f t="shared" si="161"/>
        <v>8.6011184229469056E-5</v>
      </c>
      <c r="AB403" s="66">
        <f t="shared" si="161"/>
        <v>8.6011184229469056E-5</v>
      </c>
      <c r="AC403" s="66">
        <f t="shared" si="161"/>
        <v>8.6011184229469056E-5</v>
      </c>
    </row>
    <row r="404" spans="1:29" x14ac:dyDescent="0.25">
      <c r="A404" s="30" t="str">
        <f t="shared" si="154"/>
        <v>Fuel Cost</v>
      </c>
      <c r="B404" s="66">
        <f>B362*B363*B370/B370/(B367)</f>
        <v>1.7783083301043669E-3</v>
      </c>
      <c r="C404" s="66">
        <f t="shared" ref="C404:AC404" si="162">C362*C363*C370/C370/(C367)</f>
        <v>1.6555520808608313E-3</v>
      </c>
      <c r="D404" s="66">
        <f t="shared" si="162"/>
        <v>1.5327671013699688E-3</v>
      </c>
      <c r="E404" s="66">
        <f t="shared" si="162"/>
        <v>1.4099463508718156E-3</v>
      </c>
      <c r="F404" s="66">
        <f t="shared" si="162"/>
        <v>1.2870821381867775E-3</v>
      </c>
      <c r="G404" s="66">
        <f t="shared" si="162"/>
        <v>1.1641669160917494E-3</v>
      </c>
      <c r="H404" s="66">
        <f t="shared" si="162"/>
        <v>1.0411948942263343E-3</v>
      </c>
      <c r="I404" s="66">
        <f t="shared" si="162"/>
        <v>9.1816500223741845E-4</v>
      </c>
      <c r="J404" s="66">
        <f t="shared" si="162"/>
        <v>8.9884031972232309E-4</v>
      </c>
      <c r="K404" s="66">
        <f t="shared" si="162"/>
        <v>8.7925245461979165E-4</v>
      </c>
      <c r="L404" s="66">
        <f t="shared" si="162"/>
        <v>8.5931740371677264E-4</v>
      </c>
      <c r="M404" s="66">
        <f t="shared" si="162"/>
        <v>8.3893771583125115E-4</v>
      </c>
      <c r="N404" s="66">
        <f t="shared" si="162"/>
        <v>8.1801304208325249E-4</v>
      </c>
      <c r="O404" s="66">
        <f t="shared" si="162"/>
        <v>7.9646285502540785E-4</v>
      </c>
      <c r="P404" s="66">
        <f t="shared" si="162"/>
        <v>7.7426358047261656E-4</v>
      </c>
      <c r="Q404" s="66">
        <f t="shared" si="162"/>
        <v>7.5149374206579401E-4</v>
      </c>
      <c r="R404" s="66">
        <f t="shared" si="162"/>
        <v>7.2836585411811946E-4</v>
      </c>
      <c r="S404" s="66">
        <f t="shared" si="162"/>
        <v>7.0521392203719919E-4</v>
      </c>
      <c r="T404" s="66">
        <f t="shared" si="162"/>
        <v>6.8242058845882875E-4</v>
      </c>
      <c r="U404" s="66">
        <f t="shared" si="162"/>
        <v>6.6031035275831561E-4</v>
      </c>
      <c r="V404" s="66">
        <f t="shared" si="162"/>
        <v>6.3906719026743505E-4</v>
      </c>
      <c r="W404" s="66">
        <f t="shared" si="162"/>
        <v>6.1871746654663853E-4</v>
      </c>
      <c r="X404" s="66">
        <f t="shared" si="162"/>
        <v>5.991702221739239E-4</v>
      </c>
      <c r="Y404" s="66">
        <f t="shared" si="162"/>
        <v>5.8027735957319753E-4</v>
      </c>
      <c r="Z404" s="66">
        <f t="shared" si="162"/>
        <v>5.6188264769718417E-4</v>
      </c>
      <c r="AA404" s="66">
        <f t="shared" si="162"/>
        <v>5.4384914364533239E-4</v>
      </c>
      <c r="AB404" s="66">
        <f t="shared" si="162"/>
        <v>5.260687620486826E-4</v>
      </c>
      <c r="AC404" s="66">
        <f t="shared" si="162"/>
        <v>5.0846159148288761E-4</v>
      </c>
    </row>
    <row r="405" spans="1:29" x14ac:dyDescent="0.25">
      <c r="A405" s="59" t="str">
        <f>A368</f>
        <v>Market failure (av. utilization)</v>
      </c>
      <c r="B405" s="66">
        <f t="shared" ref="B405:AC405" si="163">B394/B368-B394/B367</f>
        <v>2.0553368016305871E-3</v>
      </c>
      <c r="C405" s="66">
        <f t="shared" si="163"/>
        <v>1.9975922882283503E-3</v>
      </c>
      <c r="D405" s="66">
        <f t="shared" si="163"/>
        <v>1.9398442362136828E-3</v>
      </c>
      <c r="E405" s="66">
        <f t="shared" si="163"/>
        <v>1.8820936090359211E-3</v>
      </c>
      <c r="F405" s="66">
        <f t="shared" si="163"/>
        <v>1.8243428625590225E-3</v>
      </c>
      <c r="G405" s="66">
        <f t="shared" si="163"/>
        <v>1.7665970369833139E-3</v>
      </c>
      <c r="H405" s="66">
        <f t="shared" si="163"/>
        <v>1.7088654777277393E-3</v>
      </c>
      <c r="I405" s="66">
        <f t="shared" si="163"/>
        <v>1.6511644692956606E-3</v>
      </c>
      <c r="J405" s="66">
        <f t="shared" si="163"/>
        <v>1.6423466961867296E-3</v>
      </c>
      <c r="K405" s="66">
        <f t="shared" si="163"/>
        <v>1.6335166502993645E-3</v>
      </c>
      <c r="L405" s="66">
        <f t="shared" si="163"/>
        <v>1.6246745950887018E-3</v>
      </c>
      <c r="M405" s="66">
        <f t="shared" si="163"/>
        <v>1.6158233016501356E-3</v>
      </c>
      <c r="N405" s="66">
        <f t="shared" si="163"/>
        <v>1.6069697319566457E-3</v>
      </c>
      <c r="O405" s="66">
        <f t="shared" si="163"/>
        <v>1.5981269489859498E-3</v>
      </c>
      <c r="P405" s="66">
        <f t="shared" si="163"/>
        <v>1.5893154495608785E-3</v>
      </c>
      <c r="Q405" s="66">
        <f t="shared" si="163"/>
        <v>1.5805624461619826E-3</v>
      </c>
      <c r="R405" s="66">
        <f t="shared" si="163"/>
        <v>1.571897554844505E-3</v>
      </c>
      <c r="S405" s="66">
        <f t="shared" si="163"/>
        <v>1.5633449278478475E-3</v>
      </c>
      <c r="T405" s="66">
        <f t="shared" si="163"/>
        <v>1.5549149590396781E-3</v>
      </c>
      <c r="U405" s="66">
        <f t="shared" si="163"/>
        <v>1.5466005166907383E-3</v>
      </c>
      <c r="V405" s="66">
        <f t="shared" si="163"/>
        <v>1.5383802549506489E-3</v>
      </c>
      <c r="W405" s="66">
        <f t="shared" si="163"/>
        <v>1.530226589226798E-3</v>
      </c>
      <c r="X405" s="66">
        <f t="shared" si="163"/>
        <v>1.5221134500464349E-3</v>
      </c>
      <c r="Y405" s="66">
        <f t="shared" si="163"/>
        <v>1.5140206678174515E-3</v>
      </c>
      <c r="Z405" s="66">
        <f t="shared" si="163"/>
        <v>1.5059348745719067E-3</v>
      </c>
      <c r="AA405" s="66">
        <f t="shared" si="163"/>
        <v>1.497848385236776E-3</v>
      </c>
      <c r="AB405" s="66">
        <f t="shared" si="163"/>
        <v>1.4897574784853524E-3</v>
      </c>
      <c r="AC405" s="66">
        <f t="shared" si="163"/>
        <v>1.4816608586764491E-3</v>
      </c>
    </row>
    <row r="406" spans="1:29" x14ac:dyDescent="0.25">
      <c r="A406" s="59" t="str">
        <f>A369</f>
        <v>Payload loss (fuel)</v>
      </c>
      <c r="B406" s="66">
        <f>B394/(B367-B369)-B394/B367</f>
        <v>0</v>
      </c>
      <c r="C406" s="66">
        <f t="shared" ref="C406:AC406" si="164">C394/(C367-C369)-C394/C367</f>
        <v>0</v>
      </c>
      <c r="D406" s="66">
        <f t="shared" si="164"/>
        <v>0</v>
      </c>
      <c r="E406" s="66">
        <f t="shared" si="164"/>
        <v>0</v>
      </c>
      <c r="F406" s="66">
        <f t="shared" si="164"/>
        <v>0</v>
      </c>
      <c r="G406" s="66">
        <f t="shared" si="164"/>
        <v>0</v>
      </c>
      <c r="H406" s="66">
        <f t="shared" si="164"/>
        <v>0</v>
      </c>
      <c r="I406" s="66">
        <f t="shared" si="164"/>
        <v>0</v>
      </c>
      <c r="J406" s="66">
        <f t="shared" si="164"/>
        <v>0</v>
      </c>
      <c r="K406" s="66">
        <f t="shared" si="164"/>
        <v>0</v>
      </c>
      <c r="L406" s="66">
        <f t="shared" si="164"/>
        <v>0</v>
      </c>
      <c r="M406" s="66">
        <f t="shared" si="164"/>
        <v>0</v>
      </c>
      <c r="N406" s="66">
        <f t="shared" si="164"/>
        <v>0</v>
      </c>
      <c r="O406" s="66">
        <f t="shared" si="164"/>
        <v>0</v>
      </c>
      <c r="P406" s="66">
        <f t="shared" si="164"/>
        <v>0</v>
      </c>
      <c r="Q406" s="66">
        <f t="shared" si="164"/>
        <v>0</v>
      </c>
      <c r="R406" s="66">
        <f t="shared" si="164"/>
        <v>0</v>
      </c>
      <c r="S406" s="66">
        <f t="shared" si="164"/>
        <v>0</v>
      </c>
      <c r="T406" s="66">
        <f t="shared" si="164"/>
        <v>0</v>
      </c>
      <c r="U406" s="66">
        <f t="shared" si="164"/>
        <v>0</v>
      </c>
      <c r="V406" s="66">
        <f t="shared" si="164"/>
        <v>0</v>
      </c>
      <c r="W406" s="66">
        <f t="shared" si="164"/>
        <v>0</v>
      </c>
      <c r="X406" s="66">
        <f t="shared" si="164"/>
        <v>0</v>
      </c>
      <c r="Y406" s="66">
        <f t="shared" si="164"/>
        <v>0</v>
      </c>
      <c r="Z406" s="66">
        <f t="shared" si="164"/>
        <v>0</v>
      </c>
      <c r="AA406" s="66">
        <f t="shared" si="164"/>
        <v>0</v>
      </c>
      <c r="AB406" s="66">
        <f t="shared" si="164"/>
        <v>0</v>
      </c>
      <c r="AC406" s="66">
        <f t="shared" si="164"/>
        <v>0</v>
      </c>
    </row>
    <row r="407" spans="1:29" ht="15.75" thickBot="1" x14ac:dyDescent="0.3">
      <c r="A407" s="59" t="str">
        <f>A344</f>
        <v>Emission Cost</v>
      </c>
      <c r="B407" s="68">
        <f>B364*B370/B370/(B367)</f>
        <v>0</v>
      </c>
      <c r="C407" s="68">
        <f t="shared" ref="C407:AC407" si="165">C364*C370/C370/(C367)</f>
        <v>0</v>
      </c>
      <c r="D407" s="68">
        <f t="shared" si="165"/>
        <v>0</v>
      </c>
      <c r="E407" s="68">
        <f t="shared" si="165"/>
        <v>0</v>
      </c>
      <c r="F407" s="68">
        <f t="shared" si="165"/>
        <v>0</v>
      </c>
      <c r="G407" s="68">
        <f t="shared" si="165"/>
        <v>0</v>
      </c>
      <c r="H407" s="68">
        <f t="shared" si="165"/>
        <v>0</v>
      </c>
      <c r="I407" s="68">
        <f t="shared" si="165"/>
        <v>0</v>
      </c>
      <c r="J407" s="68">
        <f t="shared" si="165"/>
        <v>0</v>
      </c>
      <c r="K407" s="68">
        <f t="shared" si="165"/>
        <v>0</v>
      </c>
      <c r="L407" s="68">
        <f t="shared" si="165"/>
        <v>0</v>
      </c>
      <c r="M407" s="68">
        <f t="shared" si="165"/>
        <v>0</v>
      </c>
      <c r="N407" s="68">
        <f t="shared" si="165"/>
        <v>0</v>
      </c>
      <c r="O407" s="68">
        <f t="shared" si="165"/>
        <v>0</v>
      </c>
      <c r="P407" s="68">
        <f t="shared" si="165"/>
        <v>0</v>
      </c>
      <c r="Q407" s="68">
        <f t="shared" si="165"/>
        <v>0</v>
      </c>
      <c r="R407" s="68">
        <f t="shared" si="165"/>
        <v>0</v>
      </c>
      <c r="S407" s="68">
        <f t="shared" si="165"/>
        <v>0</v>
      </c>
      <c r="T407" s="68">
        <f t="shared" si="165"/>
        <v>0</v>
      </c>
      <c r="U407" s="68">
        <f t="shared" si="165"/>
        <v>0</v>
      </c>
      <c r="V407" s="68">
        <f t="shared" si="165"/>
        <v>0</v>
      </c>
      <c r="W407" s="68">
        <f t="shared" si="165"/>
        <v>0</v>
      </c>
      <c r="X407" s="68">
        <f t="shared" si="165"/>
        <v>0</v>
      </c>
      <c r="Y407" s="68">
        <f t="shared" si="165"/>
        <v>0</v>
      </c>
      <c r="Z407" s="68">
        <f t="shared" si="165"/>
        <v>0</v>
      </c>
      <c r="AA407" s="68">
        <f t="shared" si="165"/>
        <v>0</v>
      </c>
      <c r="AB407" s="68">
        <f t="shared" si="165"/>
        <v>0</v>
      </c>
      <c r="AC407" s="68">
        <f t="shared" si="165"/>
        <v>0</v>
      </c>
    </row>
    <row r="408" spans="1:29" ht="15.75" thickBot="1" x14ac:dyDescent="0.3">
      <c r="A408" s="31" t="s">
        <v>210</v>
      </c>
      <c r="B408" s="76">
        <f>B397+B398+B399+B400+B401+B402+B403+B404+B405+B406+B407</f>
        <v>6.4091309057636167E-3</v>
      </c>
      <c r="C408" s="67">
        <f t="shared" ref="C408:AC408" si="166">C397+C398+C399+C400+C401+C402+C403+C404+C405+C406+C407</f>
        <v>6.2286793013816271E-3</v>
      </c>
      <c r="D408" s="67">
        <f t="shared" si="166"/>
        <v>6.048216638835791E-3</v>
      </c>
      <c r="E408" s="67">
        <f t="shared" si="166"/>
        <v>5.867745928905284E-3</v>
      </c>
      <c r="F408" s="67">
        <f t="shared" si="166"/>
        <v>5.6872748461649757E-3</v>
      </c>
      <c r="G408" s="67">
        <f t="shared" si="166"/>
        <v>5.5068191412408884E-3</v>
      </c>
      <c r="H408" s="67">
        <f t="shared" si="166"/>
        <v>5.326408018567215E-3</v>
      </c>
      <c r="I408" s="67">
        <f t="shared" si="166"/>
        <v>5.1460923672169709E-3</v>
      </c>
      <c r="J408" s="67">
        <f t="shared" si="166"/>
        <v>5.118536826251561E-3</v>
      </c>
      <c r="K408" s="67">
        <f t="shared" si="166"/>
        <v>5.0909429328535438E-3</v>
      </c>
      <c r="L408" s="67">
        <f t="shared" si="166"/>
        <v>5.0633115103202245E-3</v>
      </c>
      <c r="M408" s="67">
        <f t="shared" si="166"/>
        <v>5.035651218324705E-3</v>
      </c>
      <c r="N408" s="67">
        <f t="shared" si="166"/>
        <v>5.0079838130325481E-3</v>
      </c>
      <c r="O408" s="67">
        <f t="shared" si="166"/>
        <v>4.9803501162491246E-3</v>
      </c>
      <c r="P408" s="67">
        <f t="shared" si="166"/>
        <v>4.9528141805457761E-3</v>
      </c>
      <c r="Q408" s="67">
        <f t="shared" si="166"/>
        <v>4.9254610449242266E-3</v>
      </c>
      <c r="R408" s="67">
        <f t="shared" si="166"/>
        <v>4.8983832595571094E-3</v>
      </c>
      <c r="S408" s="67">
        <f t="shared" si="166"/>
        <v>4.8716563001925551E-3</v>
      </c>
      <c r="T408" s="67">
        <f t="shared" si="166"/>
        <v>4.8453126476670251E-3</v>
      </c>
      <c r="U408" s="67">
        <f t="shared" si="166"/>
        <v>4.8193300153265882E-3</v>
      </c>
      <c r="V408" s="67">
        <f t="shared" si="166"/>
        <v>4.7936416973888094E-3</v>
      </c>
      <c r="W408" s="67">
        <f t="shared" si="166"/>
        <v>4.7681614920017743E-3</v>
      </c>
      <c r="X408" s="67">
        <f t="shared" si="166"/>
        <v>4.7428079320631401E-3</v>
      </c>
      <c r="Y408" s="67">
        <f t="shared" si="166"/>
        <v>4.7175179875975672E-3</v>
      </c>
      <c r="Z408" s="67">
        <f t="shared" si="166"/>
        <v>4.6922498837052382E-3</v>
      </c>
      <c r="AA408" s="67">
        <f t="shared" si="166"/>
        <v>4.6669796045329566E-3</v>
      </c>
      <c r="AB408" s="67">
        <f t="shared" si="166"/>
        <v>4.6416955209347584E-3</v>
      </c>
      <c r="AC408" s="67">
        <f t="shared" si="166"/>
        <v>4.6163935840319338E-3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304" zoomScale="80" zoomScaleNormal="80" workbookViewId="0">
      <selection activeCell="B363" sqref="B363:AC363"/>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279</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Input'!$L$212</f>
        <v>15000000</v>
      </c>
      <c r="C11" s="42">
        <f>'Parameter Input'!$M$212</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Input'!$L$213</f>
        <v>-1500000</v>
      </c>
      <c r="C12" s="61">
        <f>'Parameter Input'!$M$213</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Input'!$L$219</f>
        <v>0.06</v>
      </c>
      <c r="C15" s="91">
        <f>'Parameter Input'!$M$219</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Input'!$L$215</f>
        <v>488235.29411764705</v>
      </c>
      <c r="C17" s="61">
        <f>'Parameter Input'!$M$215</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Input'!$L$216</f>
        <v>647</v>
      </c>
      <c r="C19" s="61">
        <f>'Parameter Input'!$M$216</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Input'!$L$217</f>
        <v>0.06</v>
      </c>
      <c r="C20" s="61">
        <f>'Parameter Input'!$M$217</f>
        <v>0.06</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Input'!L220</f>
        <v>0</v>
      </c>
      <c r="C21" s="61">
        <f>'Parameter Input'!M220</f>
        <v>0</v>
      </c>
      <c r="D21" s="1"/>
      <c r="L21" s="54">
        <f>'Parameter Input'!O220</f>
        <v>17</v>
      </c>
      <c r="M21" s="37">
        <v>0</v>
      </c>
      <c r="N21" s="37">
        <v>1</v>
      </c>
      <c r="O21" s="37">
        <f>'Parameter Input'!P220</f>
        <v>0.9</v>
      </c>
      <c r="P21" s="55">
        <f>'Parameter Input'!Q220</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Input'!$L$214</f>
        <v>25</v>
      </c>
      <c r="C22" s="61">
        <f>'Parameter Input'!$M$214</f>
        <v>25</v>
      </c>
      <c r="D22" s="1" t="s">
        <v>42</v>
      </c>
      <c r="L22" s="54">
        <f>'Parameter Input'!$O$214</f>
        <v>17</v>
      </c>
      <c r="M22" s="37">
        <v>0</v>
      </c>
      <c r="N22" s="37">
        <v>1</v>
      </c>
      <c r="O22" s="37">
        <f>'Parameter Input'!$P$214</f>
        <v>0.9</v>
      </c>
      <c r="P22" s="55">
        <f>'Parameter Input'!$Q$214</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Input'!$L$218</f>
        <v>0</v>
      </c>
      <c r="C26" s="46">
        <f>'Parameter Input'!$M$218</f>
        <v>0</v>
      </c>
      <c r="D26" s="1" t="s">
        <v>57</v>
      </c>
      <c r="L26" s="54">
        <f>'Parameter Input'!$O$218</f>
        <v>17</v>
      </c>
      <c r="M26" s="37">
        <v>0</v>
      </c>
      <c r="N26" s="37">
        <v>1</v>
      </c>
      <c r="O26" s="37">
        <f>'Parameter Input'!$P$218</f>
        <v>0.9</v>
      </c>
      <c r="P26" s="55">
        <f>'Parameter Input'!$Q$218</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'Parameter Input'!J9</f>
        <v>5.7951260504201685E-2</v>
      </c>
      <c r="C40" s="62">
        <f>'Parameter Input'!K9</f>
        <v>5.3954621848739497E-2</v>
      </c>
      <c r="D40" s="62">
        <f>'Parameter Input'!L9</f>
        <v>4.9957983193277315E-2</v>
      </c>
      <c r="E40" s="62">
        <f>'Parameter Input'!M9</f>
        <v>4.5961344537815127E-2</v>
      </c>
      <c r="F40" s="62">
        <f>'Parameter Input'!N9</f>
        <v>4.1964705882352946E-2</v>
      </c>
      <c r="G40" s="62">
        <f>'Parameter Input'!O9</f>
        <v>3.7968067226890764E-2</v>
      </c>
      <c r="H40" s="62">
        <f>'Parameter Input'!P9</f>
        <v>3.3971428571428583E-2</v>
      </c>
      <c r="I40" s="62">
        <f>'Parameter Input'!Q9</f>
        <v>2.9974789915966391E-2</v>
      </c>
      <c r="J40" s="62">
        <f>'Parameter Input'!R9</f>
        <v>2.9368157262905165E-2</v>
      </c>
      <c r="K40" s="62">
        <f>'Parameter Input'!S9</f>
        <v>2.8761524609843939E-2</v>
      </c>
      <c r="L40" s="62">
        <f>'Parameter Input'!T9</f>
        <v>2.8154891956782713E-2</v>
      </c>
      <c r="M40" s="62">
        <f>'Parameter Input'!U9</f>
        <v>2.7548259303721487E-2</v>
      </c>
      <c r="N40" s="62">
        <f>'Parameter Input'!V9</f>
        <v>2.6941626650660268E-2</v>
      </c>
      <c r="O40" s="62">
        <f>'Parameter Input'!W9</f>
        <v>2.6334993997599043E-2</v>
      </c>
      <c r="P40" s="62">
        <f>'Parameter Input'!X9</f>
        <v>2.5728361344537817E-2</v>
      </c>
      <c r="Q40" s="62">
        <f>'Parameter Input'!Y9</f>
        <v>2.5121728691476591E-2</v>
      </c>
      <c r="R40" s="62">
        <f>'Parameter Input'!Z9</f>
        <v>2.4515096038415365E-2</v>
      </c>
      <c r="S40" s="62">
        <f>'Parameter Input'!AA9</f>
        <v>2.3908463385354146E-2</v>
      </c>
      <c r="T40" s="62">
        <f>'Parameter Input'!AB9</f>
        <v>2.330183073229292E-2</v>
      </c>
      <c r="U40" s="62">
        <f>'Parameter Input'!AC9</f>
        <v>2.2695198079231694E-2</v>
      </c>
      <c r="V40" s="62">
        <f>'Parameter Input'!AD9</f>
        <v>2.2088565426170468E-2</v>
      </c>
      <c r="W40" s="62">
        <f>'Parameter Input'!AE9</f>
        <v>2.1481932773109242E-2</v>
      </c>
      <c r="X40" s="62">
        <f>'Parameter Input'!AF9</f>
        <v>2.0875300120048023E-2</v>
      </c>
      <c r="Y40" s="62">
        <f>'Parameter Input'!AG9</f>
        <v>2.0268667466986797E-2</v>
      </c>
      <c r="Z40" s="62">
        <f>'Parameter Input'!AH9</f>
        <v>1.9662034813925571E-2</v>
      </c>
      <c r="AA40" s="62">
        <f>'Parameter Input'!AI9</f>
        <v>1.9055402160864345E-2</v>
      </c>
      <c r="AB40" s="62">
        <f>'Parameter Input'!AJ9</f>
        <v>1.8448769507803119E-2</v>
      </c>
      <c r="AC40" s="62">
        <f>'Parameter Input'!AK9</f>
        <v>1.78421368547419E-2</v>
      </c>
    </row>
    <row r="41" spans="1:29" x14ac:dyDescent="0.25">
      <c r="A41" s="30" t="str">
        <f t="shared" si="4"/>
        <v>Emission Cost</v>
      </c>
      <c r="B41" s="62">
        <f>$B21+($C21-$B21)*(1-Q21)</f>
        <v>0</v>
      </c>
      <c r="C41" s="62">
        <f t="shared" ref="C41:AC41" si="33">$B21+($C21-$B21)*(1-R21)</f>
        <v>0</v>
      </c>
      <c r="D41" s="62">
        <f t="shared" si="33"/>
        <v>0</v>
      </c>
      <c r="E41" s="62">
        <f t="shared" si="33"/>
        <v>0</v>
      </c>
      <c r="F41" s="62">
        <f t="shared" si="33"/>
        <v>0</v>
      </c>
      <c r="G41" s="62">
        <f t="shared" si="33"/>
        <v>0</v>
      </c>
      <c r="H41" s="62">
        <f t="shared" si="33"/>
        <v>0</v>
      </c>
      <c r="I41" s="62">
        <f t="shared" si="33"/>
        <v>0</v>
      </c>
      <c r="J41" s="62">
        <f t="shared" si="33"/>
        <v>0</v>
      </c>
      <c r="K41" s="62">
        <f t="shared" si="33"/>
        <v>0</v>
      </c>
      <c r="L41" s="62">
        <f t="shared" si="33"/>
        <v>0</v>
      </c>
      <c r="M41" s="62">
        <f t="shared" si="33"/>
        <v>0</v>
      </c>
      <c r="N41" s="62">
        <f t="shared" si="33"/>
        <v>0</v>
      </c>
      <c r="O41" s="62">
        <f t="shared" si="33"/>
        <v>0</v>
      </c>
      <c r="P41" s="62">
        <f t="shared" si="33"/>
        <v>0</v>
      </c>
      <c r="Q41" s="62">
        <f t="shared" si="33"/>
        <v>0</v>
      </c>
      <c r="R41" s="62">
        <f t="shared" si="33"/>
        <v>0</v>
      </c>
      <c r="S41" s="62">
        <f t="shared" si="33"/>
        <v>0</v>
      </c>
      <c r="T41" s="62">
        <f t="shared" si="33"/>
        <v>0</v>
      </c>
      <c r="U41" s="62">
        <f t="shared" si="33"/>
        <v>0</v>
      </c>
      <c r="V41" s="62">
        <f t="shared" si="33"/>
        <v>0</v>
      </c>
      <c r="W41" s="62">
        <f t="shared" si="33"/>
        <v>0</v>
      </c>
      <c r="X41" s="62">
        <f t="shared" si="33"/>
        <v>0</v>
      </c>
      <c r="Y41" s="62">
        <f t="shared" si="33"/>
        <v>0</v>
      </c>
      <c r="Z41" s="62">
        <f t="shared" si="33"/>
        <v>0</v>
      </c>
      <c r="AA41" s="62">
        <f t="shared" si="33"/>
        <v>0</v>
      </c>
      <c r="AB41" s="62">
        <f t="shared" si="33"/>
        <v>0</v>
      </c>
      <c r="AC41" s="62">
        <f t="shared" si="33"/>
        <v>0</v>
      </c>
    </row>
    <row r="42" spans="1:29" x14ac:dyDescent="0.25">
      <c r="A42" s="30" t="str">
        <f t="shared" si="4"/>
        <v>Lifetime vehicle</v>
      </c>
      <c r="B42" s="62">
        <f>$B22+($C22-$B22)*(1-Q22)</f>
        <v>25</v>
      </c>
      <c r="C42" s="62">
        <f t="shared" ref="C42:L44" si="34">$B22+($C22-$B22)*(1-R22)</f>
        <v>25</v>
      </c>
      <c r="D42" s="62">
        <f t="shared" si="34"/>
        <v>25</v>
      </c>
      <c r="E42" s="62">
        <f t="shared" si="34"/>
        <v>25</v>
      </c>
      <c r="F42" s="62">
        <f t="shared" si="34"/>
        <v>25</v>
      </c>
      <c r="G42" s="62">
        <f t="shared" si="34"/>
        <v>25</v>
      </c>
      <c r="H42" s="62">
        <f t="shared" si="34"/>
        <v>25</v>
      </c>
      <c r="I42" s="62">
        <f t="shared" si="34"/>
        <v>25</v>
      </c>
      <c r="J42" s="62">
        <f t="shared" si="34"/>
        <v>25</v>
      </c>
      <c r="K42" s="62">
        <f t="shared" si="34"/>
        <v>25</v>
      </c>
      <c r="L42" s="62">
        <f t="shared" si="34"/>
        <v>25</v>
      </c>
      <c r="M42" s="62">
        <f t="shared" ref="M42:V44" si="35">$B22+($C22-$B22)*(1-AB22)</f>
        <v>25</v>
      </c>
      <c r="N42" s="62">
        <f t="shared" si="35"/>
        <v>25</v>
      </c>
      <c r="O42" s="62">
        <f t="shared" si="35"/>
        <v>25</v>
      </c>
      <c r="P42" s="62">
        <f t="shared" si="35"/>
        <v>25</v>
      </c>
      <c r="Q42" s="62">
        <f t="shared" si="35"/>
        <v>25</v>
      </c>
      <c r="R42" s="62">
        <f t="shared" si="35"/>
        <v>25</v>
      </c>
      <c r="S42" s="62">
        <f t="shared" si="35"/>
        <v>25</v>
      </c>
      <c r="T42" s="62">
        <f t="shared" si="35"/>
        <v>25</v>
      </c>
      <c r="U42" s="62">
        <f t="shared" si="35"/>
        <v>25</v>
      </c>
      <c r="V42" s="62">
        <f t="shared" si="35"/>
        <v>25</v>
      </c>
      <c r="W42" s="62">
        <f t="shared" ref="W42:AC44" si="36">$B22+($C22-$B22)*(1-AL22)</f>
        <v>25</v>
      </c>
      <c r="X42" s="62">
        <f t="shared" si="36"/>
        <v>25</v>
      </c>
      <c r="Y42" s="62">
        <f t="shared" si="36"/>
        <v>25</v>
      </c>
      <c r="Z42" s="62">
        <f t="shared" si="36"/>
        <v>25</v>
      </c>
      <c r="AA42" s="62">
        <f t="shared" si="36"/>
        <v>25</v>
      </c>
      <c r="AB42" s="62">
        <f t="shared" si="36"/>
        <v>25</v>
      </c>
      <c r="AC42" s="62">
        <f t="shared" si="36"/>
        <v>25</v>
      </c>
    </row>
    <row r="43" spans="1:29" x14ac:dyDescent="0.25">
      <c r="A43" s="30" t="str">
        <f t="shared" si="4"/>
        <v>Lifetime costumization</v>
      </c>
      <c r="B43" s="62">
        <f>$B23+($C23-$B23)*(1-Q23)</f>
        <v>25</v>
      </c>
      <c r="C43" s="62">
        <f t="shared" si="34"/>
        <v>25</v>
      </c>
      <c r="D43" s="62">
        <f t="shared" si="34"/>
        <v>25</v>
      </c>
      <c r="E43" s="62">
        <f t="shared" si="34"/>
        <v>25</v>
      </c>
      <c r="F43" s="62">
        <f t="shared" si="34"/>
        <v>25</v>
      </c>
      <c r="G43" s="62">
        <f t="shared" si="34"/>
        <v>25</v>
      </c>
      <c r="H43" s="62">
        <f t="shared" si="34"/>
        <v>25</v>
      </c>
      <c r="I43" s="62">
        <f t="shared" si="34"/>
        <v>25</v>
      </c>
      <c r="J43" s="62">
        <f t="shared" si="34"/>
        <v>25</v>
      </c>
      <c r="K43" s="62">
        <f t="shared" si="34"/>
        <v>25</v>
      </c>
      <c r="L43" s="62">
        <f t="shared" si="34"/>
        <v>25</v>
      </c>
      <c r="M43" s="62">
        <f t="shared" si="35"/>
        <v>25</v>
      </c>
      <c r="N43" s="62">
        <f t="shared" si="35"/>
        <v>25</v>
      </c>
      <c r="O43" s="62">
        <f t="shared" si="35"/>
        <v>25</v>
      </c>
      <c r="P43" s="62">
        <f t="shared" si="35"/>
        <v>25</v>
      </c>
      <c r="Q43" s="62">
        <f t="shared" si="35"/>
        <v>25</v>
      </c>
      <c r="R43" s="62">
        <f t="shared" si="35"/>
        <v>25</v>
      </c>
      <c r="S43" s="62">
        <f t="shared" si="35"/>
        <v>25</v>
      </c>
      <c r="T43" s="62">
        <f t="shared" si="35"/>
        <v>25</v>
      </c>
      <c r="U43" s="62">
        <f t="shared" si="35"/>
        <v>25</v>
      </c>
      <c r="V43" s="62">
        <f t="shared" si="35"/>
        <v>25</v>
      </c>
      <c r="W43" s="62">
        <f t="shared" si="36"/>
        <v>25</v>
      </c>
      <c r="X43" s="62">
        <f t="shared" si="36"/>
        <v>25</v>
      </c>
      <c r="Y43" s="62">
        <f t="shared" si="36"/>
        <v>25</v>
      </c>
      <c r="Z43" s="62">
        <f t="shared" si="36"/>
        <v>25</v>
      </c>
      <c r="AA43" s="62">
        <f t="shared" si="36"/>
        <v>25</v>
      </c>
      <c r="AB43" s="62">
        <f t="shared" si="36"/>
        <v>25</v>
      </c>
      <c r="AC43" s="62">
        <f t="shared" si="36"/>
        <v>25</v>
      </c>
    </row>
    <row r="44" spans="1:29" x14ac:dyDescent="0.25">
      <c r="A44" s="30" t="str">
        <f t="shared" si="4"/>
        <v>Tonnage .</v>
      </c>
      <c r="B44" s="62">
        <f>$B24+($C24-$B24)*(1-Q24)</f>
        <v>9450</v>
      </c>
      <c r="C44" s="62">
        <f t="shared" si="34"/>
        <v>9450</v>
      </c>
      <c r="D44" s="62">
        <f t="shared" si="34"/>
        <v>9450</v>
      </c>
      <c r="E44" s="62">
        <f t="shared" si="34"/>
        <v>9450</v>
      </c>
      <c r="F44" s="62">
        <f t="shared" si="34"/>
        <v>9450</v>
      </c>
      <c r="G44" s="62">
        <f t="shared" si="34"/>
        <v>9450</v>
      </c>
      <c r="H44" s="62">
        <f t="shared" si="34"/>
        <v>9450</v>
      </c>
      <c r="I44" s="62">
        <f t="shared" si="34"/>
        <v>9450</v>
      </c>
      <c r="J44" s="62">
        <f t="shared" si="34"/>
        <v>9450</v>
      </c>
      <c r="K44" s="62">
        <f t="shared" si="34"/>
        <v>9450</v>
      </c>
      <c r="L44" s="62">
        <f t="shared" si="34"/>
        <v>9450</v>
      </c>
      <c r="M44" s="62">
        <f t="shared" si="35"/>
        <v>9450</v>
      </c>
      <c r="N44" s="62">
        <f t="shared" si="35"/>
        <v>9450</v>
      </c>
      <c r="O44" s="62">
        <f t="shared" si="35"/>
        <v>9450</v>
      </c>
      <c r="P44" s="62">
        <f t="shared" si="35"/>
        <v>9450</v>
      </c>
      <c r="Q44" s="62">
        <f t="shared" si="35"/>
        <v>9450</v>
      </c>
      <c r="R44" s="62">
        <f t="shared" si="35"/>
        <v>9450</v>
      </c>
      <c r="S44" s="62">
        <f t="shared" si="35"/>
        <v>9450</v>
      </c>
      <c r="T44" s="62">
        <f t="shared" si="35"/>
        <v>9450</v>
      </c>
      <c r="U44" s="62">
        <f t="shared" si="35"/>
        <v>9450</v>
      </c>
      <c r="V44" s="62">
        <f t="shared" si="35"/>
        <v>9450</v>
      </c>
      <c r="W44" s="62">
        <f t="shared" si="36"/>
        <v>9450</v>
      </c>
      <c r="X44" s="62">
        <f t="shared" si="36"/>
        <v>9450</v>
      </c>
      <c r="Y44" s="62">
        <f t="shared" si="36"/>
        <v>9450</v>
      </c>
      <c r="Z44" s="62">
        <f t="shared" si="36"/>
        <v>9450</v>
      </c>
      <c r="AA44" s="62">
        <f t="shared" si="36"/>
        <v>9450</v>
      </c>
      <c r="AB44" s="62">
        <f t="shared" si="36"/>
        <v>9450</v>
      </c>
      <c r="AC44" s="62">
        <f t="shared" si="36"/>
        <v>9450</v>
      </c>
    </row>
    <row r="45" spans="1:29" x14ac:dyDescent="0.25">
      <c r="A45" s="30" t="str">
        <f t="shared" si="4"/>
        <v>Market failure (av. utilization)</v>
      </c>
      <c r="B45" s="62">
        <f t="shared" ref="B45:K46" si="37">($B25+($C25-$B25)*(1-Q25))*B$44</f>
        <v>6426.0000000000009</v>
      </c>
      <c r="C45" s="62">
        <f t="shared" si="37"/>
        <v>6426.0000000000009</v>
      </c>
      <c r="D45" s="62">
        <f t="shared" si="37"/>
        <v>6426.0000000000009</v>
      </c>
      <c r="E45" s="62">
        <f t="shared" si="37"/>
        <v>6426.0000000000009</v>
      </c>
      <c r="F45" s="62">
        <f t="shared" si="37"/>
        <v>6426.0000000000009</v>
      </c>
      <c r="G45" s="62">
        <f t="shared" si="37"/>
        <v>6426.0000000000009</v>
      </c>
      <c r="H45" s="62">
        <f t="shared" si="37"/>
        <v>6426.0000000000009</v>
      </c>
      <c r="I45" s="62">
        <f t="shared" si="37"/>
        <v>6426.0000000000009</v>
      </c>
      <c r="J45" s="62">
        <f t="shared" si="37"/>
        <v>6426.0000000000009</v>
      </c>
      <c r="K45" s="62">
        <f t="shared" si="37"/>
        <v>6426.0000000000009</v>
      </c>
      <c r="L45" s="62">
        <f t="shared" ref="L45:U46" si="38">($B25+($C25-$B25)*(1-AA25))*L$44</f>
        <v>6426.0000000000009</v>
      </c>
      <c r="M45" s="62">
        <f t="shared" si="38"/>
        <v>6426.0000000000009</v>
      </c>
      <c r="N45" s="62">
        <f t="shared" si="38"/>
        <v>6426.0000000000009</v>
      </c>
      <c r="O45" s="62">
        <f t="shared" si="38"/>
        <v>6426.0000000000009</v>
      </c>
      <c r="P45" s="62">
        <f t="shared" si="38"/>
        <v>6426.0000000000009</v>
      </c>
      <c r="Q45" s="62">
        <f t="shared" si="38"/>
        <v>6426.0000000000009</v>
      </c>
      <c r="R45" s="62">
        <f t="shared" si="38"/>
        <v>6426.0000000000009</v>
      </c>
      <c r="S45" s="62">
        <f t="shared" si="38"/>
        <v>6426.0000000000009</v>
      </c>
      <c r="T45" s="62">
        <f t="shared" si="38"/>
        <v>6426.0000000000009</v>
      </c>
      <c r="U45" s="62">
        <f t="shared" si="38"/>
        <v>6426.0000000000009</v>
      </c>
      <c r="V45" s="62">
        <f t="shared" ref="V45:AC46" si="39">($B25+($C25-$B25)*(1-AK25))*V$44</f>
        <v>6426.0000000000009</v>
      </c>
      <c r="W45" s="62">
        <f t="shared" si="39"/>
        <v>6426.0000000000009</v>
      </c>
      <c r="X45" s="62">
        <f t="shared" si="39"/>
        <v>6426.0000000000009</v>
      </c>
      <c r="Y45" s="62">
        <f t="shared" si="39"/>
        <v>6426.0000000000009</v>
      </c>
      <c r="Z45" s="62">
        <f t="shared" si="39"/>
        <v>6426.0000000000009</v>
      </c>
      <c r="AA45" s="62">
        <f t="shared" si="39"/>
        <v>6426.0000000000009</v>
      </c>
      <c r="AB45" s="62">
        <f t="shared" si="39"/>
        <v>6426.0000000000009</v>
      </c>
      <c r="AC45" s="62">
        <f t="shared" si="39"/>
        <v>6426.0000000000009</v>
      </c>
    </row>
    <row r="46" spans="1:29" x14ac:dyDescent="0.25">
      <c r="A46" s="30" t="s">
        <v>73</v>
      </c>
      <c r="B46" s="62">
        <f t="shared" si="37"/>
        <v>0</v>
      </c>
      <c r="C46" s="62">
        <f t="shared" si="37"/>
        <v>0</v>
      </c>
      <c r="D46" s="62">
        <f t="shared" si="37"/>
        <v>0</v>
      </c>
      <c r="E46" s="62">
        <f t="shared" si="37"/>
        <v>0</v>
      </c>
      <c r="F46" s="62">
        <f t="shared" si="37"/>
        <v>0</v>
      </c>
      <c r="G46" s="62">
        <f t="shared" si="37"/>
        <v>0</v>
      </c>
      <c r="H46" s="62">
        <f t="shared" si="37"/>
        <v>0</v>
      </c>
      <c r="I46" s="62">
        <f t="shared" si="37"/>
        <v>0</v>
      </c>
      <c r="J46" s="62">
        <f t="shared" si="37"/>
        <v>0</v>
      </c>
      <c r="K46" s="62">
        <f t="shared" si="37"/>
        <v>0</v>
      </c>
      <c r="L46" s="62">
        <f t="shared" si="38"/>
        <v>0</v>
      </c>
      <c r="M46" s="62">
        <f t="shared" si="38"/>
        <v>0</v>
      </c>
      <c r="N46" s="62">
        <f t="shared" si="38"/>
        <v>0</v>
      </c>
      <c r="O46" s="62">
        <f t="shared" si="38"/>
        <v>0</v>
      </c>
      <c r="P46" s="62">
        <f t="shared" si="38"/>
        <v>0</v>
      </c>
      <c r="Q46" s="62">
        <f t="shared" si="38"/>
        <v>0</v>
      </c>
      <c r="R46" s="62">
        <f t="shared" si="38"/>
        <v>0</v>
      </c>
      <c r="S46" s="62">
        <f t="shared" si="38"/>
        <v>0</v>
      </c>
      <c r="T46" s="62">
        <f t="shared" si="38"/>
        <v>0</v>
      </c>
      <c r="U46" s="62">
        <f t="shared" si="38"/>
        <v>0</v>
      </c>
      <c r="V46" s="62">
        <f t="shared" si="39"/>
        <v>0</v>
      </c>
      <c r="W46" s="62">
        <f t="shared" si="39"/>
        <v>0</v>
      </c>
      <c r="X46" s="62">
        <f t="shared" si="39"/>
        <v>0</v>
      </c>
      <c r="Y46" s="62">
        <f t="shared" si="39"/>
        <v>0</v>
      </c>
      <c r="Z46" s="62">
        <f t="shared" si="39"/>
        <v>0</v>
      </c>
      <c r="AA46" s="62">
        <f t="shared" si="39"/>
        <v>0</v>
      </c>
      <c r="AB46" s="62">
        <f t="shared" si="39"/>
        <v>0</v>
      </c>
      <c r="AC46" s="62">
        <f t="shared" si="39"/>
        <v>0</v>
      </c>
    </row>
    <row r="47" spans="1:29" x14ac:dyDescent="0.25">
      <c r="A47" s="30" t="str">
        <f>A27</f>
        <v>Annual Mileage</v>
      </c>
      <c r="B47" s="62">
        <f t="shared" ref="B47:AC47" si="40">$B27+($C27-$B27)*(1-Q27)</f>
        <v>120000</v>
      </c>
      <c r="C47" s="62">
        <f t="shared" si="40"/>
        <v>120000</v>
      </c>
      <c r="D47" s="62">
        <f t="shared" si="40"/>
        <v>120000</v>
      </c>
      <c r="E47" s="62">
        <f t="shared" si="40"/>
        <v>120000</v>
      </c>
      <c r="F47" s="62">
        <f t="shared" si="40"/>
        <v>120000</v>
      </c>
      <c r="G47" s="62">
        <f t="shared" si="40"/>
        <v>120000</v>
      </c>
      <c r="H47" s="62">
        <f t="shared" si="40"/>
        <v>120000</v>
      </c>
      <c r="I47" s="62">
        <f t="shared" si="40"/>
        <v>120000</v>
      </c>
      <c r="J47" s="62">
        <f t="shared" si="40"/>
        <v>120000</v>
      </c>
      <c r="K47" s="62">
        <f t="shared" si="40"/>
        <v>120000</v>
      </c>
      <c r="L47" s="62">
        <f t="shared" si="40"/>
        <v>120000</v>
      </c>
      <c r="M47" s="62">
        <f t="shared" si="40"/>
        <v>120000</v>
      </c>
      <c r="N47" s="62">
        <f t="shared" si="40"/>
        <v>120000</v>
      </c>
      <c r="O47" s="62">
        <f t="shared" si="40"/>
        <v>120000</v>
      </c>
      <c r="P47" s="62">
        <f t="shared" si="40"/>
        <v>120000</v>
      </c>
      <c r="Q47" s="62">
        <f t="shared" si="40"/>
        <v>120000</v>
      </c>
      <c r="R47" s="62">
        <f t="shared" si="40"/>
        <v>120000</v>
      </c>
      <c r="S47" s="62">
        <f t="shared" si="40"/>
        <v>120000</v>
      </c>
      <c r="T47" s="62">
        <f t="shared" si="40"/>
        <v>120000</v>
      </c>
      <c r="U47" s="62">
        <f t="shared" si="40"/>
        <v>120000</v>
      </c>
      <c r="V47" s="62">
        <f t="shared" si="40"/>
        <v>120000</v>
      </c>
      <c r="W47" s="62">
        <f t="shared" si="40"/>
        <v>120000</v>
      </c>
      <c r="X47" s="62">
        <f t="shared" si="40"/>
        <v>120000</v>
      </c>
      <c r="Y47" s="62">
        <f t="shared" si="40"/>
        <v>120000</v>
      </c>
      <c r="Z47" s="62">
        <f t="shared" si="40"/>
        <v>120000</v>
      </c>
      <c r="AA47" s="62">
        <f t="shared" si="40"/>
        <v>120000</v>
      </c>
      <c r="AB47" s="62">
        <f t="shared" si="40"/>
        <v>120000</v>
      </c>
      <c r="AC47" s="62">
        <f t="shared" si="40"/>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1">((1+C35)^C42)*C35/(((1+C35)^C42)-1)*(C31)</f>
        <v>1173400.7731841092</v>
      </c>
      <c r="D50" s="63">
        <f t="shared" si="41"/>
        <v>1173400.7731841092</v>
      </c>
      <c r="E50" s="63">
        <f t="shared" si="41"/>
        <v>1173400.7731841092</v>
      </c>
      <c r="F50" s="63">
        <f t="shared" si="41"/>
        <v>1173400.7731841092</v>
      </c>
      <c r="G50" s="63">
        <f t="shared" si="41"/>
        <v>1173400.7731841092</v>
      </c>
      <c r="H50" s="63">
        <f t="shared" si="41"/>
        <v>1173400.7731841092</v>
      </c>
      <c r="I50" s="63">
        <f t="shared" si="41"/>
        <v>1173400.7731841092</v>
      </c>
      <c r="J50" s="63">
        <f t="shared" si="41"/>
        <v>1173400.7731841092</v>
      </c>
      <c r="K50" s="63">
        <f t="shared" si="41"/>
        <v>1173400.7731841092</v>
      </c>
      <c r="L50" s="63">
        <f t="shared" si="41"/>
        <v>1173400.7731841092</v>
      </c>
      <c r="M50" s="63">
        <f t="shared" si="41"/>
        <v>1173400.7731841092</v>
      </c>
      <c r="N50" s="63">
        <f t="shared" si="41"/>
        <v>1173400.7731841092</v>
      </c>
      <c r="O50" s="63">
        <f t="shared" si="41"/>
        <v>1173400.7731841092</v>
      </c>
      <c r="P50" s="63">
        <f t="shared" si="41"/>
        <v>1173400.7731841092</v>
      </c>
      <c r="Q50" s="63">
        <f t="shared" si="41"/>
        <v>1173400.7731841092</v>
      </c>
      <c r="R50" s="63">
        <f t="shared" si="41"/>
        <v>1173400.7731841092</v>
      </c>
      <c r="S50" s="63">
        <f t="shared" si="41"/>
        <v>1173400.7731841092</v>
      </c>
      <c r="T50" s="63">
        <f t="shared" si="41"/>
        <v>1173400.7731841092</v>
      </c>
      <c r="U50" s="63">
        <f t="shared" si="41"/>
        <v>1173400.7731841092</v>
      </c>
      <c r="V50" s="63">
        <f t="shared" si="41"/>
        <v>1173400.7731841092</v>
      </c>
      <c r="W50" s="63">
        <f t="shared" si="41"/>
        <v>1173400.7731841092</v>
      </c>
      <c r="X50" s="63">
        <f t="shared" si="41"/>
        <v>1173400.7731841092</v>
      </c>
      <c r="Y50" s="63">
        <f t="shared" si="41"/>
        <v>1173400.7731841092</v>
      </c>
      <c r="Z50" s="63">
        <f t="shared" si="41"/>
        <v>1173400.7731841092</v>
      </c>
      <c r="AA50" s="63">
        <f t="shared" si="41"/>
        <v>1173400.7731841092</v>
      </c>
      <c r="AB50" s="63">
        <f t="shared" si="41"/>
        <v>1173400.7731841092</v>
      </c>
      <c r="AC50" s="63">
        <f t="shared" si="41"/>
        <v>1173400.7731841092</v>
      </c>
    </row>
    <row r="51" spans="1:29" x14ac:dyDescent="0.25">
      <c r="A51" s="30" t="str">
        <f>A32</f>
        <v>Residual value (vehicle)</v>
      </c>
      <c r="B51" s="62">
        <f>((1+B35)^B42)*B35/(((1+B35)^B42)-1)*(B32)</f>
        <v>-117211.22297816433</v>
      </c>
      <c r="C51" s="62">
        <f t="shared" ref="C51:AC51" si="42">((1+C35)^C42)*C35/(((1+C35)^C42)-1)*(C32)</f>
        <v>-117155.47750703427</v>
      </c>
      <c r="D51" s="62">
        <f t="shared" si="42"/>
        <v>-117075.67910674184</v>
      </c>
      <c r="E51" s="62">
        <f t="shared" si="42"/>
        <v>-116961.52188344915</v>
      </c>
      <c r="F51" s="62">
        <f t="shared" si="42"/>
        <v>-116798.36602132194</v>
      </c>
      <c r="G51" s="62">
        <f t="shared" si="42"/>
        <v>-116565.50734662244</v>
      </c>
      <c r="H51" s="62">
        <f t="shared" si="42"/>
        <v>-116233.85946736432</v>
      </c>
      <c r="I51" s="62">
        <f t="shared" si="42"/>
        <v>-115762.96702113429</v>
      </c>
      <c r="J51" s="62">
        <f t="shared" si="42"/>
        <v>-115097.40579826315</v>
      </c>
      <c r="K51" s="62">
        <f t="shared" si="42"/>
        <v>-114162.96984907117</v>
      </c>
      <c r="L51" s="62">
        <f t="shared" si="42"/>
        <v>-112863.76466894078</v>
      </c>
      <c r="M51" s="62">
        <f t="shared" si="42"/>
        <v>-111082.60297034449</v>
      </c>
      <c r="N51" s="62">
        <f t="shared" si="42"/>
        <v>-108688.91250900239</v>
      </c>
      <c r="O51" s="62">
        <f t="shared" si="42"/>
        <v>-105559.89664903973</v>
      </c>
      <c r="P51" s="62">
        <f t="shared" si="42"/>
        <v>-101619.43004574107</v>
      </c>
      <c r="Q51" s="62">
        <f t="shared" si="42"/>
        <v>-96890.983232894243</v>
      </c>
      <c r="R51" s="62">
        <f t="shared" si="42"/>
        <v>-91544.180152521745</v>
      </c>
      <c r="S51" s="62">
        <f t="shared" si="42"/>
        <v>-85899.582077953528</v>
      </c>
      <c r="T51" s="62">
        <f t="shared" si="42"/>
        <v>-80366.059135568226</v>
      </c>
      <c r="U51" s="62">
        <f t="shared" si="42"/>
        <v>-75328.779301543953</v>
      </c>
      <c r="V51" s="62">
        <f t="shared" si="42"/>
        <v>-71047.808765066002</v>
      </c>
      <c r="W51" s="62">
        <f t="shared" si="42"/>
        <v>-67619.518043732241</v>
      </c>
      <c r="X51" s="62">
        <f t="shared" si="42"/>
        <v>-65003.580064954105</v>
      </c>
      <c r="Y51" s="62">
        <f t="shared" si="42"/>
        <v>-63080.655852023017</v>
      </c>
      <c r="Z51" s="62">
        <f t="shared" si="42"/>
        <v>-61705.792858076449</v>
      </c>
      <c r="AA51" s="62">
        <f t="shared" si="42"/>
        <v>-60742.216938606354</v>
      </c>
      <c r="AB51" s="62">
        <f t="shared" si="42"/>
        <v>-60076.3267522479</v>
      </c>
      <c r="AC51" s="62">
        <f t="shared" si="42"/>
        <v>-59620.624915142049</v>
      </c>
    </row>
    <row r="52" spans="1:29" x14ac:dyDescent="0.25">
      <c r="A52" s="30" t="str">
        <f>A33</f>
        <v>Capex costumization</v>
      </c>
      <c r="B52" s="62">
        <f>((1+B35)^B43)*B35/(((1+B35)^B43)-1)*(B33)</f>
        <v>78226.718212273947</v>
      </c>
      <c r="C52" s="62">
        <f t="shared" ref="C52:AC52" si="43">((1+C35)^C43)*C35/(((1+C35)^C43)-1)*(C33)</f>
        <v>78226.718212273947</v>
      </c>
      <c r="D52" s="62">
        <f t="shared" si="43"/>
        <v>78226.718212273947</v>
      </c>
      <c r="E52" s="62">
        <f t="shared" si="43"/>
        <v>78226.718212273947</v>
      </c>
      <c r="F52" s="62">
        <f t="shared" si="43"/>
        <v>78226.718212273947</v>
      </c>
      <c r="G52" s="62">
        <f t="shared" si="43"/>
        <v>78226.718212273947</v>
      </c>
      <c r="H52" s="62">
        <f t="shared" si="43"/>
        <v>78226.718212273947</v>
      </c>
      <c r="I52" s="62">
        <f t="shared" si="43"/>
        <v>78226.718212273947</v>
      </c>
      <c r="J52" s="62">
        <f t="shared" si="43"/>
        <v>78226.718212273947</v>
      </c>
      <c r="K52" s="62">
        <f t="shared" si="43"/>
        <v>78226.718212273947</v>
      </c>
      <c r="L52" s="62">
        <f t="shared" si="43"/>
        <v>78226.718212273947</v>
      </c>
      <c r="M52" s="62">
        <f t="shared" si="43"/>
        <v>78226.718212273947</v>
      </c>
      <c r="N52" s="62">
        <f t="shared" si="43"/>
        <v>78226.718212273947</v>
      </c>
      <c r="O52" s="62">
        <f t="shared" si="43"/>
        <v>78226.718212273947</v>
      </c>
      <c r="P52" s="62">
        <f t="shared" si="43"/>
        <v>78226.718212273947</v>
      </c>
      <c r="Q52" s="62">
        <f t="shared" si="43"/>
        <v>78226.718212273947</v>
      </c>
      <c r="R52" s="62">
        <f t="shared" si="43"/>
        <v>78226.718212273947</v>
      </c>
      <c r="S52" s="62">
        <f t="shared" si="43"/>
        <v>78226.718212273947</v>
      </c>
      <c r="T52" s="62">
        <f t="shared" si="43"/>
        <v>78226.718212273947</v>
      </c>
      <c r="U52" s="62">
        <f t="shared" si="43"/>
        <v>78226.718212273947</v>
      </c>
      <c r="V52" s="62">
        <f t="shared" si="43"/>
        <v>78226.718212273947</v>
      </c>
      <c r="W52" s="62">
        <f t="shared" si="43"/>
        <v>78226.718212273947</v>
      </c>
      <c r="X52" s="62">
        <f t="shared" si="43"/>
        <v>78226.718212273947</v>
      </c>
      <c r="Y52" s="62">
        <f t="shared" si="43"/>
        <v>78226.718212273947</v>
      </c>
      <c r="Z52" s="62">
        <f t="shared" si="43"/>
        <v>78226.718212273947</v>
      </c>
      <c r="AA52" s="62">
        <f t="shared" si="43"/>
        <v>78226.718212273947</v>
      </c>
      <c r="AB52" s="62">
        <f t="shared" si="43"/>
        <v>78226.718212273947</v>
      </c>
      <c r="AC52" s="62">
        <f t="shared" si="43"/>
        <v>78226.718212273947</v>
      </c>
    </row>
    <row r="53" spans="1:29" x14ac:dyDescent="0.25">
      <c r="A53" s="30" t="str">
        <f>A34</f>
        <v>Residual value (costumization)</v>
      </c>
      <c r="B53" s="62">
        <f>((1+B35)^B43)*B35/(((1+B35)^B43)-1)*(B34)</f>
        <v>-7822.6718212273945</v>
      </c>
      <c r="C53" s="62">
        <f t="shared" ref="C53:AC53" si="44">((1+C35)^C43)*C35/(((1+C35)^C43)-1)*(C34)</f>
        <v>-7822.6718212273945</v>
      </c>
      <c r="D53" s="62">
        <f t="shared" si="44"/>
        <v>-7822.6718212273945</v>
      </c>
      <c r="E53" s="62">
        <f t="shared" si="44"/>
        <v>-7822.6718212273945</v>
      </c>
      <c r="F53" s="62">
        <f t="shared" si="44"/>
        <v>-7822.6718212273945</v>
      </c>
      <c r="G53" s="62">
        <f t="shared" si="44"/>
        <v>-7822.6718212273945</v>
      </c>
      <c r="H53" s="62">
        <f t="shared" si="44"/>
        <v>-7822.6718212273945</v>
      </c>
      <c r="I53" s="62">
        <f t="shared" si="44"/>
        <v>-7822.6718212273945</v>
      </c>
      <c r="J53" s="62">
        <f t="shared" si="44"/>
        <v>-7822.6718212273945</v>
      </c>
      <c r="K53" s="62">
        <f t="shared" si="44"/>
        <v>-7822.6718212273945</v>
      </c>
      <c r="L53" s="62">
        <f t="shared" si="44"/>
        <v>-7822.6718212273945</v>
      </c>
      <c r="M53" s="62">
        <f t="shared" si="44"/>
        <v>-7822.6718212273945</v>
      </c>
      <c r="N53" s="62">
        <f t="shared" si="44"/>
        <v>-7822.6718212273945</v>
      </c>
      <c r="O53" s="62">
        <f t="shared" si="44"/>
        <v>-7822.6718212273945</v>
      </c>
      <c r="P53" s="62">
        <f t="shared" si="44"/>
        <v>-7822.6718212273945</v>
      </c>
      <c r="Q53" s="62">
        <f t="shared" si="44"/>
        <v>-7822.6718212273945</v>
      </c>
      <c r="R53" s="62">
        <f t="shared" si="44"/>
        <v>-7822.6718212273945</v>
      </c>
      <c r="S53" s="62">
        <f t="shared" si="44"/>
        <v>-7822.6718212273945</v>
      </c>
      <c r="T53" s="62">
        <f t="shared" si="44"/>
        <v>-7822.6718212273945</v>
      </c>
      <c r="U53" s="62">
        <f t="shared" si="44"/>
        <v>-7822.6718212273945</v>
      </c>
      <c r="V53" s="62">
        <f t="shared" si="44"/>
        <v>-7822.6718212273945</v>
      </c>
      <c r="W53" s="62">
        <f t="shared" si="44"/>
        <v>-7822.6718212273945</v>
      </c>
      <c r="X53" s="62">
        <f t="shared" si="44"/>
        <v>-7822.6718212273945</v>
      </c>
      <c r="Y53" s="62">
        <f t="shared" si="44"/>
        <v>-7822.6718212273945</v>
      </c>
      <c r="Z53" s="62">
        <f t="shared" si="44"/>
        <v>-7822.6718212273945</v>
      </c>
      <c r="AA53" s="62">
        <f t="shared" si="44"/>
        <v>-7822.6718212273945</v>
      </c>
      <c r="AB53" s="62">
        <f t="shared" si="44"/>
        <v>-7822.6718212273945</v>
      </c>
      <c r="AC53" s="62">
        <f t="shared" si="44"/>
        <v>-7822.6718212273945</v>
      </c>
    </row>
    <row r="54" spans="1:29" x14ac:dyDescent="0.25">
      <c r="A54" s="30" t="str">
        <f t="shared" ref="A54:AC54" si="45">A36</f>
        <v>Opex fix (admin, crew, insurance)</v>
      </c>
      <c r="B54" s="62">
        <f t="shared" si="45"/>
        <v>1208235.294117647</v>
      </c>
      <c r="C54" s="62">
        <f t="shared" si="45"/>
        <v>1208235.294117647</v>
      </c>
      <c r="D54" s="62">
        <f t="shared" si="45"/>
        <v>1208235.294117647</v>
      </c>
      <c r="E54" s="62">
        <f t="shared" si="45"/>
        <v>1208235.294117647</v>
      </c>
      <c r="F54" s="62">
        <f t="shared" si="45"/>
        <v>1208235.294117647</v>
      </c>
      <c r="G54" s="62">
        <f t="shared" si="45"/>
        <v>1208235.294117647</v>
      </c>
      <c r="H54" s="62">
        <f t="shared" si="45"/>
        <v>1208235.294117647</v>
      </c>
      <c r="I54" s="62">
        <f t="shared" si="45"/>
        <v>1208235.294117647</v>
      </c>
      <c r="J54" s="62">
        <f t="shared" si="45"/>
        <v>1208235.294117647</v>
      </c>
      <c r="K54" s="62">
        <f t="shared" si="45"/>
        <v>1208235.294117647</v>
      </c>
      <c r="L54" s="62">
        <f t="shared" si="45"/>
        <v>1208235.294117647</v>
      </c>
      <c r="M54" s="62">
        <f t="shared" si="45"/>
        <v>1208235.294117647</v>
      </c>
      <c r="N54" s="62">
        <f t="shared" si="45"/>
        <v>1208235.294117647</v>
      </c>
      <c r="O54" s="62">
        <f t="shared" si="45"/>
        <v>1208235.294117647</v>
      </c>
      <c r="P54" s="62">
        <f t="shared" si="45"/>
        <v>1208235.294117647</v>
      </c>
      <c r="Q54" s="62">
        <f t="shared" si="45"/>
        <v>1208235.294117647</v>
      </c>
      <c r="R54" s="62">
        <f t="shared" si="45"/>
        <v>1208235.294117647</v>
      </c>
      <c r="S54" s="62">
        <f t="shared" si="45"/>
        <v>1208235.294117647</v>
      </c>
      <c r="T54" s="62">
        <f t="shared" si="45"/>
        <v>1208235.294117647</v>
      </c>
      <c r="U54" s="62">
        <f t="shared" si="45"/>
        <v>1208235.294117647</v>
      </c>
      <c r="V54" s="62">
        <f t="shared" si="45"/>
        <v>1208235.294117647</v>
      </c>
      <c r="W54" s="62">
        <f t="shared" si="45"/>
        <v>1208235.294117647</v>
      </c>
      <c r="X54" s="62">
        <f t="shared" si="45"/>
        <v>1208235.294117647</v>
      </c>
      <c r="Y54" s="62">
        <f t="shared" si="45"/>
        <v>1208235.294117647</v>
      </c>
      <c r="Z54" s="62">
        <f t="shared" si="45"/>
        <v>1208235.294117647</v>
      </c>
      <c r="AA54" s="62">
        <f t="shared" si="45"/>
        <v>1208235.294117647</v>
      </c>
      <c r="AB54" s="62">
        <f t="shared" si="45"/>
        <v>1208235.294117647</v>
      </c>
      <c r="AC54" s="62">
        <f t="shared" si="45"/>
        <v>1208235.294117647</v>
      </c>
    </row>
    <row r="55" spans="1:29" x14ac:dyDescent="0.25">
      <c r="A55" s="30" t="str">
        <f t="shared" ref="A55:AC55" si="46">A37</f>
        <v>Opex maintenance &amp; repair</v>
      </c>
      <c r="B55" s="62">
        <f t="shared" si="46"/>
        <v>488235.29411764705</v>
      </c>
      <c r="C55" s="62">
        <f t="shared" si="46"/>
        <v>488235.29411764705</v>
      </c>
      <c r="D55" s="62">
        <f t="shared" si="46"/>
        <v>488235.29411764705</v>
      </c>
      <c r="E55" s="62">
        <f t="shared" si="46"/>
        <v>488235.29411764705</v>
      </c>
      <c r="F55" s="62">
        <f t="shared" si="46"/>
        <v>488235.29411764705</v>
      </c>
      <c r="G55" s="62">
        <f t="shared" si="46"/>
        <v>488235.29411764705</v>
      </c>
      <c r="H55" s="62">
        <f t="shared" si="46"/>
        <v>488235.29411764705</v>
      </c>
      <c r="I55" s="62">
        <f t="shared" si="46"/>
        <v>488235.29411764705</v>
      </c>
      <c r="J55" s="62">
        <f t="shared" si="46"/>
        <v>488235.29411764705</v>
      </c>
      <c r="K55" s="62">
        <f t="shared" si="46"/>
        <v>488235.29411764705</v>
      </c>
      <c r="L55" s="62">
        <f t="shared" si="46"/>
        <v>488235.29411764705</v>
      </c>
      <c r="M55" s="62">
        <f t="shared" si="46"/>
        <v>488235.29411764705</v>
      </c>
      <c r="N55" s="62">
        <f t="shared" si="46"/>
        <v>488235.29411764705</v>
      </c>
      <c r="O55" s="62">
        <f t="shared" si="46"/>
        <v>488235.29411764705</v>
      </c>
      <c r="P55" s="62">
        <f t="shared" si="46"/>
        <v>488235.29411764705</v>
      </c>
      <c r="Q55" s="62">
        <f t="shared" si="46"/>
        <v>488235.29411764705</v>
      </c>
      <c r="R55" s="62">
        <f t="shared" si="46"/>
        <v>488235.29411764705</v>
      </c>
      <c r="S55" s="62">
        <f t="shared" si="46"/>
        <v>488235.29411764705</v>
      </c>
      <c r="T55" s="62">
        <f t="shared" si="46"/>
        <v>488235.29411764705</v>
      </c>
      <c r="U55" s="62">
        <f t="shared" si="46"/>
        <v>488235.29411764705</v>
      </c>
      <c r="V55" s="62">
        <f t="shared" si="46"/>
        <v>488235.29411764705</v>
      </c>
      <c r="W55" s="62">
        <f t="shared" si="46"/>
        <v>488235.29411764705</v>
      </c>
      <c r="X55" s="62">
        <f t="shared" si="46"/>
        <v>488235.29411764705</v>
      </c>
      <c r="Y55" s="62">
        <f t="shared" si="46"/>
        <v>488235.29411764705</v>
      </c>
      <c r="Z55" s="62">
        <f t="shared" si="46"/>
        <v>488235.29411764705</v>
      </c>
      <c r="AA55" s="62">
        <f t="shared" si="46"/>
        <v>488235.29411764705</v>
      </c>
      <c r="AB55" s="62">
        <f t="shared" si="46"/>
        <v>488235.29411764705</v>
      </c>
      <c r="AC55" s="62">
        <f t="shared" si="46"/>
        <v>488235.29411764705</v>
      </c>
    </row>
    <row r="56" spans="1:29" x14ac:dyDescent="0.25">
      <c r="A56" s="30" t="str">
        <f>A38</f>
        <v>Opex var (mode-fees)</v>
      </c>
      <c r="B56" s="62">
        <f>B38*B47</f>
        <v>101496.22349468413</v>
      </c>
      <c r="C56" s="62">
        <f t="shared" ref="C56:AC56" si="47">C38*C47</f>
        <v>101496.22349468413</v>
      </c>
      <c r="D56" s="62">
        <f t="shared" si="47"/>
        <v>101496.22349468413</v>
      </c>
      <c r="E56" s="62">
        <f t="shared" si="47"/>
        <v>101496.22349468413</v>
      </c>
      <c r="F56" s="62">
        <f t="shared" si="47"/>
        <v>101496.22349468413</v>
      </c>
      <c r="G56" s="62">
        <f t="shared" si="47"/>
        <v>101496.22349468413</v>
      </c>
      <c r="H56" s="62">
        <f t="shared" si="47"/>
        <v>101496.22349468413</v>
      </c>
      <c r="I56" s="62">
        <f t="shared" si="47"/>
        <v>101496.22349468413</v>
      </c>
      <c r="J56" s="62">
        <f t="shared" si="47"/>
        <v>101496.22349468413</v>
      </c>
      <c r="K56" s="62">
        <f t="shared" si="47"/>
        <v>101496.22349468413</v>
      </c>
      <c r="L56" s="62">
        <f t="shared" si="47"/>
        <v>101496.22349468413</v>
      </c>
      <c r="M56" s="62">
        <f t="shared" si="47"/>
        <v>101496.22349468413</v>
      </c>
      <c r="N56" s="62">
        <f t="shared" si="47"/>
        <v>101496.22349468413</v>
      </c>
      <c r="O56" s="62">
        <f t="shared" si="47"/>
        <v>101496.22349468413</v>
      </c>
      <c r="P56" s="62">
        <f t="shared" si="47"/>
        <v>101496.22349468413</v>
      </c>
      <c r="Q56" s="62">
        <f t="shared" si="47"/>
        <v>101496.22349468413</v>
      </c>
      <c r="R56" s="62">
        <f t="shared" si="47"/>
        <v>101496.22349468413</v>
      </c>
      <c r="S56" s="62">
        <f t="shared" si="47"/>
        <v>101496.22349468413</v>
      </c>
      <c r="T56" s="62">
        <f t="shared" si="47"/>
        <v>101496.22349468413</v>
      </c>
      <c r="U56" s="62">
        <f t="shared" si="47"/>
        <v>101496.22349468413</v>
      </c>
      <c r="V56" s="62">
        <f t="shared" si="47"/>
        <v>101496.22349468413</v>
      </c>
      <c r="W56" s="62">
        <f t="shared" si="47"/>
        <v>101496.22349468413</v>
      </c>
      <c r="X56" s="62">
        <f t="shared" si="47"/>
        <v>101496.22349468413</v>
      </c>
      <c r="Y56" s="62">
        <f t="shared" si="47"/>
        <v>101496.22349468413</v>
      </c>
      <c r="Z56" s="62">
        <f t="shared" si="47"/>
        <v>101496.22349468413</v>
      </c>
      <c r="AA56" s="62">
        <f t="shared" si="47"/>
        <v>101496.22349468413</v>
      </c>
      <c r="AB56" s="62">
        <f t="shared" si="47"/>
        <v>101496.22349468413</v>
      </c>
      <c r="AC56" s="62">
        <f t="shared" si="47"/>
        <v>101496.22349468413</v>
      </c>
    </row>
    <row r="57" spans="1:29" x14ac:dyDescent="0.25">
      <c r="A57" s="30" t="str">
        <f>A40</f>
        <v>Fuel Cost</v>
      </c>
      <c r="B57" s="62">
        <f>B39*B40*B47</f>
        <v>4498618.0304829236</v>
      </c>
      <c r="C57" s="62">
        <f t="shared" ref="C57:AC57" si="48">C39*C40*C47</f>
        <v>4188079.3759353086</v>
      </c>
      <c r="D57" s="62">
        <f t="shared" si="48"/>
        <v>3877468.0419729641</v>
      </c>
      <c r="E57" s="62">
        <f t="shared" si="48"/>
        <v>3566766.217460895</v>
      </c>
      <c r="F57" s="62">
        <f t="shared" si="48"/>
        <v>3255954.4458860727</v>
      </c>
      <c r="G57" s="62">
        <f t="shared" si="48"/>
        <v>2945013.6349047427</v>
      </c>
      <c r="H57" s="62">
        <f t="shared" si="48"/>
        <v>2633929.1365398113</v>
      </c>
      <c r="I57" s="62">
        <f t="shared" si="48"/>
        <v>2322698.2431000774</v>
      </c>
      <c r="J57" s="62">
        <f t="shared" si="48"/>
        <v>2273812.2520016357</v>
      </c>
      <c r="K57" s="62">
        <f t="shared" si="48"/>
        <v>2224260.4832576048</v>
      </c>
      <c r="L57" s="62">
        <f t="shared" si="48"/>
        <v>2173830.4324544049</v>
      </c>
      <c r="M57" s="62">
        <f t="shared" si="48"/>
        <v>2122275.575613555</v>
      </c>
      <c r="N57" s="62">
        <f t="shared" si="48"/>
        <v>2069342.0583988025</v>
      </c>
      <c r="O57" s="62">
        <f t="shared" si="48"/>
        <v>2014826.1691024788</v>
      </c>
      <c r="P57" s="62">
        <f t="shared" si="48"/>
        <v>1958668.2716916476</v>
      </c>
      <c r="Q57" s="62">
        <f t="shared" si="48"/>
        <v>1901067.0088093535</v>
      </c>
      <c r="R57" s="62">
        <f t="shared" si="48"/>
        <v>1842559.9816717752</v>
      </c>
      <c r="S57" s="62">
        <f t="shared" si="48"/>
        <v>1783992.1296651261</v>
      </c>
      <c r="T57" s="62">
        <f t="shared" si="48"/>
        <v>1726331.4306318762</v>
      </c>
      <c r="U57" s="62">
        <f t="shared" si="48"/>
        <v>1670398.7763802267</v>
      </c>
      <c r="V57" s="62">
        <f t="shared" si="48"/>
        <v>1616659.5725604114</v>
      </c>
      <c r="W57" s="62">
        <f t="shared" si="48"/>
        <v>1565180.5165969562</v>
      </c>
      <c r="X57" s="62">
        <f t="shared" si="48"/>
        <v>1515731.5068314851</v>
      </c>
      <c r="Y57" s="62">
        <f t="shared" si="48"/>
        <v>1467937.8982067783</v>
      </c>
      <c r="Z57" s="62">
        <f t="shared" si="48"/>
        <v>1421404.470279735</v>
      </c>
      <c r="AA57" s="62">
        <f t="shared" si="48"/>
        <v>1375784.7961731155</v>
      </c>
      <c r="AB57" s="62">
        <f t="shared" si="48"/>
        <v>1330805.4504176688</v>
      </c>
      <c r="AC57" s="62">
        <f t="shared" si="48"/>
        <v>1286264.2796700606</v>
      </c>
    </row>
    <row r="58" spans="1:29" ht="15.75" thickBot="1" x14ac:dyDescent="0.3">
      <c r="A58" s="59" t="str">
        <f>A21</f>
        <v>Emission Cost</v>
      </c>
      <c r="B58" s="62">
        <f>B41*B47</f>
        <v>0</v>
      </c>
      <c r="C58" s="62">
        <f t="shared" ref="C58:AC58" si="49">C41*C47</f>
        <v>0</v>
      </c>
      <c r="D58" s="62">
        <f t="shared" si="49"/>
        <v>0</v>
      </c>
      <c r="E58" s="62">
        <f t="shared" si="49"/>
        <v>0</v>
      </c>
      <c r="F58" s="62">
        <f t="shared" si="49"/>
        <v>0</v>
      </c>
      <c r="G58" s="62">
        <f t="shared" si="49"/>
        <v>0</v>
      </c>
      <c r="H58" s="62">
        <f t="shared" si="49"/>
        <v>0</v>
      </c>
      <c r="I58" s="62">
        <f t="shared" si="49"/>
        <v>0</v>
      </c>
      <c r="J58" s="62">
        <f t="shared" si="49"/>
        <v>0</v>
      </c>
      <c r="K58" s="62">
        <f t="shared" si="49"/>
        <v>0</v>
      </c>
      <c r="L58" s="62">
        <f t="shared" si="49"/>
        <v>0</v>
      </c>
      <c r="M58" s="62">
        <f t="shared" si="49"/>
        <v>0</v>
      </c>
      <c r="N58" s="62">
        <f t="shared" si="49"/>
        <v>0</v>
      </c>
      <c r="O58" s="62">
        <f t="shared" si="49"/>
        <v>0</v>
      </c>
      <c r="P58" s="62">
        <f t="shared" si="49"/>
        <v>0</v>
      </c>
      <c r="Q58" s="62">
        <f t="shared" si="49"/>
        <v>0</v>
      </c>
      <c r="R58" s="62">
        <f t="shared" si="49"/>
        <v>0</v>
      </c>
      <c r="S58" s="62">
        <f t="shared" si="49"/>
        <v>0</v>
      </c>
      <c r="T58" s="62">
        <f t="shared" si="49"/>
        <v>0</v>
      </c>
      <c r="U58" s="62">
        <f t="shared" si="49"/>
        <v>0</v>
      </c>
      <c r="V58" s="62">
        <f t="shared" si="49"/>
        <v>0</v>
      </c>
      <c r="W58" s="62">
        <f t="shared" si="49"/>
        <v>0</v>
      </c>
      <c r="X58" s="62">
        <f t="shared" si="49"/>
        <v>0</v>
      </c>
      <c r="Y58" s="62">
        <f t="shared" si="49"/>
        <v>0</v>
      </c>
      <c r="Z58" s="62">
        <f t="shared" si="49"/>
        <v>0</v>
      </c>
      <c r="AA58" s="62">
        <f t="shared" si="49"/>
        <v>0</v>
      </c>
      <c r="AB58" s="62">
        <f t="shared" si="49"/>
        <v>0</v>
      </c>
      <c r="AC58" s="62">
        <f t="shared" si="49"/>
        <v>0</v>
      </c>
    </row>
    <row r="59" spans="1:29" ht="15.75" thickBot="1" x14ac:dyDescent="0.3">
      <c r="A59" s="31" t="s">
        <v>209</v>
      </c>
      <c r="B59" s="64">
        <f>B50+B51+B52+B53+B54+B55+B56+B57+B58</f>
        <v>7423178.438809894</v>
      </c>
      <c r="C59" s="64">
        <f t="shared" ref="C59:AC59" si="50">C50+C51+C52+C53+C54+C55+C56+C57+C58</f>
        <v>7112695.5297334082</v>
      </c>
      <c r="D59" s="64">
        <f t="shared" si="50"/>
        <v>6802163.9941713568</v>
      </c>
      <c r="E59" s="64">
        <f t="shared" si="50"/>
        <v>6491576.3268825803</v>
      </c>
      <c r="F59" s="64">
        <f t="shared" si="50"/>
        <v>6180927.7111698855</v>
      </c>
      <c r="G59" s="64">
        <f t="shared" si="50"/>
        <v>5870219.7588632554</v>
      </c>
      <c r="H59" s="64">
        <f t="shared" si="50"/>
        <v>5559466.9083775813</v>
      </c>
      <c r="I59" s="64">
        <f t="shared" si="50"/>
        <v>5248706.9073840771</v>
      </c>
      <c r="J59" s="64">
        <f t="shared" si="50"/>
        <v>5200486.4775085067</v>
      </c>
      <c r="K59" s="64">
        <f t="shared" si="50"/>
        <v>5151869.1447136682</v>
      </c>
      <c r="L59" s="64">
        <f t="shared" si="50"/>
        <v>5102738.2990905978</v>
      </c>
      <c r="M59" s="64">
        <f t="shared" si="50"/>
        <v>5052964.6039483454</v>
      </c>
      <c r="N59" s="64">
        <f t="shared" si="50"/>
        <v>5002424.7771949349</v>
      </c>
      <c r="O59" s="64">
        <f t="shared" si="50"/>
        <v>4951037.9037585733</v>
      </c>
      <c r="P59" s="64">
        <f t="shared" si="50"/>
        <v>4898820.4729510406</v>
      </c>
      <c r="Q59" s="64">
        <f t="shared" si="50"/>
        <v>4845947.6568815932</v>
      </c>
      <c r="R59" s="64">
        <f t="shared" si="50"/>
        <v>4792787.4328243881</v>
      </c>
      <c r="S59" s="64">
        <f t="shared" si="50"/>
        <v>4739864.178892307</v>
      </c>
      <c r="T59" s="64">
        <f t="shared" si="50"/>
        <v>4687737.0028014425</v>
      </c>
      <c r="U59" s="64">
        <f t="shared" si="50"/>
        <v>4636841.6283838172</v>
      </c>
      <c r="V59" s="64">
        <f t="shared" si="50"/>
        <v>4587383.3951004799</v>
      </c>
      <c r="W59" s="64">
        <f t="shared" si="50"/>
        <v>4539332.6298583578</v>
      </c>
      <c r="X59" s="64">
        <f t="shared" si="50"/>
        <v>4492499.5580716655</v>
      </c>
      <c r="Y59" s="64">
        <f t="shared" si="50"/>
        <v>4446628.8736598901</v>
      </c>
      <c r="Z59" s="64">
        <f t="shared" si="50"/>
        <v>4401470.3087267932</v>
      </c>
      <c r="AA59" s="64">
        <f t="shared" si="50"/>
        <v>4356814.2105396437</v>
      </c>
      <c r="AB59" s="64">
        <f t="shared" si="50"/>
        <v>4312500.7549705552</v>
      </c>
      <c r="AC59" s="64">
        <f t="shared" si="50"/>
        <v>4268415.2860600529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1">A50</f>
        <v>Capex vehicle</v>
      </c>
      <c r="B62" s="65">
        <f>((1+B35)^B42)*B35/(((1+B35)^B42)-1)*(B31)/B47</f>
        <v>9.7783397765342439</v>
      </c>
      <c r="C62" s="65">
        <f t="shared" ref="C62:AC62" si="52">((1+C35)^C42)*C35/(((1+C35)^C42)-1)*(C31)/C47</f>
        <v>9.7783397765342439</v>
      </c>
      <c r="D62" s="65">
        <f t="shared" si="52"/>
        <v>9.7783397765342439</v>
      </c>
      <c r="E62" s="65">
        <f t="shared" si="52"/>
        <v>9.7783397765342439</v>
      </c>
      <c r="F62" s="65">
        <f t="shared" si="52"/>
        <v>9.7783397765342439</v>
      </c>
      <c r="G62" s="65">
        <f t="shared" si="52"/>
        <v>9.7783397765342439</v>
      </c>
      <c r="H62" s="65">
        <f t="shared" si="52"/>
        <v>9.7783397765342439</v>
      </c>
      <c r="I62" s="65">
        <f t="shared" si="52"/>
        <v>9.7783397765342439</v>
      </c>
      <c r="J62" s="65">
        <f t="shared" si="52"/>
        <v>9.7783397765342439</v>
      </c>
      <c r="K62" s="65">
        <f t="shared" si="52"/>
        <v>9.7783397765342439</v>
      </c>
      <c r="L62" s="65">
        <f t="shared" si="52"/>
        <v>9.7783397765342439</v>
      </c>
      <c r="M62" s="65">
        <f t="shared" si="52"/>
        <v>9.7783397765342439</v>
      </c>
      <c r="N62" s="65">
        <f t="shared" si="52"/>
        <v>9.7783397765342439</v>
      </c>
      <c r="O62" s="65">
        <f t="shared" si="52"/>
        <v>9.7783397765342439</v>
      </c>
      <c r="P62" s="65">
        <f t="shared" si="52"/>
        <v>9.7783397765342439</v>
      </c>
      <c r="Q62" s="65">
        <f t="shared" si="52"/>
        <v>9.7783397765342439</v>
      </c>
      <c r="R62" s="65">
        <f t="shared" si="52"/>
        <v>9.7783397765342439</v>
      </c>
      <c r="S62" s="65">
        <f t="shared" si="52"/>
        <v>9.7783397765342439</v>
      </c>
      <c r="T62" s="65">
        <f t="shared" si="52"/>
        <v>9.7783397765342439</v>
      </c>
      <c r="U62" s="65">
        <f t="shared" si="52"/>
        <v>9.7783397765342439</v>
      </c>
      <c r="V62" s="65">
        <f t="shared" si="52"/>
        <v>9.7783397765342439</v>
      </c>
      <c r="W62" s="65">
        <f t="shared" si="52"/>
        <v>9.7783397765342439</v>
      </c>
      <c r="X62" s="65">
        <f t="shared" si="52"/>
        <v>9.7783397765342439</v>
      </c>
      <c r="Y62" s="65">
        <f t="shared" si="52"/>
        <v>9.7783397765342439</v>
      </c>
      <c r="Z62" s="65">
        <f t="shared" si="52"/>
        <v>9.7783397765342439</v>
      </c>
      <c r="AA62" s="65">
        <f t="shared" si="52"/>
        <v>9.7783397765342439</v>
      </c>
      <c r="AB62" s="65">
        <f t="shared" si="52"/>
        <v>9.7783397765342439</v>
      </c>
      <c r="AC62" s="65">
        <f t="shared" si="52"/>
        <v>9.7783397765342439</v>
      </c>
    </row>
    <row r="63" spans="1:29" x14ac:dyDescent="0.25">
      <c r="A63" s="30" t="str">
        <f t="shared" si="51"/>
        <v>Residual value (vehicle)</v>
      </c>
      <c r="B63" s="66">
        <f>((1+B35)^B42)*B35/(((1+B35)^B42)-1)*(B32)/B47</f>
        <v>-0.97676019148470272</v>
      </c>
      <c r="C63" s="66">
        <f t="shared" ref="C63:AC63" si="53">((1+C35)^C42)*C35/(((1+C35)^C42)-1)*(C32)/C47</f>
        <v>-0.97629564589195228</v>
      </c>
      <c r="D63" s="66">
        <f t="shared" si="53"/>
        <v>-0.97563065922284864</v>
      </c>
      <c r="E63" s="66">
        <f t="shared" si="53"/>
        <v>-0.97467934902874298</v>
      </c>
      <c r="F63" s="66">
        <f t="shared" si="53"/>
        <v>-0.97331971684434948</v>
      </c>
      <c r="G63" s="66">
        <f t="shared" si="53"/>
        <v>-0.97137922788852038</v>
      </c>
      <c r="H63" s="66">
        <f t="shared" si="53"/>
        <v>-0.96861549556136939</v>
      </c>
      <c r="I63" s="66">
        <f t="shared" si="53"/>
        <v>-0.96469139184278574</v>
      </c>
      <c r="J63" s="66">
        <f t="shared" si="53"/>
        <v>-0.95914504831885961</v>
      </c>
      <c r="K63" s="66">
        <f t="shared" si="53"/>
        <v>-0.95135808207559314</v>
      </c>
      <c r="L63" s="66">
        <f t="shared" si="53"/>
        <v>-0.94053137224117322</v>
      </c>
      <c r="M63" s="66">
        <f t="shared" si="53"/>
        <v>-0.92568835808620409</v>
      </c>
      <c r="N63" s="66">
        <f t="shared" si="53"/>
        <v>-0.90574093757501994</v>
      </c>
      <c r="O63" s="66">
        <f t="shared" si="53"/>
        <v>-0.87966580540866446</v>
      </c>
      <c r="P63" s="66">
        <f t="shared" si="53"/>
        <v>-0.84682858371450898</v>
      </c>
      <c r="Q63" s="66">
        <f t="shared" si="53"/>
        <v>-0.80742486027411864</v>
      </c>
      <c r="R63" s="66">
        <f t="shared" si="53"/>
        <v>-0.7628681679376812</v>
      </c>
      <c r="S63" s="66">
        <f t="shared" si="53"/>
        <v>-0.71582985064961269</v>
      </c>
      <c r="T63" s="66">
        <f t="shared" si="53"/>
        <v>-0.66971715946306853</v>
      </c>
      <c r="U63" s="66">
        <f t="shared" si="53"/>
        <v>-0.62773982751286628</v>
      </c>
      <c r="V63" s="66">
        <f t="shared" si="53"/>
        <v>-0.59206507304221667</v>
      </c>
      <c r="W63" s="66">
        <f t="shared" si="53"/>
        <v>-0.56349598369776865</v>
      </c>
      <c r="X63" s="66">
        <f t="shared" si="53"/>
        <v>-0.54169650054128426</v>
      </c>
      <c r="Y63" s="66">
        <f t="shared" si="53"/>
        <v>-0.52567213210019181</v>
      </c>
      <c r="Z63" s="66">
        <f t="shared" si="53"/>
        <v>-0.51421494048397043</v>
      </c>
      <c r="AA63" s="66">
        <f t="shared" si="53"/>
        <v>-0.50618514115505298</v>
      </c>
      <c r="AB63" s="66">
        <f t="shared" si="53"/>
        <v>-0.50063605626873253</v>
      </c>
      <c r="AC63" s="66">
        <f t="shared" si="53"/>
        <v>-0.49683854095951707</v>
      </c>
    </row>
    <row r="64" spans="1:29" x14ac:dyDescent="0.25">
      <c r="A64" s="30" t="str">
        <f t="shared" si="51"/>
        <v>Capex costumization</v>
      </c>
      <c r="B64" s="66">
        <f>((1+B35)^B43)*B35/(((1+B35)^B43)-1)*(B33)/B47</f>
        <v>0.65188931843561626</v>
      </c>
      <c r="C64" s="66">
        <f t="shared" ref="C64:AC64" si="54">((1+C35)^C43)*C35/(((1+C35)^C43)-1)*(C33)/C47</f>
        <v>0.65188931843561626</v>
      </c>
      <c r="D64" s="66">
        <f t="shared" si="54"/>
        <v>0.65188931843561626</v>
      </c>
      <c r="E64" s="66">
        <f t="shared" si="54"/>
        <v>0.65188931843561626</v>
      </c>
      <c r="F64" s="66">
        <f t="shared" si="54"/>
        <v>0.65188931843561626</v>
      </c>
      <c r="G64" s="66">
        <f t="shared" si="54"/>
        <v>0.65188931843561626</v>
      </c>
      <c r="H64" s="66">
        <f t="shared" si="54"/>
        <v>0.65188931843561626</v>
      </c>
      <c r="I64" s="66">
        <f t="shared" si="54"/>
        <v>0.65188931843561626</v>
      </c>
      <c r="J64" s="66">
        <f t="shared" si="54"/>
        <v>0.65188931843561626</v>
      </c>
      <c r="K64" s="66">
        <f t="shared" si="54"/>
        <v>0.65188931843561626</v>
      </c>
      <c r="L64" s="66">
        <f t="shared" si="54"/>
        <v>0.65188931843561626</v>
      </c>
      <c r="M64" s="66">
        <f t="shared" si="54"/>
        <v>0.65188931843561626</v>
      </c>
      <c r="N64" s="66">
        <f t="shared" si="54"/>
        <v>0.65188931843561626</v>
      </c>
      <c r="O64" s="66">
        <f t="shared" si="54"/>
        <v>0.65188931843561626</v>
      </c>
      <c r="P64" s="66">
        <f t="shared" si="54"/>
        <v>0.65188931843561626</v>
      </c>
      <c r="Q64" s="66">
        <f t="shared" si="54"/>
        <v>0.65188931843561626</v>
      </c>
      <c r="R64" s="66">
        <f t="shared" si="54"/>
        <v>0.65188931843561626</v>
      </c>
      <c r="S64" s="66">
        <f t="shared" si="54"/>
        <v>0.65188931843561626</v>
      </c>
      <c r="T64" s="66">
        <f t="shared" si="54"/>
        <v>0.65188931843561626</v>
      </c>
      <c r="U64" s="66">
        <f t="shared" si="54"/>
        <v>0.65188931843561626</v>
      </c>
      <c r="V64" s="66">
        <f t="shared" si="54"/>
        <v>0.65188931843561626</v>
      </c>
      <c r="W64" s="66">
        <f t="shared" si="54"/>
        <v>0.65188931843561626</v>
      </c>
      <c r="X64" s="66">
        <f t="shared" si="54"/>
        <v>0.65188931843561626</v>
      </c>
      <c r="Y64" s="66">
        <f t="shared" si="54"/>
        <v>0.65188931843561626</v>
      </c>
      <c r="Z64" s="66">
        <f t="shared" si="54"/>
        <v>0.65188931843561626</v>
      </c>
      <c r="AA64" s="66">
        <f t="shared" si="54"/>
        <v>0.65188931843561626</v>
      </c>
      <c r="AB64" s="66">
        <f t="shared" si="54"/>
        <v>0.65188931843561626</v>
      </c>
      <c r="AC64" s="66">
        <f t="shared" si="54"/>
        <v>0.65188931843561626</v>
      </c>
    </row>
    <row r="65" spans="1:29" x14ac:dyDescent="0.25">
      <c r="A65" s="30" t="str">
        <f t="shared" si="51"/>
        <v>Residual value (costumization)</v>
      </c>
      <c r="B65" s="66">
        <f>((1+B35)^B43)*B35/(((1+B35)^B43)-1)*(B34)/B47</f>
        <v>-6.5188931843561615E-2</v>
      </c>
      <c r="C65" s="66">
        <f t="shared" ref="C65:AC65" si="55">((1+C35)^C43)*C35/(((1+C35)^C43)-1)*(C34)/C47</f>
        <v>-6.5188931843561615E-2</v>
      </c>
      <c r="D65" s="66">
        <f t="shared" si="55"/>
        <v>-6.5188931843561615E-2</v>
      </c>
      <c r="E65" s="66">
        <f t="shared" si="55"/>
        <v>-6.5188931843561615E-2</v>
      </c>
      <c r="F65" s="66">
        <f t="shared" si="55"/>
        <v>-6.5188931843561615E-2</v>
      </c>
      <c r="G65" s="66">
        <f t="shared" si="55"/>
        <v>-6.5188931843561615E-2</v>
      </c>
      <c r="H65" s="66">
        <f t="shared" si="55"/>
        <v>-6.5188931843561615E-2</v>
      </c>
      <c r="I65" s="66">
        <f t="shared" si="55"/>
        <v>-6.5188931843561615E-2</v>
      </c>
      <c r="J65" s="66">
        <f t="shared" si="55"/>
        <v>-6.5188931843561615E-2</v>
      </c>
      <c r="K65" s="66">
        <f t="shared" si="55"/>
        <v>-6.5188931843561615E-2</v>
      </c>
      <c r="L65" s="66">
        <f t="shared" si="55"/>
        <v>-6.5188931843561615E-2</v>
      </c>
      <c r="M65" s="66">
        <f t="shared" si="55"/>
        <v>-6.5188931843561615E-2</v>
      </c>
      <c r="N65" s="66">
        <f t="shared" si="55"/>
        <v>-6.5188931843561615E-2</v>
      </c>
      <c r="O65" s="66">
        <f t="shared" si="55"/>
        <v>-6.5188931843561615E-2</v>
      </c>
      <c r="P65" s="66">
        <f t="shared" si="55"/>
        <v>-6.5188931843561615E-2</v>
      </c>
      <c r="Q65" s="66">
        <f t="shared" si="55"/>
        <v>-6.5188931843561615E-2</v>
      </c>
      <c r="R65" s="66">
        <f t="shared" si="55"/>
        <v>-6.5188931843561615E-2</v>
      </c>
      <c r="S65" s="66">
        <f t="shared" si="55"/>
        <v>-6.5188931843561615E-2</v>
      </c>
      <c r="T65" s="66">
        <f t="shared" si="55"/>
        <v>-6.5188931843561615E-2</v>
      </c>
      <c r="U65" s="66">
        <f t="shared" si="55"/>
        <v>-6.5188931843561615E-2</v>
      </c>
      <c r="V65" s="66">
        <f t="shared" si="55"/>
        <v>-6.5188931843561615E-2</v>
      </c>
      <c r="W65" s="66">
        <f t="shared" si="55"/>
        <v>-6.5188931843561615E-2</v>
      </c>
      <c r="X65" s="66">
        <f t="shared" si="55"/>
        <v>-6.5188931843561615E-2</v>
      </c>
      <c r="Y65" s="66">
        <f t="shared" si="55"/>
        <v>-6.5188931843561615E-2</v>
      </c>
      <c r="Z65" s="66">
        <f t="shared" si="55"/>
        <v>-6.5188931843561615E-2</v>
      </c>
      <c r="AA65" s="66">
        <f t="shared" si="55"/>
        <v>-6.5188931843561615E-2</v>
      </c>
      <c r="AB65" s="66">
        <f t="shared" si="55"/>
        <v>-6.5188931843561615E-2</v>
      </c>
      <c r="AC65" s="66">
        <f t="shared" si="55"/>
        <v>-6.5188931843561615E-2</v>
      </c>
    </row>
    <row r="66" spans="1:29" x14ac:dyDescent="0.25">
      <c r="A66" s="30" t="str">
        <f t="shared" si="51"/>
        <v>Opex fix (admin, crew, insurance)</v>
      </c>
      <c r="B66" s="66">
        <f>B36/B47</f>
        <v>10.068627450980392</v>
      </c>
      <c r="C66" s="66">
        <f t="shared" ref="C66:AC66" si="56">C36/C47</f>
        <v>10.068627450980392</v>
      </c>
      <c r="D66" s="66">
        <f t="shared" si="56"/>
        <v>10.068627450980392</v>
      </c>
      <c r="E66" s="66">
        <f t="shared" si="56"/>
        <v>10.068627450980392</v>
      </c>
      <c r="F66" s="66">
        <f t="shared" si="56"/>
        <v>10.068627450980392</v>
      </c>
      <c r="G66" s="66">
        <f t="shared" si="56"/>
        <v>10.068627450980392</v>
      </c>
      <c r="H66" s="66">
        <f t="shared" si="56"/>
        <v>10.068627450980392</v>
      </c>
      <c r="I66" s="66">
        <f t="shared" si="56"/>
        <v>10.068627450980392</v>
      </c>
      <c r="J66" s="66">
        <f t="shared" si="56"/>
        <v>10.068627450980392</v>
      </c>
      <c r="K66" s="66">
        <f t="shared" si="56"/>
        <v>10.068627450980392</v>
      </c>
      <c r="L66" s="66">
        <f t="shared" si="56"/>
        <v>10.068627450980392</v>
      </c>
      <c r="M66" s="66">
        <f t="shared" si="56"/>
        <v>10.068627450980392</v>
      </c>
      <c r="N66" s="66">
        <f t="shared" si="56"/>
        <v>10.068627450980392</v>
      </c>
      <c r="O66" s="66">
        <f t="shared" si="56"/>
        <v>10.068627450980392</v>
      </c>
      <c r="P66" s="66">
        <f t="shared" si="56"/>
        <v>10.068627450980392</v>
      </c>
      <c r="Q66" s="66">
        <f t="shared" si="56"/>
        <v>10.068627450980392</v>
      </c>
      <c r="R66" s="66">
        <f t="shared" si="56"/>
        <v>10.068627450980392</v>
      </c>
      <c r="S66" s="66">
        <f t="shared" si="56"/>
        <v>10.068627450980392</v>
      </c>
      <c r="T66" s="66">
        <f t="shared" si="56"/>
        <v>10.068627450980392</v>
      </c>
      <c r="U66" s="66">
        <f t="shared" si="56"/>
        <v>10.068627450980392</v>
      </c>
      <c r="V66" s="66">
        <f t="shared" si="56"/>
        <v>10.068627450980392</v>
      </c>
      <c r="W66" s="66">
        <f t="shared" si="56"/>
        <v>10.068627450980392</v>
      </c>
      <c r="X66" s="66">
        <f t="shared" si="56"/>
        <v>10.068627450980392</v>
      </c>
      <c r="Y66" s="66">
        <f t="shared" si="56"/>
        <v>10.068627450980392</v>
      </c>
      <c r="Z66" s="66">
        <f t="shared" si="56"/>
        <v>10.068627450980392</v>
      </c>
      <c r="AA66" s="66">
        <f t="shared" si="56"/>
        <v>10.068627450980392</v>
      </c>
      <c r="AB66" s="66">
        <f t="shared" si="56"/>
        <v>10.068627450980392</v>
      </c>
      <c r="AC66" s="66">
        <f t="shared" si="56"/>
        <v>10.068627450980392</v>
      </c>
    </row>
    <row r="67" spans="1:29" x14ac:dyDescent="0.25">
      <c r="A67" s="30" t="str">
        <f t="shared" si="51"/>
        <v>Opex maintenance &amp; repair</v>
      </c>
      <c r="B67" s="66">
        <f>B37/B47</f>
        <v>4.0686274509803919</v>
      </c>
      <c r="C67" s="66">
        <f t="shared" ref="C67:AC67" si="57">C37/C47</f>
        <v>4.0686274509803919</v>
      </c>
      <c r="D67" s="66">
        <f t="shared" si="57"/>
        <v>4.0686274509803919</v>
      </c>
      <c r="E67" s="66">
        <f t="shared" si="57"/>
        <v>4.0686274509803919</v>
      </c>
      <c r="F67" s="66">
        <f t="shared" si="57"/>
        <v>4.0686274509803919</v>
      </c>
      <c r="G67" s="66">
        <f t="shared" si="57"/>
        <v>4.0686274509803919</v>
      </c>
      <c r="H67" s="66">
        <f t="shared" si="57"/>
        <v>4.0686274509803919</v>
      </c>
      <c r="I67" s="66">
        <f t="shared" si="57"/>
        <v>4.0686274509803919</v>
      </c>
      <c r="J67" s="66">
        <f t="shared" si="57"/>
        <v>4.0686274509803919</v>
      </c>
      <c r="K67" s="66">
        <f t="shared" si="57"/>
        <v>4.0686274509803919</v>
      </c>
      <c r="L67" s="66">
        <f t="shared" si="57"/>
        <v>4.0686274509803919</v>
      </c>
      <c r="M67" s="66">
        <f t="shared" si="57"/>
        <v>4.0686274509803919</v>
      </c>
      <c r="N67" s="66">
        <f t="shared" si="57"/>
        <v>4.0686274509803919</v>
      </c>
      <c r="O67" s="66">
        <f t="shared" si="57"/>
        <v>4.0686274509803919</v>
      </c>
      <c r="P67" s="66">
        <f t="shared" si="57"/>
        <v>4.0686274509803919</v>
      </c>
      <c r="Q67" s="66">
        <f t="shared" si="57"/>
        <v>4.0686274509803919</v>
      </c>
      <c r="R67" s="66">
        <f t="shared" si="57"/>
        <v>4.0686274509803919</v>
      </c>
      <c r="S67" s="66">
        <f t="shared" si="57"/>
        <v>4.0686274509803919</v>
      </c>
      <c r="T67" s="66">
        <f t="shared" si="57"/>
        <v>4.0686274509803919</v>
      </c>
      <c r="U67" s="66">
        <f t="shared" si="57"/>
        <v>4.0686274509803919</v>
      </c>
      <c r="V67" s="66">
        <f t="shared" si="57"/>
        <v>4.0686274509803919</v>
      </c>
      <c r="W67" s="66">
        <f t="shared" si="57"/>
        <v>4.0686274509803919</v>
      </c>
      <c r="X67" s="66">
        <f t="shared" si="57"/>
        <v>4.0686274509803919</v>
      </c>
      <c r="Y67" s="66">
        <f t="shared" si="57"/>
        <v>4.0686274509803919</v>
      </c>
      <c r="Z67" s="66">
        <f t="shared" si="57"/>
        <v>4.0686274509803919</v>
      </c>
      <c r="AA67" s="66">
        <f t="shared" si="57"/>
        <v>4.0686274509803919</v>
      </c>
      <c r="AB67" s="66">
        <f t="shared" si="57"/>
        <v>4.0686274509803919</v>
      </c>
      <c r="AC67" s="66">
        <f t="shared" si="57"/>
        <v>4.0686274509803919</v>
      </c>
    </row>
    <row r="68" spans="1:29" x14ac:dyDescent="0.25">
      <c r="A68" s="30" t="str">
        <f t="shared" si="51"/>
        <v>Opex var (mode-fees)</v>
      </c>
      <c r="B68" s="66">
        <f>B38*B47/B47</f>
        <v>0.8458018624557011</v>
      </c>
      <c r="C68" s="66">
        <f t="shared" ref="C68:AC68" si="58">C38*C47/C47</f>
        <v>0.8458018624557011</v>
      </c>
      <c r="D68" s="66">
        <f t="shared" si="58"/>
        <v>0.8458018624557011</v>
      </c>
      <c r="E68" s="66">
        <f t="shared" si="58"/>
        <v>0.8458018624557011</v>
      </c>
      <c r="F68" s="66">
        <f t="shared" si="58"/>
        <v>0.8458018624557011</v>
      </c>
      <c r="G68" s="66">
        <f t="shared" si="58"/>
        <v>0.8458018624557011</v>
      </c>
      <c r="H68" s="66">
        <f t="shared" si="58"/>
        <v>0.8458018624557011</v>
      </c>
      <c r="I68" s="66">
        <f t="shared" si="58"/>
        <v>0.8458018624557011</v>
      </c>
      <c r="J68" s="66">
        <f t="shared" si="58"/>
        <v>0.8458018624557011</v>
      </c>
      <c r="K68" s="66">
        <f t="shared" si="58"/>
        <v>0.8458018624557011</v>
      </c>
      <c r="L68" s="66">
        <f t="shared" si="58"/>
        <v>0.8458018624557011</v>
      </c>
      <c r="M68" s="66">
        <f t="shared" si="58"/>
        <v>0.8458018624557011</v>
      </c>
      <c r="N68" s="66">
        <f t="shared" si="58"/>
        <v>0.8458018624557011</v>
      </c>
      <c r="O68" s="66">
        <f t="shared" si="58"/>
        <v>0.8458018624557011</v>
      </c>
      <c r="P68" s="66">
        <f t="shared" si="58"/>
        <v>0.8458018624557011</v>
      </c>
      <c r="Q68" s="66">
        <f t="shared" si="58"/>
        <v>0.8458018624557011</v>
      </c>
      <c r="R68" s="66">
        <f t="shared" si="58"/>
        <v>0.8458018624557011</v>
      </c>
      <c r="S68" s="66">
        <f t="shared" si="58"/>
        <v>0.8458018624557011</v>
      </c>
      <c r="T68" s="66">
        <f t="shared" si="58"/>
        <v>0.8458018624557011</v>
      </c>
      <c r="U68" s="66">
        <f t="shared" si="58"/>
        <v>0.8458018624557011</v>
      </c>
      <c r="V68" s="66">
        <f t="shared" si="58"/>
        <v>0.8458018624557011</v>
      </c>
      <c r="W68" s="66">
        <f t="shared" si="58"/>
        <v>0.8458018624557011</v>
      </c>
      <c r="X68" s="66">
        <f t="shared" si="58"/>
        <v>0.8458018624557011</v>
      </c>
      <c r="Y68" s="66">
        <f t="shared" si="58"/>
        <v>0.8458018624557011</v>
      </c>
      <c r="Z68" s="66">
        <f t="shared" si="58"/>
        <v>0.8458018624557011</v>
      </c>
      <c r="AA68" s="66">
        <f t="shared" si="58"/>
        <v>0.8458018624557011</v>
      </c>
      <c r="AB68" s="66">
        <f t="shared" si="58"/>
        <v>0.8458018624557011</v>
      </c>
      <c r="AC68" s="66">
        <f t="shared" si="58"/>
        <v>0.8458018624557011</v>
      </c>
    </row>
    <row r="69" spans="1:29" x14ac:dyDescent="0.25">
      <c r="A69" s="30" t="str">
        <f t="shared" si="51"/>
        <v>Fuel Cost</v>
      </c>
      <c r="B69" s="66">
        <f>B39*B40*B47/B47</f>
        <v>37.488483587357699</v>
      </c>
      <c r="C69" s="66">
        <f t="shared" ref="C69:AC69" si="59">C39*C40*C47/C47</f>
        <v>34.900661466127573</v>
      </c>
      <c r="D69" s="66">
        <f t="shared" si="59"/>
        <v>32.312233683108033</v>
      </c>
      <c r="E69" s="66">
        <f t="shared" si="59"/>
        <v>29.723051812174123</v>
      </c>
      <c r="F69" s="66">
        <f t="shared" si="59"/>
        <v>27.132953715717271</v>
      </c>
      <c r="G69" s="66">
        <f t="shared" si="59"/>
        <v>24.541780290872858</v>
      </c>
      <c r="H69" s="66">
        <f t="shared" si="59"/>
        <v>21.949409471165094</v>
      </c>
      <c r="I69" s="66">
        <f t="shared" si="59"/>
        <v>19.355818692500645</v>
      </c>
      <c r="J69" s="66">
        <f t="shared" si="59"/>
        <v>18.948435433346965</v>
      </c>
      <c r="K69" s="66">
        <f t="shared" si="59"/>
        <v>18.535504027146708</v>
      </c>
      <c r="L69" s="66">
        <f t="shared" si="59"/>
        <v>18.115253603786709</v>
      </c>
      <c r="M69" s="66">
        <f t="shared" si="59"/>
        <v>17.685629796779626</v>
      </c>
      <c r="N69" s="66">
        <f t="shared" si="59"/>
        <v>17.244517153323354</v>
      </c>
      <c r="O69" s="66">
        <f t="shared" si="59"/>
        <v>16.790218075853989</v>
      </c>
      <c r="P69" s="66">
        <f t="shared" si="59"/>
        <v>16.322235597430396</v>
      </c>
      <c r="Q69" s="66">
        <f t="shared" si="59"/>
        <v>15.842225073411278</v>
      </c>
      <c r="R69" s="66">
        <f t="shared" si="59"/>
        <v>15.354666513931461</v>
      </c>
      <c r="S69" s="66">
        <f t="shared" si="59"/>
        <v>14.866601080542717</v>
      </c>
      <c r="T69" s="66">
        <f t="shared" si="59"/>
        <v>14.386095255265635</v>
      </c>
      <c r="U69" s="66">
        <f t="shared" si="59"/>
        <v>13.919989803168557</v>
      </c>
      <c r="V69" s="66">
        <f t="shared" si="59"/>
        <v>13.472163104670095</v>
      </c>
      <c r="W69" s="66">
        <f t="shared" si="59"/>
        <v>13.043170971641301</v>
      </c>
      <c r="X69" s="66">
        <f t="shared" si="59"/>
        <v>12.631095890262376</v>
      </c>
      <c r="Y69" s="66">
        <f t="shared" si="59"/>
        <v>12.23281581838982</v>
      </c>
      <c r="Z69" s="66">
        <f t="shared" si="59"/>
        <v>11.845037252331126</v>
      </c>
      <c r="AA69" s="66">
        <f t="shared" si="59"/>
        <v>11.46487330144263</v>
      </c>
      <c r="AB69" s="66">
        <f t="shared" si="59"/>
        <v>11.09004542014724</v>
      </c>
      <c r="AC69" s="66">
        <f t="shared" si="59"/>
        <v>10.718868997250505</v>
      </c>
    </row>
    <row r="70" spans="1:29" ht="15.75" thickBot="1" x14ac:dyDescent="0.3">
      <c r="A70" s="59" t="str">
        <f>A21</f>
        <v>Emission Cost</v>
      </c>
      <c r="B70" s="66">
        <f>B41</f>
        <v>0</v>
      </c>
      <c r="C70" s="66">
        <f t="shared" ref="C70:AC70" si="60">C41</f>
        <v>0</v>
      </c>
      <c r="D70" s="66">
        <f t="shared" si="60"/>
        <v>0</v>
      </c>
      <c r="E70" s="66">
        <f t="shared" si="60"/>
        <v>0</v>
      </c>
      <c r="F70" s="66">
        <f t="shared" si="60"/>
        <v>0</v>
      </c>
      <c r="G70" s="66">
        <f t="shared" si="60"/>
        <v>0</v>
      </c>
      <c r="H70" s="66">
        <f t="shared" si="60"/>
        <v>0</v>
      </c>
      <c r="I70" s="66">
        <f t="shared" si="60"/>
        <v>0</v>
      </c>
      <c r="J70" s="66">
        <f t="shared" si="60"/>
        <v>0</v>
      </c>
      <c r="K70" s="66">
        <f t="shared" si="60"/>
        <v>0</v>
      </c>
      <c r="L70" s="66">
        <f t="shared" si="60"/>
        <v>0</v>
      </c>
      <c r="M70" s="66">
        <f t="shared" si="60"/>
        <v>0</v>
      </c>
      <c r="N70" s="66">
        <f t="shared" si="60"/>
        <v>0</v>
      </c>
      <c r="O70" s="66">
        <f t="shared" si="60"/>
        <v>0</v>
      </c>
      <c r="P70" s="66">
        <f t="shared" si="60"/>
        <v>0</v>
      </c>
      <c r="Q70" s="66">
        <f t="shared" si="60"/>
        <v>0</v>
      </c>
      <c r="R70" s="66">
        <f t="shared" si="60"/>
        <v>0</v>
      </c>
      <c r="S70" s="66">
        <f t="shared" si="60"/>
        <v>0</v>
      </c>
      <c r="T70" s="66">
        <f t="shared" si="60"/>
        <v>0</v>
      </c>
      <c r="U70" s="66">
        <f t="shared" si="60"/>
        <v>0</v>
      </c>
      <c r="V70" s="66">
        <f t="shared" si="60"/>
        <v>0</v>
      </c>
      <c r="W70" s="66">
        <f t="shared" si="60"/>
        <v>0</v>
      </c>
      <c r="X70" s="66">
        <f t="shared" si="60"/>
        <v>0</v>
      </c>
      <c r="Y70" s="66">
        <f t="shared" si="60"/>
        <v>0</v>
      </c>
      <c r="Z70" s="66">
        <f t="shared" si="60"/>
        <v>0</v>
      </c>
      <c r="AA70" s="66">
        <f t="shared" si="60"/>
        <v>0</v>
      </c>
      <c r="AB70" s="66">
        <f t="shared" si="60"/>
        <v>0</v>
      </c>
      <c r="AC70" s="66">
        <f t="shared" si="60"/>
        <v>0</v>
      </c>
    </row>
    <row r="71" spans="1:29" ht="15.75" thickBot="1" x14ac:dyDescent="0.3">
      <c r="A71" s="31" t="s">
        <v>63</v>
      </c>
      <c r="B71" s="76">
        <f>B62+B63+B64-B65+B66+B67+B68+B69+B70</f>
        <v>61.990198187102905</v>
      </c>
      <c r="C71" s="76">
        <f t="shared" ref="C71:AC71" si="61">C62+C63+C64-C65+C66+C67+C68+C69+C70</f>
        <v>59.402840611465528</v>
      </c>
      <c r="D71" s="76">
        <f t="shared" si="61"/>
        <v>56.815077815115089</v>
      </c>
      <c r="E71" s="76">
        <f t="shared" si="61"/>
        <v>54.226847254375286</v>
      </c>
      <c r="F71" s="76">
        <f t="shared" si="61"/>
        <v>51.638108790102827</v>
      </c>
      <c r="G71" s="76">
        <f t="shared" si="61"/>
        <v>49.048875854214245</v>
      </c>
      <c r="H71" s="76">
        <f t="shared" si="61"/>
        <v>46.459268766833631</v>
      </c>
      <c r="I71" s="76">
        <f t="shared" si="61"/>
        <v>43.869602091887771</v>
      </c>
      <c r="J71" s="76">
        <f t="shared" si="61"/>
        <v>43.467765176258013</v>
      </c>
      <c r="K71" s="76">
        <f t="shared" si="61"/>
        <v>43.062620736301021</v>
      </c>
      <c r="L71" s="76">
        <f t="shared" si="61"/>
        <v>42.653197022775444</v>
      </c>
      <c r="M71" s="76">
        <f t="shared" si="61"/>
        <v>42.238416229923331</v>
      </c>
      <c r="N71" s="76">
        <f t="shared" si="61"/>
        <v>41.817251006978239</v>
      </c>
      <c r="O71" s="76">
        <f t="shared" si="61"/>
        <v>41.389027061675236</v>
      </c>
      <c r="P71" s="76">
        <f t="shared" si="61"/>
        <v>40.953881804945794</v>
      </c>
      <c r="Q71" s="76">
        <f t="shared" si="61"/>
        <v>40.513275004367067</v>
      </c>
      <c r="R71" s="76">
        <f t="shared" si="61"/>
        <v>40.070273137223687</v>
      </c>
      <c r="S71" s="76">
        <f t="shared" si="61"/>
        <v>39.629246021123009</v>
      </c>
      <c r="T71" s="76">
        <f t="shared" si="61"/>
        <v>39.194852887032475</v>
      </c>
      <c r="U71" s="76">
        <f t="shared" si="61"/>
        <v>38.770724766885593</v>
      </c>
      <c r="V71" s="76">
        <f t="shared" si="61"/>
        <v>38.358572822857788</v>
      </c>
      <c r="W71" s="76">
        <f t="shared" si="61"/>
        <v>37.958149779173439</v>
      </c>
      <c r="X71" s="76">
        <f t="shared" si="61"/>
        <v>37.567874180950994</v>
      </c>
      <c r="Y71" s="76">
        <f t="shared" si="61"/>
        <v>37.18561847751954</v>
      </c>
      <c r="Z71" s="76">
        <f t="shared" si="61"/>
        <v>36.809297103077064</v>
      </c>
      <c r="AA71" s="76">
        <f t="shared" si="61"/>
        <v>36.437162951517486</v>
      </c>
      <c r="AB71" s="76">
        <f t="shared" si="61"/>
        <v>36.067884155108416</v>
      </c>
      <c r="AC71" s="76">
        <f t="shared" si="61"/>
        <v>35.700505247520894</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2">A50</f>
        <v>Capex vehicle</v>
      </c>
      <c r="B74" s="65">
        <f>((1+B35)^B42)*B35/(((1+B35)^B42)-1)*(B31)/B47/(B44)</f>
        <v>1.0347449498978036E-3</v>
      </c>
      <c r="C74" s="65">
        <f t="shared" ref="C74:AC74" si="63">((1+C35)^C42)*C35/(((1+C35)^C42)-1)*(C31)/C47/(C44)</f>
        <v>1.0347449498978036E-3</v>
      </c>
      <c r="D74" s="65">
        <f t="shared" si="63"/>
        <v>1.0347449498978036E-3</v>
      </c>
      <c r="E74" s="65">
        <f t="shared" si="63"/>
        <v>1.0347449498978036E-3</v>
      </c>
      <c r="F74" s="65">
        <f t="shared" si="63"/>
        <v>1.0347449498978036E-3</v>
      </c>
      <c r="G74" s="65">
        <f t="shared" si="63"/>
        <v>1.0347449498978036E-3</v>
      </c>
      <c r="H74" s="65">
        <f t="shared" si="63"/>
        <v>1.0347449498978036E-3</v>
      </c>
      <c r="I74" s="65">
        <f t="shared" si="63"/>
        <v>1.0347449498978036E-3</v>
      </c>
      <c r="J74" s="65">
        <f t="shared" si="63"/>
        <v>1.0347449498978036E-3</v>
      </c>
      <c r="K74" s="65">
        <f t="shared" si="63"/>
        <v>1.0347449498978036E-3</v>
      </c>
      <c r="L74" s="65">
        <f t="shared" si="63"/>
        <v>1.0347449498978036E-3</v>
      </c>
      <c r="M74" s="65">
        <f t="shared" si="63"/>
        <v>1.0347449498978036E-3</v>
      </c>
      <c r="N74" s="65">
        <f t="shared" si="63"/>
        <v>1.0347449498978036E-3</v>
      </c>
      <c r="O74" s="65">
        <f t="shared" si="63"/>
        <v>1.0347449498978036E-3</v>
      </c>
      <c r="P74" s="65">
        <f t="shared" si="63"/>
        <v>1.0347449498978036E-3</v>
      </c>
      <c r="Q74" s="65">
        <f t="shared" si="63"/>
        <v>1.0347449498978036E-3</v>
      </c>
      <c r="R74" s="65">
        <f t="shared" si="63"/>
        <v>1.0347449498978036E-3</v>
      </c>
      <c r="S74" s="65">
        <f t="shared" si="63"/>
        <v>1.0347449498978036E-3</v>
      </c>
      <c r="T74" s="65">
        <f t="shared" si="63"/>
        <v>1.0347449498978036E-3</v>
      </c>
      <c r="U74" s="65">
        <f t="shared" si="63"/>
        <v>1.0347449498978036E-3</v>
      </c>
      <c r="V74" s="65">
        <f t="shared" si="63"/>
        <v>1.0347449498978036E-3</v>
      </c>
      <c r="W74" s="65">
        <f t="shared" si="63"/>
        <v>1.0347449498978036E-3</v>
      </c>
      <c r="X74" s="65">
        <f t="shared" si="63"/>
        <v>1.0347449498978036E-3</v>
      </c>
      <c r="Y74" s="65">
        <f t="shared" si="63"/>
        <v>1.0347449498978036E-3</v>
      </c>
      <c r="Z74" s="65">
        <f t="shared" si="63"/>
        <v>1.0347449498978036E-3</v>
      </c>
      <c r="AA74" s="65">
        <f t="shared" si="63"/>
        <v>1.0347449498978036E-3</v>
      </c>
      <c r="AB74" s="65">
        <f t="shared" si="63"/>
        <v>1.0347449498978036E-3</v>
      </c>
      <c r="AC74" s="65">
        <f t="shared" si="63"/>
        <v>1.0347449498978036E-3</v>
      </c>
    </row>
    <row r="75" spans="1:29" x14ac:dyDescent="0.25">
      <c r="A75" s="30" t="str">
        <f t="shared" si="62"/>
        <v>Residual value (vehicle)</v>
      </c>
      <c r="B75" s="68">
        <f>((1+B35)^B42)*B35/(((1+B35)^B42)-1)*(B32)/B47/(B44)</f>
        <v>-1.0336086682377807E-4</v>
      </c>
      <c r="C75" s="68">
        <f t="shared" ref="C75:AC75" si="64">((1+C35)^C42)*C35/(((1+C35)^C42)-1)*(C32)/C47/(C44)</f>
        <v>-1.0331170855999495E-4</v>
      </c>
      <c r="D75" s="68">
        <f t="shared" si="64"/>
        <v>-1.0324133960030145E-4</v>
      </c>
      <c r="E75" s="68">
        <f t="shared" si="64"/>
        <v>-1.0314067185489343E-4</v>
      </c>
      <c r="F75" s="68">
        <f t="shared" si="64"/>
        <v>-1.0299679543326449E-4</v>
      </c>
      <c r="G75" s="68">
        <f t="shared" si="64"/>
        <v>-1.0279145268661591E-4</v>
      </c>
      <c r="H75" s="68">
        <f t="shared" si="64"/>
        <v>-1.0249899423929835E-4</v>
      </c>
      <c r="I75" s="68">
        <f t="shared" si="64"/>
        <v>-1.0208374516854875E-4</v>
      </c>
      <c r="J75" s="68">
        <f t="shared" si="64"/>
        <v>-1.0149683050993223E-4</v>
      </c>
      <c r="K75" s="68">
        <f t="shared" si="64"/>
        <v>-1.0067281291805218E-4</v>
      </c>
      <c r="L75" s="68">
        <f t="shared" si="64"/>
        <v>-9.9527129337690295E-5</v>
      </c>
      <c r="M75" s="68">
        <f t="shared" si="64"/>
        <v>-9.7956440009122124E-5</v>
      </c>
      <c r="N75" s="68">
        <f t="shared" si="64"/>
        <v>-9.5845601859790468E-5</v>
      </c>
      <c r="O75" s="68">
        <f t="shared" si="64"/>
        <v>-9.3086328614673487E-5</v>
      </c>
      <c r="P75" s="68">
        <f t="shared" si="64"/>
        <v>-8.9611490340159677E-5</v>
      </c>
      <c r="Q75" s="68">
        <f t="shared" si="64"/>
        <v>-8.5441784155991385E-5</v>
      </c>
      <c r="R75" s="68">
        <f t="shared" si="64"/>
        <v>-8.0726790257955685E-5</v>
      </c>
      <c r="S75" s="68">
        <f t="shared" si="64"/>
        <v>-7.5749190544932557E-5</v>
      </c>
      <c r="T75" s="68">
        <f t="shared" si="64"/>
        <v>-7.086954068392259E-5</v>
      </c>
      <c r="U75" s="68">
        <f t="shared" si="64"/>
        <v>-6.6427494974906487E-5</v>
      </c>
      <c r="V75" s="68">
        <f t="shared" si="64"/>
        <v>-6.2652388681716054E-5</v>
      </c>
      <c r="W75" s="68">
        <f t="shared" si="64"/>
        <v>-5.9629204624102501E-5</v>
      </c>
      <c r="X75" s="68">
        <f t="shared" si="64"/>
        <v>-5.7322381009659713E-5</v>
      </c>
      <c r="Y75" s="68">
        <f t="shared" si="64"/>
        <v>-5.5626680645522941E-5</v>
      </c>
      <c r="Z75" s="68">
        <f t="shared" si="64"/>
        <v>-5.4414279416293167E-5</v>
      </c>
      <c r="AA75" s="68">
        <f t="shared" si="64"/>
        <v>-5.3564565201592909E-5</v>
      </c>
      <c r="AB75" s="68">
        <f t="shared" si="64"/>
        <v>-5.2977360451717727E-5</v>
      </c>
      <c r="AC75" s="68">
        <f t="shared" si="64"/>
        <v>-5.2575506979843073E-5</v>
      </c>
    </row>
    <row r="76" spans="1:29" x14ac:dyDescent="0.25">
      <c r="A76" s="30" t="str">
        <f t="shared" si="62"/>
        <v>Capex costumization</v>
      </c>
      <c r="B76" s="66">
        <f>((1+B35)^B43)*B35/(((1+B35)^B43)-1)*(B33)/B47/(B44)</f>
        <v>6.8982996659853576E-5</v>
      </c>
      <c r="C76" s="66">
        <f t="shared" ref="C76:AC76" si="65">((1+C35)^C43)*C35/(((1+C35)^C43)-1)*(C33)/C47/(C44)</f>
        <v>6.8982996659853576E-5</v>
      </c>
      <c r="D76" s="66">
        <f t="shared" si="65"/>
        <v>6.8982996659853576E-5</v>
      </c>
      <c r="E76" s="66">
        <f t="shared" si="65"/>
        <v>6.8982996659853576E-5</v>
      </c>
      <c r="F76" s="66">
        <f t="shared" si="65"/>
        <v>6.8982996659853576E-5</v>
      </c>
      <c r="G76" s="66">
        <f t="shared" si="65"/>
        <v>6.8982996659853576E-5</v>
      </c>
      <c r="H76" s="66">
        <f t="shared" si="65"/>
        <v>6.8982996659853576E-5</v>
      </c>
      <c r="I76" s="66">
        <f t="shared" si="65"/>
        <v>6.8982996659853576E-5</v>
      </c>
      <c r="J76" s="66">
        <f t="shared" si="65"/>
        <v>6.8982996659853576E-5</v>
      </c>
      <c r="K76" s="66">
        <f t="shared" si="65"/>
        <v>6.8982996659853576E-5</v>
      </c>
      <c r="L76" s="66">
        <f t="shared" si="65"/>
        <v>6.8982996659853576E-5</v>
      </c>
      <c r="M76" s="66">
        <f t="shared" si="65"/>
        <v>6.8982996659853576E-5</v>
      </c>
      <c r="N76" s="66">
        <f t="shared" si="65"/>
        <v>6.8982996659853576E-5</v>
      </c>
      <c r="O76" s="66">
        <f t="shared" si="65"/>
        <v>6.8982996659853576E-5</v>
      </c>
      <c r="P76" s="66">
        <f t="shared" si="65"/>
        <v>6.8982996659853576E-5</v>
      </c>
      <c r="Q76" s="66">
        <f t="shared" si="65"/>
        <v>6.8982996659853576E-5</v>
      </c>
      <c r="R76" s="66">
        <f t="shared" si="65"/>
        <v>6.8982996659853576E-5</v>
      </c>
      <c r="S76" s="66">
        <f t="shared" si="65"/>
        <v>6.8982996659853576E-5</v>
      </c>
      <c r="T76" s="66">
        <f t="shared" si="65"/>
        <v>6.8982996659853576E-5</v>
      </c>
      <c r="U76" s="66">
        <f t="shared" si="65"/>
        <v>6.8982996659853576E-5</v>
      </c>
      <c r="V76" s="66">
        <f t="shared" si="65"/>
        <v>6.8982996659853576E-5</v>
      </c>
      <c r="W76" s="66">
        <f t="shared" si="65"/>
        <v>6.8982996659853576E-5</v>
      </c>
      <c r="X76" s="66">
        <f t="shared" si="65"/>
        <v>6.8982996659853576E-5</v>
      </c>
      <c r="Y76" s="66">
        <f t="shared" si="65"/>
        <v>6.8982996659853576E-5</v>
      </c>
      <c r="Z76" s="66">
        <f t="shared" si="65"/>
        <v>6.8982996659853576E-5</v>
      </c>
      <c r="AA76" s="66">
        <f t="shared" si="65"/>
        <v>6.8982996659853576E-5</v>
      </c>
      <c r="AB76" s="66">
        <f t="shared" si="65"/>
        <v>6.8982996659853576E-5</v>
      </c>
      <c r="AC76" s="66">
        <f t="shared" si="65"/>
        <v>6.8982996659853576E-5</v>
      </c>
    </row>
    <row r="77" spans="1:29" x14ac:dyDescent="0.25">
      <c r="A77" s="30" t="str">
        <f t="shared" si="62"/>
        <v>Residual value (costumization)</v>
      </c>
      <c r="B77" s="69">
        <f>((1+B35)^B43)*B35/(((1+B35)^B43)-1)*(B34)/B47/(B44)</f>
        <v>-6.8982996659853564E-6</v>
      </c>
      <c r="C77" s="69">
        <f t="shared" ref="C77:AC77" si="66">((1+C35)^C43)*C35/(((1+C35)^C43)-1)*(C34)/C47/(C44)</f>
        <v>-6.8982996659853564E-6</v>
      </c>
      <c r="D77" s="69">
        <f t="shared" si="66"/>
        <v>-6.8982996659853564E-6</v>
      </c>
      <c r="E77" s="69">
        <f t="shared" si="66"/>
        <v>-6.8982996659853564E-6</v>
      </c>
      <c r="F77" s="69">
        <f t="shared" si="66"/>
        <v>-6.8982996659853564E-6</v>
      </c>
      <c r="G77" s="69">
        <f t="shared" si="66"/>
        <v>-6.8982996659853564E-6</v>
      </c>
      <c r="H77" s="69">
        <f t="shared" si="66"/>
        <v>-6.8982996659853564E-6</v>
      </c>
      <c r="I77" s="69">
        <f t="shared" si="66"/>
        <v>-6.8982996659853564E-6</v>
      </c>
      <c r="J77" s="69">
        <f t="shared" si="66"/>
        <v>-6.8982996659853564E-6</v>
      </c>
      <c r="K77" s="69">
        <f t="shared" si="66"/>
        <v>-6.8982996659853564E-6</v>
      </c>
      <c r="L77" s="69">
        <f t="shared" si="66"/>
        <v>-6.8982996659853564E-6</v>
      </c>
      <c r="M77" s="69">
        <f t="shared" si="66"/>
        <v>-6.8982996659853564E-6</v>
      </c>
      <c r="N77" s="69">
        <f t="shared" si="66"/>
        <v>-6.8982996659853564E-6</v>
      </c>
      <c r="O77" s="69">
        <f t="shared" si="66"/>
        <v>-6.8982996659853564E-6</v>
      </c>
      <c r="P77" s="69">
        <f t="shared" si="66"/>
        <v>-6.8982996659853564E-6</v>
      </c>
      <c r="Q77" s="69">
        <f t="shared" si="66"/>
        <v>-6.8982996659853564E-6</v>
      </c>
      <c r="R77" s="69">
        <f t="shared" si="66"/>
        <v>-6.8982996659853564E-6</v>
      </c>
      <c r="S77" s="69">
        <f t="shared" si="66"/>
        <v>-6.8982996659853564E-6</v>
      </c>
      <c r="T77" s="69">
        <f t="shared" si="66"/>
        <v>-6.8982996659853564E-6</v>
      </c>
      <c r="U77" s="69">
        <f t="shared" si="66"/>
        <v>-6.8982996659853564E-6</v>
      </c>
      <c r="V77" s="69">
        <f t="shared" si="66"/>
        <v>-6.8982996659853564E-6</v>
      </c>
      <c r="W77" s="69">
        <f t="shared" si="66"/>
        <v>-6.8982996659853564E-6</v>
      </c>
      <c r="X77" s="69">
        <f t="shared" si="66"/>
        <v>-6.8982996659853564E-6</v>
      </c>
      <c r="Y77" s="69">
        <f t="shared" si="66"/>
        <v>-6.8982996659853564E-6</v>
      </c>
      <c r="Z77" s="69">
        <f t="shared" si="66"/>
        <v>-6.8982996659853564E-6</v>
      </c>
      <c r="AA77" s="69">
        <f t="shared" si="66"/>
        <v>-6.8982996659853564E-6</v>
      </c>
      <c r="AB77" s="69">
        <f t="shared" si="66"/>
        <v>-6.8982996659853564E-6</v>
      </c>
      <c r="AC77" s="69">
        <f t="shared" si="66"/>
        <v>-6.8982996659853564E-6</v>
      </c>
    </row>
    <row r="78" spans="1:29" x14ac:dyDescent="0.25">
      <c r="A78" s="30" t="str">
        <f t="shared" si="62"/>
        <v>Opex fix (admin, crew, insurance)</v>
      </c>
      <c r="B78" s="66">
        <f>B36/B47/(B44)</f>
        <v>1.0654632223259673E-3</v>
      </c>
      <c r="C78" s="66">
        <f t="shared" ref="C78:AC78" si="67">C36/C47/(C44)</f>
        <v>1.0654632223259673E-3</v>
      </c>
      <c r="D78" s="66">
        <f t="shared" si="67"/>
        <v>1.0654632223259673E-3</v>
      </c>
      <c r="E78" s="66">
        <f t="shared" si="67"/>
        <v>1.0654632223259673E-3</v>
      </c>
      <c r="F78" s="66">
        <f t="shared" si="67"/>
        <v>1.0654632223259673E-3</v>
      </c>
      <c r="G78" s="66">
        <f t="shared" si="67"/>
        <v>1.0654632223259673E-3</v>
      </c>
      <c r="H78" s="66">
        <f t="shared" si="67"/>
        <v>1.0654632223259673E-3</v>
      </c>
      <c r="I78" s="66">
        <f t="shared" si="67"/>
        <v>1.0654632223259673E-3</v>
      </c>
      <c r="J78" s="66">
        <f t="shared" si="67"/>
        <v>1.0654632223259673E-3</v>
      </c>
      <c r="K78" s="66">
        <f t="shared" si="67"/>
        <v>1.0654632223259673E-3</v>
      </c>
      <c r="L78" s="66">
        <f t="shared" si="67"/>
        <v>1.0654632223259673E-3</v>
      </c>
      <c r="M78" s="66">
        <f t="shared" si="67"/>
        <v>1.0654632223259673E-3</v>
      </c>
      <c r="N78" s="66">
        <f t="shared" si="67"/>
        <v>1.0654632223259673E-3</v>
      </c>
      <c r="O78" s="66">
        <f t="shared" si="67"/>
        <v>1.0654632223259673E-3</v>
      </c>
      <c r="P78" s="66">
        <f t="shared" si="67"/>
        <v>1.0654632223259673E-3</v>
      </c>
      <c r="Q78" s="66">
        <f t="shared" si="67"/>
        <v>1.0654632223259673E-3</v>
      </c>
      <c r="R78" s="66">
        <f t="shared" si="67"/>
        <v>1.0654632223259673E-3</v>
      </c>
      <c r="S78" s="66">
        <f t="shared" si="67"/>
        <v>1.0654632223259673E-3</v>
      </c>
      <c r="T78" s="66">
        <f t="shared" si="67"/>
        <v>1.0654632223259673E-3</v>
      </c>
      <c r="U78" s="66">
        <f t="shared" si="67"/>
        <v>1.0654632223259673E-3</v>
      </c>
      <c r="V78" s="66">
        <f t="shared" si="67"/>
        <v>1.0654632223259673E-3</v>
      </c>
      <c r="W78" s="66">
        <f t="shared" si="67"/>
        <v>1.0654632223259673E-3</v>
      </c>
      <c r="X78" s="66">
        <f t="shared" si="67"/>
        <v>1.0654632223259673E-3</v>
      </c>
      <c r="Y78" s="66">
        <f t="shared" si="67"/>
        <v>1.0654632223259673E-3</v>
      </c>
      <c r="Z78" s="66">
        <f t="shared" si="67"/>
        <v>1.0654632223259673E-3</v>
      </c>
      <c r="AA78" s="66">
        <f t="shared" si="67"/>
        <v>1.0654632223259673E-3</v>
      </c>
      <c r="AB78" s="66">
        <f t="shared" si="67"/>
        <v>1.0654632223259673E-3</v>
      </c>
      <c r="AC78" s="66">
        <f t="shared" si="67"/>
        <v>1.0654632223259673E-3</v>
      </c>
    </row>
    <row r="79" spans="1:29" x14ac:dyDescent="0.25">
      <c r="A79" s="30" t="str">
        <f t="shared" si="62"/>
        <v>Opex maintenance &amp; repair</v>
      </c>
      <c r="B79" s="66">
        <f>B37/B47/(B44)</f>
        <v>4.305425874053325E-4</v>
      </c>
      <c r="C79" s="66">
        <f t="shared" ref="C79:AC79" si="68">C37/C47/(C44)</f>
        <v>4.305425874053325E-4</v>
      </c>
      <c r="D79" s="66">
        <f t="shared" si="68"/>
        <v>4.305425874053325E-4</v>
      </c>
      <c r="E79" s="66">
        <f t="shared" si="68"/>
        <v>4.305425874053325E-4</v>
      </c>
      <c r="F79" s="66">
        <f t="shared" si="68"/>
        <v>4.305425874053325E-4</v>
      </c>
      <c r="G79" s="66">
        <f t="shared" si="68"/>
        <v>4.305425874053325E-4</v>
      </c>
      <c r="H79" s="66">
        <f t="shared" si="68"/>
        <v>4.305425874053325E-4</v>
      </c>
      <c r="I79" s="66">
        <f t="shared" si="68"/>
        <v>4.305425874053325E-4</v>
      </c>
      <c r="J79" s="66">
        <f t="shared" si="68"/>
        <v>4.305425874053325E-4</v>
      </c>
      <c r="K79" s="66">
        <f t="shared" si="68"/>
        <v>4.305425874053325E-4</v>
      </c>
      <c r="L79" s="66">
        <f t="shared" si="68"/>
        <v>4.305425874053325E-4</v>
      </c>
      <c r="M79" s="66">
        <f t="shared" si="68"/>
        <v>4.305425874053325E-4</v>
      </c>
      <c r="N79" s="66">
        <f t="shared" si="68"/>
        <v>4.305425874053325E-4</v>
      </c>
      <c r="O79" s="66">
        <f t="shared" si="68"/>
        <v>4.305425874053325E-4</v>
      </c>
      <c r="P79" s="66">
        <f t="shared" si="68"/>
        <v>4.305425874053325E-4</v>
      </c>
      <c r="Q79" s="66">
        <f t="shared" si="68"/>
        <v>4.305425874053325E-4</v>
      </c>
      <c r="R79" s="66">
        <f t="shared" si="68"/>
        <v>4.305425874053325E-4</v>
      </c>
      <c r="S79" s="66">
        <f t="shared" si="68"/>
        <v>4.305425874053325E-4</v>
      </c>
      <c r="T79" s="66">
        <f t="shared" si="68"/>
        <v>4.305425874053325E-4</v>
      </c>
      <c r="U79" s="66">
        <f t="shared" si="68"/>
        <v>4.305425874053325E-4</v>
      </c>
      <c r="V79" s="66">
        <f t="shared" si="68"/>
        <v>4.305425874053325E-4</v>
      </c>
      <c r="W79" s="66">
        <f t="shared" si="68"/>
        <v>4.305425874053325E-4</v>
      </c>
      <c r="X79" s="66">
        <f t="shared" si="68"/>
        <v>4.305425874053325E-4</v>
      </c>
      <c r="Y79" s="66">
        <f t="shared" si="68"/>
        <v>4.305425874053325E-4</v>
      </c>
      <c r="Z79" s="66">
        <f t="shared" si="68"/>
        <v>4.305425874053325E-4</v>
      </c>
      <c r="AA79" s="66">
        <f t="shared" si="68"/>
        <v>4.305425874053325E-4</v>
      </c>
      <c r="AB79" s="66">
        <f t="shared" si="68"/>
        <v>4.305425874053325E-4</v>
      </c>
      <c r="AC79" s="66">
        <f t="shared" si="68"/>
        <v>4.305425874053325E-4</v>
      </c>
    </row>
    <row r="80" spans="1:29" x14ac:dyDescent="0.25">
      <c r="A80" s="30" t="str">
        <f t="shared" si="62"/>
        <v>Opex var (mode-fees)</v>
      </c>
      <c r="B80" s="66">
        <f>B38*B47/B47/(B44)</f>
        <v>8.9502842587904882E-5</v>
      </c>
      <c r="C80" s="66">
        <f t="shared" ref="C80:AC80" si="69">C38*C47/C47/(C44)</f>
        <v>8.9502842587904882E-5</v>
      </c>
      <c r="D80" s="66">
        <f t="shared" si="69"/>
        <v>8.9502842587904882E-5</v>
      </c>
      <c r="E80" s="66">
        <f t="shared" si="69"/>
        <v>8.9502842587904882E-5</v>
      </c>
      <c r="F80" s="66">
        <f t="shared" si="69"/>
        <v>8.9502842587904882E-5</v>
      </c>
      <c r="G80" s="66">
        <f t="shared" si="69"/>
        <v>8.9502842587904882E-5</v>
      </c>
      <c r="H80" s="66">
        <f t="shared" si="69"/>
        <v>8.9502842587904882E-5</v>
      </c>
      <c r="I80" s="66">
        <f t="shared" si="69"/>
        <v>8.9502842587904882E-5</v>
      </c>
      <c r="J80" s="66">
        <f t="shared" si="69"/>
        <v>8.9502842587904882E-5</v>
      </c>
      <c r="K80" s="66">
        <f t="shared" si="69"/>
        <v>8.9502842587904882E-5</v>
      </c>
      <c r="L80" s="66">
        <f t="shared" si="69"/>
        <v>8.9502842587904882E-5</v>
      </c>
      <c r="M80" s="66">
        <f t="shared" si="69"/>
        <v>8.9502842587904882E-5</v>
      </c>
      <c r="N80" s="66">
        <f t="shared" si="69"/>
        <v>8.9502842587904882E-5</v>
      </c>
      <c r="O80" s="66">
        <f t="shared" si="69"/>
        <v>8.9502842587904882E-5</v>
      </c>
      <c r="P80" s="66">
        <f t="shared" si="69"/>
        <v>8.9502842587904882E-5</v>
      </c>
      <c r="Q80" s="66">
        <f t="shared" si="69"/>
        <v>8.9502842587904882E-5</v>
      </c>
      <c r="R80" s="66">
        <f t="shared" si="69"/>
        <v>8.9502842587904882E-5</v>
      </c>
      <c r="S80" s="66">
        <f t="shared" si="69"/>
        <v>8.9502842587904882E-5</v>
      </c>
      <c r="T80" s="66">
        <f t="shared" si="69"/>
        <v>8.9502842587904882E-5</v>
      </c>
      <c r="U80" s="66">
        <f t="shared" si="69"/>
        <v>8.9502842587904882E-5</v>
      </c>
      <c r="V80" s="66">
        <f t="shared" si="69"/>
        <v>8.9502842587904882E-5</v>
      </c>
      <c r="W80" s="66">
        <f t="shared" si="69"/>
        <v>8.9502842587904882E-5</v>
      </c>
      <c r="X80" s="66">
        <f t="shared" si="69"/>
        <v>8.9502842587904882E-5</v>
      </c>
      <c r="Y80" s="66">
        <f t="shared" si="69"/>
        <v>8.9502842587904882E-5</v>
      </c>
      <c r="Z80" s="66">
        <f t="shared" si="69"/>
        <v>8.9502842587904882E-5</v>
      </c>
      <c r="AA80" s="66">
        <f t="shared" si="69"/>
        <v>8.9502842587904882E-5</v>
      </c>
      <c r="AB80" s="66">
        <f t="shared" si="69"/>
        <v>8.9502842587904882E-5</v>
      </c>
      <c r="AC80" s="66">
        <f t="shared" si="69"/>
        <v>8.9502842587904882E-5</v>
      </c>
    </row>
    <row r="81" spans="1:29" x14ac:dyDescent="0.25">
      <c r="A81" s="30" t="str">
        <f t="shared" si="62"/>
        <v>Fuel Cost</v>
      </c>
      <c r="B81" s="66">
        <f>B39*B40*B47/B47/(B44)</f>
        <v>3.9670353002494918E-3</v>
      </c>
      <c r="C81" s="66">
        <f t="shared" ref="C81:AC81" si="70">C39*C40*C47/C47/(C44)</f>
        <v>3.6931916895373094E-3</v>
      </c>
      <c r="D81" s="66">
        <f t="shared" si="70"/>
        <v>3.4192839876304795E-3</v>
      </c>
      <c r="E81" s="66">
        <f t="shared" si="70"/>
        <v>3.1452964880607538E-3</v>
      </c>
      <c r="F81" s="66">
        <f t="shared" si="70"/>
        <v>2.8712120334092352E-3</v>
      </c>
      <c r="G81" s="66">
        <f t="shared" si="70"/>
        <v>2.597013787393953E-3</v>
      </c>
      <c r="H81" s="66">
        <f t="shared" si="70"/>
        <v>2.3226888329275232E-3</v>
      </c>
      <c r="I81" s="66">
        <f t="shared" si="70"/>
        <v>2.0482347822752007E-3</v>
      </c>
      <c r="J81" s="66">
        <f t="shared" si="70"/>
        <v>2.0051254426822185E-3</v>
      </c>
      <c r="K81" s="66">
        <f t="shared" si="70"/>
        <v>1.9614289975816621E-3</v>
      </c>
      <c r="L81" s="66">
        <f t="shared" si="70"/>
        <v>1.9169580533107628E-3</v>
      </c>
      <c r="M81" s="66">
        <f t="shared" si="70"/>
        <v>1.8714952165904367E-3</v>
      </c>
      <c r="N81" s="66">
        <f t="shared" si="70"/>
        <v>1.8248166299813073E-3</v>
      </c>
      <c r="O81" s="66">
        <f t="shared" si="70"/>
        <v>1.7767426535295226E-3</v>
      </c>
      <c r="P81" s="66">
        <f t="shared" si="70"/>
        <v>1.7272206981407826E-3</v>
      </c>
      <c r="Q81" s="66">
        <f t="shared" si="70"/>
        <v>1.6764259336943151E-3</v>
      </c>
      <c r="R81" s="66">
        <f t="shared" si="70"/>
        <v>1.6248324353366624E-3</v>
      </c>
      <c r="S81" s="66">
        <f t="shared" si="70"/>
        <v>1.5731852995283298E-3</v>
      </c>
      <c r="T81" s="66">
        <f t="shared" si="70"/>
        <v>1.5223381222503319E-3</v>
      </c>
      <c r="U81" s="66">
        <f t="shared" si="70"/>
        <v>1.4730147939860906E-3</v>
      </c>
      <c r="V81" s="66">
        <f t="shared" si="70"/>
        <v>1.4256257253619149E-3</v>
      </c>
      <c r="W81" s="66">
        <f t="shared" si="70"/>
        <v>1.3802297324488149E-3</v>
      </c>
      <c r="X81" s="66">
        <f t="shared" si="70"/>
        <v>1.3366239037314685E-3</v>
      </c>
      <c r="Y81" s="66">
        <f t="shared" si="70"/>
        <v>1.2944778643798752E-3</v>
      </c>
      <c r="Z81" s="66">
        <f t="shared" si="70"/>
        <v>1.2534430954847752E-3</v>
      </c>
      <c r="AA81" s="66">
        <f t="shared" si="70"/>
        <v>1.2132141059727651E-3</v>
      </c>
      <c r="AB81" s="66">
        <f t="shared" si="70"/>
        <v>1.1735497799097608E-3</v>
      </c>
      <c r="AC81" s="66">
        <f t="shared" si="70"/>
        <v>1.1342718515609E-3</v>
      </c>
    </row>
    <row r="82" spans="1:29" x14ac:dyDescent="0.25">
      <c r="A82" s="59" t="str">
        <f>A45</f>
        <v>Market failure (av. utilization)</v>
      </c>
      <c r="B82" s="66">
        <f t="shared" ref="B82:AC82" si="71">B71/B45-B71/B44</f>
        <v>3.0869690973969691E-3</v>
      </c>
      <c r="C82" s="66">
        <f t="shared" si="71"/>
        <v>2.9581246491859571E-3</v>
      </c>
      <c r="D82" s="66">
        <f t="shared" si="71"/>
        <v>2.8292600219167168E-3</v>
      </c>
      <c r="E82" s="66">
        <f t="shared" si="71"/>
        <v>2.7003721010582142E-3</v>
      </c>
      <c r="F82" s="66">
        <f t="shared" si="71"/>
        <v>2.5714588877735608E-3</v>
      </c>
      <c r="G82" s="66">
        <f t="shared" si="71"/>
        <v>2.4425210509412629E-3</v>
      </c>
      <c r="H82" s="66">
        <f t="shared" si="71"/>
        <v>2.3135645822263858E-3</v>
      </c>
      <c r="I82" s="66">
        <f t="shared" si="71"/>
        <v>2.1846051461879993E-3</v>
      </c>
      <c r="J82" s="66">
        <f t="shared" si="71"/>
        <v>2.1645945932777088E-3</v>
      </c>
      <c r="K82" s="66">
        <f t="shared" si="71"/>
        <v>2.1444193332736264E-3</v>
      </c>
      <c r="L82" s="66">
        <f t="shared" si="71"/>
        <v>2.1240309753016084E-3</v>
      </c>
      <c r="M82" s="66">
        <f t="shared" si="71"/>
        <v>2.1033758471172516E-3</v>
      </c>
      <c r="N82" s="66">
        <f t="shared" si="71"/>
        <v>2.0824027890185238E-3</v>
      </c>
      <c r="O82" s="66">
        <f t="shared" si="71"/>
        <v>2.0610782228036211E-3</v>
      </c>
      <c r="P82" s="66">
        <f t="shared" si="71"/>
        <v>2.0394089912204559E-3</v>
      </c>
      <c r="Q82" s="66">
        <f t="shared" si="71"/>
        <v>2.017467787332315E-3</v>
      </c>
      <c r="R82" s="66">
        <f t="shared" si="71"/>
        <v>1.9954073146454367E-3</v>
      </c>
      <c r="S82" s="66">
        <f t="shared" si="71"/>
        <v>1.9734451800123495E-3</v>
      </c>
      <c r="T82" s="66">
        <f t="shared" si="71"/>
        <v>1.9518134024043548E-3</v>
      </c>
      <c r="U82" s="66">
        <f t="shared" si="71"/>
        <v>1.9306927988489552E-3</v>
      </c>
      <c r="V82" s="66">
        <f t="shared" si="71"/>
        <v>1.910168581281433E-3</v>
      </c>
      <c r="W82" s="66">
        <f t="shared" si="71"/>
        <v>1.8902284359376739E-3</v>
      </c>
      <c r="X82" s="66">
        <f t="shared" si="71"/>
        <v>1.8707936100068956E-3</v>
      </c>
      <c r="Y82" s="66">
        <f t="shared" si="71"/>
        <v>1.85175815636574E-3</v>
      </c>
      <c r="Z82" s="66">
        <f t="shared" si="71"/>
        <v>1.8330182186406252E-3</v>
      </c>
      <c r="AA82" s="66">
        <f t="shared" si="71"/>
        <v>1.8144867949713025E-3</v>
      </c>
      <c r="AB82" s="66">
        <f t="shared" si="71"/>
        <v>1.7960975614121828E-3</v>
      </c>
      <c r="AC82" s="66">
        <f t="shared" si="71"/>
        <v>1.7778029379406598E-3</v>
      </c>
    </row>
    <row r="83" spans="1:29" x14ac:dyDescent="0.25">
      <c r="A83" s="59" t="str">
        <f>A46</f>
        <v>Payload loss (fuel)</v>
      </c>
      <c r="B83" s="66">
        <f>B71/(B44-B46)-B71/B44</f>
        <v>0</v>
      </c>
      <c r="C83" s="66">
        <f t="shared" ref="C83:AC83" si="72">C71/(C44-C46)-C71/C44</f>
        <v>0</v>
      </c>
      <c r="D83" s="66">
        <f t="shared" si="72"/>
        <v>0</v>
      </c>
      <c r="E83" s="66">
        <f t="shared" si="72"/>
        <v>0</v>
      </c>
      <c r="F83" s="66">
        <f t="shared" si="72"/>
        <v>0</v>
      </c>
      <c r="G83" s="66">
        <f t="shared" si="72"/>
        <v>0</v>
      </c>
      <c r="H83" s="66">
        <f t="shared" si="72"/>
        <v>0</v>
      </c>
      <c r="I83" s="66">
        <f t="shared" si="72"/>
        <v>0</v>
      </c>
      <c r="J83" s="66">
        <f t="shared" si="72"/>
        <v>0</v>
      </c>
      <c r="K83" s="66">
        <f t="shared" si="72"/>
        <v>0</v>
      </c>
      <c r="L83" s="66">
        <f t="shared" si="72"/>
        <v>0</v>
      </c>
      <c r="M83" s="66">
        <f t="shared" si="72"/>
        <v>0</v>
      </c>
      <c r="N83" s="66">
        <f t="shared" si="72"/>
        <v>0</v>
      </c>
      <c r="O83" s="66">
        <f t="shared" si="72"/>
        <v>0</v>
      </c>
      <c r="P83" s="66">
        <f t="shared" si="72"/>
        <v>0</v>
      </c>
      <c r="Q83" s="66">
        <f t="shared" si="72"/>
        <v>0</v>
      </c>
      <c r="R83" s="66">
        <f t="shared" si="72"/>
        <v>0</v>
      </c>
      <c r="S83" s="66">
        <f t="shared" si="72"/>
        <v>0</v>
      </c>
      <c r="T83" s="66">
        <f t="shared" si="72"/>
        <v>0</v>
      </c>
      <c r="U83" s="66">
        <f t="shared" si="72"/>
        <v>0</v>
      </c>
      <c r="V83" s="66">
        <f t="shared" si="72"/>
        <v>0</v>
      </c>
      <c r="W83" s="66">
        <f t="shared" si="72"/>
        <v>0</v>
      </c>
      <c r="X83" s="66">
        <f t="shared" si="72"/>
        <v>0</v>
      </c>
      <c r="Y83" s="66">
        <f t="shared" si="72"/>
        <v>0</v>
      </c>
      <c r="Z83" s="66">
        <f t="shared" si="72"/>
        <v>0</v>
      </c>
      <c r="AA83" s="66">
        <f t="shared" si="72"/>
        <v>0</v>
      </c>
      <c r="AB83" s="66">
        <f t="shared" si="72"/>
        <v>0</v>
      </c>
      <c r="AC83" s="66">
        <f t="shared" si="72"/>
        <v>0</v>
      </c>
    </row>
    <row r="84" spans="1:29" ht="15.75" thickBot="1" x14ac:dyDescent="0.3">
      <c r="A84" s="59" t="str">
        <f>A21</f>
        <v>Emission Cost</v>
      </c>
      <c r="B84" s="68">
        <f>B41*B47/B47/(B44)</f>
        <v>0</v>
      </c>
      <c r="C84" s="68">
        <f t="shared" ref="C84:AC84" si="73">C41*C47/C47/(C44)</f>
        <v>0</v>
      </c>
      <c r="D84" s="68">
        <f t="shared" si="73"/>
        <v>0</v>
      </c>
      <c r="E84" s="68">
        <f t="shared" si="73"/>
        <v>0</v>
      </c>
      <c r="F84" s="68">
        <f t="shared" si="73"/>
        <v>0</v>
      </c>
      <c r="G84" s="68">
        <f t="shared" si="73"/>
        <v>0</v>
      </c>
      <c r="H84" s="68">
        <f t="shared" si="73"/>
        <v>0</v>
      </c>
      <c r="I84" s="68">
        <f t="shared" si="73"/>
        <v>0</v>
      </c>
      <c r="J84" s="68">
        <f t="shared" si="73"/>
        <v>0</v>
      </c>
      <c r="K84" s="68">
        <f t="shared" si="73"/>
        <v>0</v>
      </c>
      <c r="L84" s="68">
        <f t="shared" si="73"/>
        <v>0</v>
      </c>
      <c r="M84" s="68">
        <f t="shared" si="73"/>
        <v>0</v>
      </c>
      <c r="N84" s="68">
        <f t="shared" si="73"/>
        <v>0</v>
      </c>
      <c r="O84" s="68">
        <f t="shared" si="73"/>
        <v>0</v>
      </c>
      <c r="P84" s="68">
        <f t="shared" si="73"/>
        <v>0</v>
      </c>
      <c r="Q84" s="68">
        <f t="shared" si="73"/>
        <v>0</v>
      </c>
      <c r="R84" s="68">
        <f t="shared" si="73"/>
        <v>0</v>
      </c>
      <c r="S84" s="68">
        <f t="shared" si="73"/>
        <v>0</v>
      </c>
      <c r="T84" s="68">
        <f t="shared" si="73"/>
        <v>0</v>
      </c>
      <c r="U84" s="68">
        <f t="shared" si="73"/>
        <v>0</v>
      </c>
      <c r="V84" s="68">
        <f t="shared" si="73"/>
        <v>0</v>
      </c>
      <c r="W84" s="68">
        <f t="shared" si="73"/>
        <v>0</v>
      </c>
      <c r="X84" s="68">
        <f t="shared" si="73"/>
        <v>0</v>
      </c>
      <c r="Y84" s="68">
        <f t="shared" si="73"/>
        <v>0</v>
      </c>
      <c r="Z84" s="68">
        <f t="shared" si="73"/>
        <v>0</v>
      </c>
      <c r="AA84" s="68">
        <f t="shared" si="73"/>
        <v>0</v>
      </c>
      <c r="AB84" s="68">
        <f t="shared" si="73"/>
        <v>0</v>
      </c>
      <c r="AC84" s="68">
        <f t="shared" si="73"/>
        <v>0</v>
      </c>
    </row>
    <row r="85" spans="1:29" ht="15.75" thickBot="1" x14ac:dyDescent="0.3">
      <c r="A85" s="31" t="s">
        <v>210</v>
      </c>
      <c r="B85" s="77">
        <f>B74+B75+B76+B77+B78+B79+B80+B81+B82+B83+B84</f>
        <v>9.6329818300335598E-3</v>
      </c>
      <c r="C85" s="77">
        <f t="shared" ref="C85:AC85" si="74">C74+C75+C76+C77+C78+C79+C80+C81+C82+C83+C84</f>
        <v>9.2303429293741478E-3</v>
      </c>
      <c r="D85" s="77">
        <f t="shared" si="74"/>
        <v>8.8276409691577726E-3</v>
      </c>
      <c r="E85" s="77">
        <f t="shared" si="74"/>
        <v>8.4248662164749522E-3</v>
      </c>
      <c r="F85" s="77">
        <f t="shared" si="74"/>
        <v>8.0220124249604091E-3</v>
      </c>
      <c r="G85" s="77">
        <f t="shared" si="74"/>
        <v>7.6190816848594762E-3</v>
      </c>
      <c r="H85" s="77">
        <f t="shared" si="74"/>
        <v>7.2160927201254874E-3</v>
      </c>
      <c r="I85" s="77">
        <f t="shared" si="74"/>
        <v>6.8130944825055282E-3</v>
      </c>
      <c r="J85" s="77">
        <f t="shared" si="74"/>
        <v>6.7505615046608717E-3</v>
      </c>
      <c r="K85" s="77">
        <f t="shared" si="74"/>
        <v>6.687513817148113E-3</v>
      </c>
      <c r="L85" s="77">
        <f t="shared" si="74"/>
        <v>6.6238001984855579E-3</v>
      </c>
      <c r="M85" s="77">
        <f t="shared" si="74"/>
        <v>6.5592529229094422E-3</v>
      </c>
      <c r="N85" s="77">
        <f t="shared" si="74"/>
        <v>6.4937121163509172E-3</v>
      </c>
      <c r="O85" s="77">
        <f t="shared" si="74"/>
        <v>6.4270728469293468E-3</v>
      </c>
      <c r="P85" s="77">
        <f t="shared" si="74"/>
        <v>6.3593564982319557E-3</v>
      </c>
      <c r="Q85" s="77">
        <f t="shared" si="74"/>
        <v>6.2907902360815155E-3</v>
      </c>
      <c r="R85" s="77">
        <f t="shared" si="74"/>
        <v>6.2218512589350197E-3</v>
      </c>
      <c r="S85" s="77">
        <f t="shared" si="74"/>
        <v>6.1532195882066229E-3</v>
      </c>
      <c r="T85" s="77">
        <f t="shared" si="74"/>
        <v>6.0856202831816404E-3</v>
      </c>
      <c r="U85" s="77">
        <f t="shared" si="74"/>
        <v>6.0196183970710158E-3</v>
      </c>
      <c r="V85" s="77">
        <f t="shared" si="74"/>
        <v>5.9554802171725083E-3</v>
      </c>
      <c r="W85" s="77">
        <f t="shared" si="74"/>
        <v>5.8931672629732625E-3</v>
      </c>
      <c r="X85" s="77">
        <f t="shared" si="74"/>
        <v>5.832433431939581E-3</v>
      </c>
      <c r="Y85" s="77">
        <f t="shared" si="74"/>
        <v>5.7729476393109692E-3</v>
      </c>
      <c r="Z85" s="77">
        <f t="shared" si="74"/>
        <v>5.7143853339199843E-3</v>
      </c>
      <c r="AA85" s="77">
        <f t="shared" si="74"/>
        <v>5.6564746349533519E-3</v>
      </c>
      <c r="AB85" s="77">
        <f t="shared" si="74"/>
        <v>5.5990082800811023E-3</v>
      </c>
      <c r="AC85" s="77">
        <f t="shared" si="74"/>
        <v>5.5418375817325935E-3</v>
      </c>
    </row>
    <row r="87" spans="1:29" x14ac:dyDescent="0.25">
      <c r="B87" s="40"/>
    </row>
    <row r="107" spans="1:2" s="3" customFormat="1" ht="21" x14ac:dyDescent="0.35">
      <c r="A107" s="2" t="str">
        <f>'Parameter Input'!A223</f>
        <v>Short-sea: Container</v>
      </c>
    </row>
    <row r="108" spans="1:2" s="3" customFormat="1" ht="21" x14ac:dyDescent="0.35">
      <c r="A108" s="2" t="s">
        <v>279</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Input'!$L$212</f>
        <v>15000000</v>
      </c>
      <c r="C117" s="42">
        <f>'Parameter Input'!$M$212</f>
        <v>15000000</v>
      </c>
      <c r="D117" s="1" t="s">
        <v>15</v>
      </c>
      <c r="L117" s="51">
        <f>'Parameter Input'!$O$212</f>
        <v>17</v>
      </c>
      <c r="M117" s="52">
        <v>0</v>
      </c>
      <c r="N117" s="52">
        <v>1</v>
      </c>
      <c r="O117" s="52">
        <f>'Parameter Input'!$P$212</f>
        <v>0.9</v>
      </c>
      <c r="P117" s="53">
        <f>'Parameter Input'!$Q$212</f>
        <v>0.4</v>
      </c>
      <c r="Q117" s="4">
        <f t="shared" ref="Q117:AR126" si="75">$N117+($M117-$N117)*((1/(1+EXP(-$P117*(Q$9-$L117)))^$O117))</f>
        <v>0.99780374543478534</v>
      </c>
      <c r="R117" s="4">
        <f t="shared" si="75"/>
        <v>0.99685359315256394</v>
      </c>
      <c r="S117" s="4">
        <f t="shared" si="75"/>
        <v>0.99549347132349975</v>
      </c>
      <c r="T117" s="4">
        <f t="shared" si="75"/>
        <v>0.99354772139898062</v>
      </c>
      <c r="U117" s="4">
        <f t="shared" si="75"/>
        <v>0.99076681540580536</v>
      </c>
      <c r="V117" s="4">
        <f t="shared" si="75"/>
        <v>0.9867978615748374</v>
      </c>
      <c r="W117" s="4">
        <f t="shared" si="75"/>
        <v>0.98114509762858249</v>
      </c>
      <c r="X117" s="4">
        <f t="shared" si="75"/>
        <v>0.97311898315872036</v>
      </c>
      <c r="Y117" s="4">
        <f t="shared" si="75"/>
        <v>0.96177484161592774</v>
      </c>
      <c r="Z117" s="4">
        <f t="shared" si="75"/>
        <v>0.94584787155511363</v>
      </c>
      <c r="AA117" s="4">
        <f t="shared" si="75"/>
        <v>0.92370360150141495</v>
      </c>
      <c r="AB117" s="4">
        <f t="shared" si="75"/>
        <v>0.89334463567658451</v>
      </c>
      <c r="AC117" s="4">
        <f t="shared" si="75"/>
        <v>0.85254543874327005</v>
      </c>
      <c r="AD117" s="4">
        <f t="shared" si="75"/>
        <v>0.79921300652623883</v>
      </c>
      <c r="AE117" s="4">
        <f t="shared" si="75"/>
        <v>0.73204982249993378</v>
      </c>
      <c r="AF117" s="4">
        <f t="shared" si="75"/>
        <v>0.65145592958786691</v>
      </c>
      <c r="AG117" s="4">
        <f t="shared" si="75"/>
        <v>0.56032247880849573</v>
      </c>
      <c r="AH117" s="4">
        <f t="shared" si="75"/>
        <v>0.46411326873185343</v>
      </c>
      <c r="AI117" s="4">
        <f t="shared" si="75"/>
        <v>0.36979727595523937</v>
      </c>
      <c r="AJ117" s="4">
        <f t="shared" si="75"/>
        <v>0.28393948637231203</v>
      </c>
      <c r="AK117" s="4">
        <f t="shared" si="75"/>
        <v>0.21097259161117732</v>
      </c>
      <c r="AL117" s="4">
        <f t="shared" si="75"/>
        <v>0.15253917653798199</v>
      </c>
      <c r="AM117" s="4">
        <f t="shared" si="75"/>
        <v>0.10795188737709993</v>
      </c>
      <c r="AN117" s="4">
        <f t="shared" si="75"/>
        <v>7.5176653938091809E-2</v>
      </c>
      <c r="AO117" s="4">
        <f t="shared" si="75"/>
        <v>5.1742836177502194E-2</v>
      </c>
      <c r="AP117" s="4">
        <f t="shared" si="75"/>
        <v>3.5319190625345942E-2</v>
      </c>
      <c r="AQ117" s="4">
        <f t="shared" si="75"/>
        <v>2.3969442072658165E-2</v>
      </c>
      <c r="AR117" s="4">
        <f t="shared" si="75"/>
        <v>1.6202243558389728E-2</v>
      </c>
    </row>
    <row r="118" spans="1:44" x14ac:dyDescent="0.25">
      <c r="A118" s="24" t="s">
        <v>28</v>
      </c>
      <c r="B118" s="60">
        <f>'Parameter Input'!$L$213</f>
        <v>-1500000</v>
      </c>
      <c r="C118" s="61">
        <f>'Parameter Input'!$M$213</f>
        <v>-750000</v>
      </c>
      <c r="D118" s="1" t="s">
        <v>15</v>
      </c>
      <c r="L118" s="54">
        <f>'Parameter Input'!$O$213</f>
        <v>17</v>
      </c>
      <c r="M118" s="37">
        <v>0</v>
      </c>
      <c r="N118" s="37">
        <v>1</v>
      </c>
      <c r="O118" s="37">
        <f>'Parameter Input'!$P$213</f>
        <v>0.9</v>
      </c>
      <c r="P118" s="55">
        <f>'Parameter Input'!$Q$213</f>
        <v>0.4</v>
      </c>
      <c r="Q118" s="4">
        <f t="shared" si="75"/>
        <v>0.99780374543478534</v>
      </c>
      <c r="R118" s="4">
        <f t="shared" si="75"/>
        <v>0.99685359315256394</v>
      </c>
      <c r="S118" s="4">
        <f t="shared" si="75"/>
        <v>0.99549347132349975</v>
      </c>
      <c r="T118" s="4">
        <f t="shared" si="75"/>
        <v>0.99354772139898062</v>
      </c>
      <c r="U118" s="4">
        <f t="shared" si="75"/>
        <v>0.99076681540580536</v>
      </c>
      <c r="V118" s="4">
        <f t="shared" si="75"/>
        <v>0.9867978615748374</v>
      </c>
      <c r="W118" s="4">
        <f t="shared" si="75"/>
        <v>0.98114509762858249</v>
      </c>
      <c r="X118" s="4">
        <f t="shared" si="75"/>
        <v>0.97311898315872036</v>
      </c>
      <c r="Y118" s="4">
        <f t="shared" si="75"/>
        <v>0.96177484161592774</v>
      </c>
      <c r="Z118" s="4">
        <f t="shared" si="75"/>
        <v>0.94584787155511363</v>
      </c>
      <c r="AA118" s="4">
        <f t="shared" si="75"/>
        <v>0.92370360150141495</v>
      </c>
      <c r="AB118" s="4">
        <f t="shared" si="75"/>
        <v>0.89334463567658451</v>
      </c>
      <c r="AC118" s="4">
        <f t="shared" si="75"/>
        <v>0.85254543874327005</v>
      </c>
      <c r="AD118" s="4">
        <f t="shared" si="75"/>
        <v>0.79921300652623883</v>
      </c>
      <c r="AE118" s="4">
        <f t="shared" si="75"/>
        <v>0.73204982249993378</v>
      </c>
      <c r="AF118" s="4">
        <f t="shared" si="75"/>
        <v>0.65145592958786691</v>
      </c>
      <c r="AG118" s="4">
        <f t="shared" si="75"/>
        <v>0.56032247880849573</v>
      </c>
      <c r="AH118" s="4">
        <f t="shared" si="75"/>
        <v>0.46411326873185343</v>
      </c>
      <c r="AI118" s="4">
        <f t="shared" si="75"/>
        <v>0.36979727595523937</v>
      </c>
      <c r="AJ118" s="4">
        <f t="shared" si="75"/>
        <v>0.28393948637231203</v>
      </c>
      <c r="AK118" s="4">
        <f t="shared" si="75"/>
        <v>0.21097259161117732</v>
      </c>
      <c r="AL118" s="4">
        <f t="shared" si="75"/>
        <v>0.15253917653798199</v>
      </c>
      <c r="AM118" s="4">
        <f t="shared" si="75"/>
        <v>0.10795188737709993</v>
      </c>
      <c r="AN118" s="4">
        <f t="shared" si="75"/>
        <v>7.5176653938091809E-2</v>
      </c>
      <c r="AO118" s="4">
        <f t="shared" si="75"/>
        <v>5.1742836177502194E-2</v>
      </c>
      <c r="AP118" s="4">
        <f t="shared" si="75"/>
        <v>3.5319190625345942E-2</v>
      </c>
      <c r="AQ118" s="4">
        <f t="shared" si="75"/>
        <v>2.3969442072658165E-2</v>
      </c>
      <c r="AR118" s="4">
        <f t="shared" si="75"/>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5"/>
        <v>0.99780374543478534</v>
      </c>
      <c r="R119" s="4">
        <f t="shared" si="75"/>
        <v>0.99685359315256394</v>
      </c>
      <c r="S119" s="4">
        <f t="shared" si="75"/>
        <v>0.99549347132349975</v>
      </c>
      <c r="T119" s="4">
        <f t="shared" si="75"/>
        <v>0.99354772139898062</v>
      </c>
      <c r="U119" s="4">
        <f t="shared" si="75"/>
        <v>0.99076681540580536</v>
      </c>
      <c r="V119" s="4">
        <f t="shared" si="75"/>
        <v>0.9867978615748374</v>
      </c>
      <c r="W119" s="4">
        <f t="shared" si="75"/>
        <v>0.98114509762858249</v>
      </c>
      <c r="X119" s="4">
        <f t="shared" si="75"/>
        <v>0.97311898315872036</v>
      </c>
      <c r="Y119" s="4">
        <f t="shared" si="75"/>
        <v>0.96177484161592774</v>
      </c>
      <c r="Z119" s="4">
        <f t="shared" si="75"/>
        <v>0.94584787155511363</v>
      </c>
      <c r="AA119" s="4">
        <f t="shared" si="75"/>
        <v>0.92370360150141495</v>
      </c>
      <c r="AB119" s="4">
        <f t="shared" si="75"/>
        <v>0.89334463567658451</v>
      </c>
      <c r="AC119" s="4">
        <f t="shared" si="75"/>
        <v>0.85254543874327005</v>
      </c>
      <c r="AD119" s="4">
        <f t="shared" si="75"/>
        <v>0.79921300652623883</v>
      </c>
      <c r="AE119" s="4">
        <f t="shared" si="75"/>
        <v>0.73204982249993378</v>
      </c>
      <c r="AF119" s="4">
        <f t="shared" si="75"/>
        <v>0.65145592958786691</v>
      </c>
      <c r="AG119" s="4">
        <f t="shared" si="75"/>
        <v>0.56032247880849573</v>
      </c>
      <c r="AH119" s="4">
        <f t="shared" si="75"/>
        <v>0.46411326873185343</v>
      </c>
      <c r="AI119" s="4">
        <f t="shared" si="75"/>
        <v>0.36979727595523937</v>
      </c>
      <c r="AJ119" s="4">
        <f t="shared" si="75"/>
        <v>0.28393948637231203</v>
      </c>
      <c r="AK119" s="4">
        <f t="shared" si="75"/>
        <v>0.21097259161117732</v>
      </c>
      <c r="AL119" s="4">
        <f t="shared" si="75"/>
        <v>0.15253917653798199</v>
      </c>
      <c r="AM119" s="4">
        <f t="shared" si="75"/>
        <v>0.10795188737709993</v>
      </c>
      <c r="AN119" s="4">
        <f t="shared" si="75"/>
        <v>7.5176653938091809E-2</v>
      </c>
      <c r="AO119" s="4">
        <f t="shared" si="75"/>
        <v>5.1742836177502194E-2</v>
      </c>
      <c r="AP119" s="4">
        <f t="shared" si="75"/>
        <v>3.5319190625345942E-2</v>
      </c>
      <c r="AQ119" s="4">
        <f t="shared" si="75"/>
        <v>2.3969442072658165E-2</v>
      </c>
      <c r="AR119" s="4">
        <f t="shared" si="75"/>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5"/>
        <v>0.99780374543478534</v>
      </c>
      <c r="R120" s="4">
        <f t="shared" si="75"/>
        <v>0.99685359315256394</v>
      </c>
      <c r="S120" s="4">
        <f t="shared" si="75"/>
        <v>0.99549347132349975</v>
      </c>
      <c r="T120" s="4">
        <f t="shared" si="75"/>
        <v>0.99354772139898062</v>
      </c>
      <c r="U120" s="4">
        <f t="shared" si="75"/>
        <v>0.99076681540580536</v>
      </c>
      <c r="V120" s="4">
        <f t="shared" si="75"/>
        <v>0.9867978615748374</v>
      </c>
      <c r="W120" s="4">
        <f t="shared" si="75"/>
        <v>0.98114509762858249</v>
      </c>
      <c r="X120" s="4">
        <f t="shared" si="75"/>
        <v>0.97311898315872036</v>
      </c>
      <c r="Y120" s="4">
        <f t="shared" si="75"/>
        <v>0.96177484161592774</v>
      </c>
      <c r="Z120" s="4">
        <f t="shared" si="75"/>
        <v>0.94584787155511363</v>
      </c>
      <c r="AA120" s="4">
        <f t="shared" si="75"/>
        <v>0.92370360150141495</v>
      </c>
      <c r="AB120" s="4">
        <f t="shared" si="75"/>
        <v>0.89334463567658451</v>
      </c>
      <c r="AC120" s="4">
        <f t="shared" si="75"/>
        <v>0.85254543874327005</v>
      </c>
      <c r="AD120" s="4">
        <f t="shared" si="75"/>
        <v>0.79921300652623883</v>
      </c>
      <c r="AE120" s="4">
        <f t="shared" si="75"/>
        <v>0.73204982249993378</v>
      </c>
      <c r="AF120" s="4">
        <f t="shared" si="75"/>
        <v>0.65145592958786691</v>
      </c>
      <c r="AG120" s="4">
        <f t="shared" si="75"/>
        <v>0.56032247880849573</v>
      </c>
      <c r="AH120" s="4">
        <f t="shared" si="75"/>
        <v>0.46411326873185343</v>
      </c>
      <c r="AI120" s="4">
        <f t="shared" si="75"/>
        <v>0.36979727595523937</v>
      </c>
      <c r="AJ120" s="4">
        <f t="shared" si="75"/>
        <v>0.28393948637231203</v>
      </c>
      <c r="AK120" s="4">
        <f t="shared" si="75"/>
        <v>0.21097259161117732</v>
      </c>
      <c r="AL120" s="4">
        <f t="shared" si="75"/>
        <v>0.15253917653798199</v>
      </c>
      <c r="AM120" s="4">
        <f t="shared" si="75"/>
        <v>0.10795188737709993</v>
      </c>
      <c r="AN120" s="4">
        <f t="shared" si="75"/>
        <v>7.5176653938091809E-2</v>
      </c>
      <c r="AO120" s="4">
        <f t="shared" si="75"/>
        <v>5.1742836177502194E-2</v>
      </c>
      <c r="AP120" s="4">
        <f t="shared" si="75"/>
        <v>3.5319190625345942E-2</v>
      </c>
      <c r="AQ120" s="4">
        <f t="shared" si="75"/>
        <v>2.3969442072658165E-2</v>
      </c>
      <c r="AR120" s="4">
        <f t="shared" si="75"/>
        <v>1.6202243558389728E-2</v>
      </c>
    </row>
    <row r="121" spans="1:44" x14ac:dyDescent="0.25">
      <c r="A121" s="24" t="s">
        <v>79</v>
      </c>
      <c r="B121" s="92">
        <f>'Parameter Input'!$L$219</f>
        <v>0.06</v>
      </c>
      <c r="C121" s="91">
        <f>'Parameter Input'!$M$219</f>
        <v>0.06</v>
      </c>
      <c r="D121" s="1" t="s">
        <v>57</v>
      </c>
      <c r="L121" s="54">
        <f>'Parameter Input'!$O$219</f>
        <v>17</v>
      </c>
      <c r="M121" s="37">
        <v>0</v>
      </c>
      <c r="N121" s="37">
        <v>1</v>
      </c>
      <c r="O121" s="37">
        <f>'Parameter Input'!$P$219</f>
        <v>0.9</v>
      </c>
      <c r="P121" s="55">
        <f>'Parameter Input'!$Q$219</f>
        <v>0.4</v>
      </c>
      <c r="Q121" s="4">
        <f t="shared" si="75"/>
        <v>0.99780374543478534</v>
      </c>
      <c r="R121" s="4">
        <f t="shared" si="75"/>
        <v>0.99685359315256394</v>
      </c>
      <c r="S121" s="4">
        <f t="shared" si="75"/>
        <v>0.99549347132349975</v>
      </c>
      <c r="T121" s="4">
        <f t="shared" si="75"/>
        <v>0.99354772139898062</v>
      </c>
      <c r="U121" s="4">
        <f t="shared" si="75"/>
        <v>0.99076681540580536</v>
      </c>
      <c r="V121" s="4">
        <f t="shared" si="75"/>
        <v>0.9867978615748374</v>
      </c>
      <c r="W121" s="4">
        <f t="shared" si="75"/>
        <v>0.98114509762858249</v>
      </c>
      <c r="X121" s="4">
        <f t="shared" si="75"/>
        <v>0.97311898315872036</v>
      </c>
      <c r="Y121" s="4">
        <f t="shared" si="75"/>
        <v>0.96177484161592774</v>
      </c>
      <c r="Z121" s="4">
        <f t="shared" si="75"/>
        <v>0.94584787155511363</v>
      </c>
      <c r="AA121" s="4">
        <f t="shared" si="75"/>
        <v>0.92370360150141495</v>
      </c>
      <c r="AB121" s="4">
        <f t="shared" si="75"/>
        <v>0.89334463567658451</v>
      </c>
      <c r="AC121" s="4">
        <f t="shared" si="75"/>
        <v>0.85254543874327005</v>
      </c>
      <c r="AD121" s="4">
        <f t="shared" si="75"/>
        <v>0.79921300652623883</v>
      </c>
      <c r="AE121" s="4">
        <f t="shared" si="75"/>
        <v>0.73204982249993378</v>
      </c>
      <c r="AF121" s="4">
        <f t="shared" si="75"/>
        <v>0.65145592958786691</v>
      </c>
      <c r="AG121" s="4">
        <f t="shared" si="75"/>
        <v>0.56032247880849573</v>
      </c>
      <c r="AH121" s="4">
        <f t="shared" si="75"/>
        <v>0.46411326873185343</v>
      </c>
      <c r="AI121" s="4">
        <f t="shared" si="75"/>
        <v>0.36979727595523937</v>
      </c>
      <c r="AJ121" s="4">
        <f t="shared" si="75"/>
        <v>0.28393948637231203</v>
      </c>
      <c r="AK121" s="4">
        <f t="shared" si="75"/>
        <v>0.21097259161117732</v>
      </c>
      <c r="AL121" s="4">
        <f t="shared" si="75"/>
        <v>0.15253917653798199</v>
      </c>
      <c r="AM121" s="4">
        <f t="shared" si="75"/>
        <v>0.10795188737709993</v>
      </c>
      <c r="AN121" s="4">
        <f t="shared" si="75"/>
        <v>7.5176653938091809E-2</v>
      </c>
      <c r="AO121" s="4">
        <f t="shared" si="75"/>
        <v>5.1742836177502194E-2</v>
      </c>
      <c r="AP121" s="4">
        <f t="shared" si="75"/>
        <v>3.5319190625345942E-2</v>
      </c>
      <c r="AQ121" s="4">
        <f t="shared" si="75"/>
        <v>2.3969442072658165E-2</v>
      </c>
      <c r="AR121" s="4">
        <f t="shared" si="75"/>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5"/>
        <v>0.99780374543478534</v>
      </c>
      <c r="R122" s="4">
        <f t="shared" si="75"/>
        <v>0.99685359315256394</v>
      </c>
      <c r="S122" s="4">
        <f t="shared" si="75"/>
        <v>0.99549347132349975</v>
      </c>
      <c r="T122" s="4">
        <f t="shared" si="75"/>
        <v>0.99354772139898062</v>
      </c>
      <c r="U122" s="4">
        <f t="shared" si="75"/>
        <v>0.99076681540580536</v>
      </c>
      <c r="V122" s="4">
        <f t="shared" si="75"/>
        <v>0.9867978615748374</v>
      </c>
      <c r="W122" s="4">
        <f t="shared" si="75"/>
        <v>0.98114509762858249</v>
      </c>
      <c r="X122" s="4">
        <f t="shared" si="75"/>
        <v>0.97311898315872036</v>
      </c>
      <c r="Y122" s="4">
        <f t="shared" si="75"/>
        <v>0.96177484161592774</v>
      </c>
      <c r="Z122" s="4">
        <f t="shared" si="75"/>
        <v>0.94584787155511363</v>
      </c>
      <c r="AA122" s="4">
        <f t="shared" si="75"/>
        <v>0.92370360150141495</v>
      </c>
      <c r="AB122" s="4">
        <f t="shared" si="75"/>
        <v>0.89334463567658451</v>
      </c>
      <c r="AC122" s="4">
        <f t="shared" si="75"/>
        <v>0.85254543874327005</v>
      </c>
      <c r="AD122" s="4">
        <f t="shared" si="75"/>
        <v>0.79921300652623883</v>
      </c>
      <c r="AE122" s="4">
        <f t="shared" si="75"/>
        <v>0.73204982249993378</v>
      </c>
      <c r="AF122" s="4">
        <f t="shared" si="75"/>
        <v>0.65145592958786691</v>
      </c>
      <c r="AG122" s="4">
        <f t="shared" si="75"/>
        <v>0.56032247880849573</v>
      </c>
      <c r="AH122" s="4">
        <f t="shared" si="75"/>
        <v>0.46411326873185343</v>
      </c>
      <c r="AI122" s="4">
        <f t="shared" si="75"/>
        <v>0.36979727595523937</v>
      </c>
      <c r="AJ122" s="4">
        <f t="shared" si="75"/>
        <v>0.28393948637231203</v>
      </c>
      <c r="AK122" s="4">
        <f t="shared" si="75"/>
        <v>0.21097259161117732</v>
      </c>
      <c r="AL122" s="4">
        <f t="shared" si="75"/>
        <v>0.15253917653798199</v>
      </c>
      <c r="AM122" s="4">
        <f t="shared" si="75"/>
        <v>0.10795188737709993</v>
      </c>
      <c r="AN122" s="4">
        <f t="shared" si="75"/>
        <v>7.5176653938091809E-2</v>
      </c>
      <c r="AO122" s="4">
        <f t="shared" si="75"/>
        <v>5.1742836177502194E-2</v>
      </c>
      <c r="AP122" s="4">
        <f t="shared" si="75"/>
        <v>3.5319190625345942E-2</v>
      </c>
      <c r="AQ122" s="4">
        <f t="shared" si="75"/>
        <v>2.3969442072658165E-2</v>
      </c>
      <c r="AR122" s="4">
        <f t="shared" si="75"/>
        <v>1.6202243558389728E-2</v>
      </c>
    </row>
    <row r="123" spans="1:44" x14ac:dyDescent="0.25">
      <c r="A123" s="24" t="s">
        <v>52</v>
      </c>
      <c r="B123" s="60">
        <f>'Parameter Input'!$L$215</f>
        <v>488235.29411764705</v>
      </c>
      <c r="C123" s="61">
        <f>'Parameter Input'!$M$215</f>
        <v>488235.29411764705</v>
      </c>
      <c r="D123" s="1" t="s">
        <v>38</v>
      </c>
      <c r="L123" s="54">
        <f>'Parameter Input'!$O$215</f>
        <v>17</v>
      </c>
      <c r="M123" s="37">
        <v>0</v>
      </c>
      <c r="N123" s="37">
        <v>1</v>
      </c>
      <c r="O123" s="37">
        <f>'Parameter Input'!$P$215</f>
        <v>0.9</v>
      </c>
      <c r="P123" s="55">
        <f>'Parameter Input'!$Q$215</f>
        <v>0.4</v>
      </c>
      <c r="Q123" s="4">
        <f t="shared" si="75"/>
        <v>0.99780374543478534</v>
      </c>
      <c r="R123" s="4">
        <f t="shared" si="75"/>
        <v>0.99685359315256394</v>
      </c>
      <c r="S123" s="4">
        <f t="shared" si="75"/>
        <v>0.99549347132349975</v>
      </c>
      <c r="T123" s="4">
        <f t="shared" si="75"/>
        <v>0.99354772139898062</v>
      </c>
      <c r="U123" s="4">
        <f t="shared" si="75"/>
        <v>0.99076681540580536</v>
      </c>
      <c r="V123" s="4">
        <f t="shared" si="75"/>
        <v>0.9867978615748374</v>
      </c>
      <c r="W123" s="4">
        <f t="shared" si="75"/>
        <v>0.98114509762858249</v>
      </c>
      <c r="X123" s="4">
        <f t="shared" si="75"/>
        <v>0.97311898315872036</v>
      </c>
      <c r="Y123" s="4">
        <f t="shared" si="75"/>
        <v>0.96177484161592774</v>
      </c>
      <c r="Z123" s="4">
        <f t="shared" si="75"/>
        <v>0.94584787155511363</v>
      </c>
      <c r="AA123" s="4">
        <f t="shared" si="75"/>
        <v>0.92370360150141495</v>
      </c>
      <c r="AB123" s="4">
        <f t="shared" si="75"/>
        <v>0.89334463567658451</v>
      </c>
      <c r="AC123" s="4">
        <f t="shared" si="75"/>
        <v>0.85254543874327005</v>
      </c>
      <c r="AD123" s="4">
        <f t="shared" si="75"/>
        <v>0.79921300652623883</v>
      </c>
      <c r="AE123" s="4">
        <f t="shared" si="75"/>
        <v>0.73204982249993378</v>
      </c>
      <c r="AF123" s="4">
        <f t="shared" si="75"/>
        <v>0.65145592958786691</v>
      </c>
      <c r="AG123" s="4">
        <f t="shared" si="75"/>
        <v>0.56032247880849573</v>
      </c>
      <c r="AH123" s="4">
        <f t="shared" si="75"/>
        <v>0.46411326873185343</v>
      </c>
      <c r="AI123" s="4">
        <f t="shared" si="75"/>
        <v>0.36979727595523937</v>
      </c>
      <c r="AJ123" s="4">
        <f t="shared" si="75"/>
        <v>0.28393948637231203</v>
      </c>
      <c r="AK123" s="4">
        <f t="shared" si="75"/>
        <v>0.21097259161117732</v>
      </c>
      <c r="AL123" s="4">
        <f t="shared" si="75"/>
        <v>0.15253917653798199</v>
      </c>
      <c r="AM123" s="4">
        <f t="shared" si="75"/>
        <v>0.10795188737709993</v>
      </c>
      <c r="AN123" s="4">
        <f t="shared" si="75"/>
        <v>7.5176653938091809E-2</v>
      </c>
      <c r="AO123" s="4">
        <f t="shared" si="75"/>
        <v>5.1742836177502194E-2</v>
      </c>
      <c r="AP123" s="4">
        <f t="shared" si="75"/>
        <v>3.5319190625345942E-2</v>
      </c>
      <c r="AQ123" s="4">
        <f t="shared" si="75"/>
        <v>2.3969442072658165E-2</v>
      </c>
      <c r="AR123" s="4">
        <f t="shared" si="75"/>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5"/>
        <v>0.99780374543478534</v>
      </c>
      <c r="R124" s="4">
        <f t="shared" si="75"/>
        <v>0.99685359315256394</v>
      </c>
      <c r="S124" s="4">
        <f t="shared" si="75"/>
        <v>0.99549347132349975</v>
      </c>
      <c r="T124" s="4">
        <f t="shared" si="75"/>
        <v>0.99354772139898062</v>
      </c>
      <c r="U124" s="4">
        <f t="shared" si="75"/>
        <v>0.99076681540580536</v>
      </c>
      <c r="V124" s="4">
        <f t="shared" si="75"/>
        <v>0.9867978615748374</v>
      </c>
      <c r="W124" s="4">
        <f t="shared" si="75"/>
        <v>0.98114509762858249</v>
      </c>
      <c r="X124" s="4">
        <f t="shared" si="75"/>
        <v>0.97311898315872036</v>
      </c>
      <c r="Y124" s="4">
        <f t="shared" si="75"/>
        <v>0.96177484161592774</v>
      </c>
      <c r="Z124" s="4">
        <f t="shared" si="75"/>
        <v>0.94584787155511363</v>
      </c>
      <c r="AA124" s="4">
        <f t="shared" si="75"/>
        <v>0.92370360150141495</v>
      </c>
      <c r="AB124" s="4">
        <f t="shared" si="75"/>
        <v>0.89334463567658451</v>
      </c>
      <c r="AC124" s="4">
        <f t="shared" si="75"/>
        <v>0.85254543874327005</v>
      </c>
      <c r="AD124" s="4">
        <f t="shared" si="75"/>
        <v>0.79921300652623883</v>
      </c>
      <c r="AE124" s="4">
        <f t="shared" si="75"/>
        <v>0.73204982249993378</v>
      </c>
      <c r="AF124" s="4">
        <f t="shared" si="75"/>
        <v>0.65145592958786691</v>
      </c>
      <c r="AG124" s="4">
        <f t="shared" si="75"/>
        <v>0.56032247880849573</v>
      </c>
      <c r="AH124" s="4">
        <f t="shared" si="75"/>
        <v>0.46411326873185343</v>
      </c>
      <c r="AI124" s="4">
        <f t="shared" si="75"/>
        <v>0.36979727595523937</v>
      </c>
      <c r="AJ124" s="4">
        <f t="shared" si="75"/>
        <v>0.28393948637231203</v>
      </c>
      <c r="AK124" s="4">
        <f t="shared" si="75"/>
        <v>0.21097259161117732</v>
      </c>
      <c r="AL124" s="4">
        <f t="shared" si="75"/>
        <v>0.15253917653798199</v>
      </c>
      <c r="AM124" s="4">
        <f t="shared" si="75"/>
        <v>0.10795188737709993</v>
      </c>
      <c r="AN124" s="4">
        <f t="shared" si="75"/>
        <v>7.5176653938091809E-2</v>
      </c>
      <c r="AO124" s="4">
        <f t="shared" si="75"/>
        <v>5.1742836177502194E-2</v>
      </c>
      <c r="AP124" s="4">
        <f t="shared" si="75"/>
        <v>3.5319190625345942E-2</v>
      </c>
      <c r="AQ124" s="4">
        <f t="shared" si="75"/>
        <v>2.3969442072658165E-2</v>
      </c>
      <c r="AR124" s="4">
        <f t="shared" si="75"/>
        <v>1.6202243558389728E-2</v>
      </c>
    </row>
    <row r="125" spans="1:44" x14ac:dyDescent="0.25">
      <c r="A125" s="24" t="s">
        <v>59</v>
      </c>
      <c r="B125" s="60">
        <f>'Parameter Input'!$L$216</f>
        <v>647</v>
      </c>
      <c r="C125" s="61">
        <f>'Parameter Input'!$M$216</f>
        <v>600</v>
      </c>
      <c r="D125" s="1" t="s">
        <v>60</v>
      </c>
      <c r="L125" s="54">
        <f>'Parameter Input'!$O$216</f>
        <v>17</v>
      </c>
      <c r="M125" s="37">
        <v>0</v>
      </c>
      <c r="N125" s="37">
        <v>1</v>
      </c>
      <c r="O125" s="37">
        <f>'Parameter Input'!$P$216</f>
        <v>0.9</v>
      </c>
      <c r="P125" s="55">
        <f>'Parameter Input'!$Q$216</f>
        <v>0.4</v>
      </c>
      <c r="Q125" s="4">
        <f t="shared" si="75"/>
        <v>0.99780374543478534</v>
      </c>
      <c r="R125" s="4">
        <f t="shared" si="75"/>
        <v>0.99685359315256394</v>
      </c>
      <c r="S125" s="4">
        <f t="shared" si="75"/>
        <v>0.99549347132349975</v>
      </c>
      <c r="T125" s="4">
        <f t="shared" si="75"/>
        <v>0.99354772139898062</v>
      </c>
      <c r="U125" s="4">
        <f t="shared" si="75"/>
        <v>0.99076681540580536</v>
      </c>
      <c r="V125" s="4">
        <f t="shared" si="75"/>
        <v>0.9867978615748374</v>
      </c>
      <c r="W125" s="4">
        <f t="shared" si="75"/>
        <v>0.98114509762858249</v>
      </c>
      <c r="X125" s="4">
        <f t="shared" si="75"/>
        <v>0.97311898315872036</v>
      </c>
      <c r="Y125" s="4">
        <f t="shared" si="75"/>
        <v>0.96177484161592774</v>
      </c>
      <c r="Z125" s="4">
        <f t="shared" si="75"/>
        <v>0.94584787155511363</v>
      </c>
      <c r="AA125" s="4">
        <f t="shared" si="75"/>
        <v>0.92370360150141495</v>
      </c>
      <c r="AB125" s="4">
        <f t="shared" si="75"/>
        <v>0.89334463567658451</v>
      </c>
      <c r="AC125" s="4">
        <f t="shared" si="75"/>
        <v>0.85254543874327005</v>
      </c>
      <c r="AD125" s="4">
        <f t="shared" si="75"/>
        <v>0.79921300652623883</v>
      </c>
      <c r="AE125" s="4">
        <f t="shared" si="75"/>
        <v>0.73204982249993378</v>
      </c>
      <c r="AF125" s="4">
        <f t="shared" si="75"/>
        <v>0.65145592958786691</v>
      </c>
      <c r="AG125" s="4">
        <f t="shared" si="75"/>
        <v>0.56032247880849573</v>
      </c>
      <c r="AH125" s="4">
        <f t="shared" si="75"/>
        <v>0.46411326873185343</v>
      </c>
      <c r="AI125" s="4">
        <f t="shared" si="75"/>
        <v>0.36979727595523937</v>
      </c>
      <c r="AJ125" s="4">
        <f t="shared" si="75"/>
        <v>0.28393948637231203</v>
      </c>
      <c r="AK125" s="4">
        <f t="shared" si="75"/>
        <v>0.21097259161117732</v>
      </c>
      <c r="AL125" s="4">
        <f t="shared" si="75"/>
        <v>0.15253917653798199</v>
      </c>
      <c r="AM125" s="4">
        <f t="shared" si="75"/>
        <v>0.10795188737709993</v>
      </c>
      <c r="AN125" s="4">
        <f t="shared" si="75"/>
        <v>7.5176653938091809E-2</v>
      </c>
      <c r="AO125" s="4">
        <f t="shared" si="75"/>
        <v>5.1742836177502194E-2</v>
      </c>
      <c r="AP125" s="4">
        <f t="shared" si="75"/>
        <v>3.5319190625345942E-2</v>
      </c>
      <c r="AQ125" s="4">
        <f t="shared" si="75"/>
        <v>2.3969442072658165E-2</v>
      </c>
      <c r="AR125" s="4">
        <f t="shared" si="75"/>
        <v>1.6202243558389728E-2</v>
      </c>
    </row>
    <row r="126" spans="1:44" x14ac:dyDescent="0.25">
      <c r="A126" s="24" t="s">
        <v>67</v>
      </c>
      <c r="B126" s="78">
        <f>'Parameter Input'!$L$217</f>
        <v>0.06</v>
      </c>
      <c r="C126" s="61">
        <f>'Parameter Input'!$M$217</f>
        <v>0.06</v>
      </c>
      <c r="D126" s="1" t="s">
        <v>68</v>
      </c>
      <c r="L126" s="54">
        <f>'Parameter Input'!$O$217</f>
        <v>17</v>
      </c>
      <c r="M126" s="37">
        <v>0</v>
      </c>
      <c r="N126" s="37">
        <v>1</v>
      </c>
      <c r="O126" s="37">
        <f>'Parameter Input'!$P$217</f>
        <v>0.9</v>
      </c>
      <c r="P126" s="55">
        <f>'Parameter Input'!$Q$217</f>
        <v>0.4</v>
      </c>
      <c r="Q126" s="4">
        <f t="shared" si="75"/>
        <v>0.99780374543478534</v>
      </c>
      <c r="R126" s="4">
        <f t="shared" si="75"/>
        <v>0.99685359315256394</v>
      </c>
      <c r="S126" s="4">
        <f t="shared" si="75"/>
        <v>0.99549347132349975</v>
      </c>
      <c r="T126" s="4">
        <f t="shared" ref="T126:AI133" si="76">$N126+($M126-$N126)*((1/(1+EXP(-$P126*(T$9-$L126)))^$O126))</f>
        <v>0.99354772139898062</v>
      </c>
      <c r="U126" s="4">
        <f t="shared" si="76"/>
        <v>0.99076681540580536</v>
      </c>
      <c r="V126" s="4">
        <f t="shared" si="76"/>
        <v>0.9867978615748374</v>
      </c>
      <c r="W126" s="4">
        <f t="shared" si="76"/>
        <v>0.98114509762858249</v>
      </c>
      <c r="X126" s="4">
        <f t="shared" si="76"/>
        <v>0.97311898315872036</v>
      </c>
      <c r="Y126" s="4">
        <f t="shared" si="76"/>
        <v>0.96177484161592774</v>
      </c>
      <c r="Z126" s="4">
        <f t="shared" si="76"/>
        <v>0.94584787155511363</v>
      </c>
      <c r="AA126" s="4">
        <f t="shared" si="76"/>
        <v>0.92370360150141495</v>
      </c>
      <c r="AB126" s="4">
        <f t="shared" si="76"/>
        <v>0.89334463567658451</v>
      </c>
      <c r="AC126" s="4">
        <f t="shared" si="76"/>
        <v>0.85254543874327005</v>
      </c>
      <c r="AD126" s="4">
        <f t="shared" si="76"/>
        <v>0.79921300652623883</v>
      </c>
      <c r="AE126" s="4">
        <f t="shared" si="76"/>
        <v>0.73204982249993378</v>
      </c>
      <c r="AF126" s="4">
        <f t="shared" si="76"/>
        <v>0.65145592958786691</v>
      </c>
      <c r="AG126" s="4">
        <f t="shared" si="76"/>
        <v>0.56032247880849573</v>
      </c>
      <c r="AH126" s="4">
        <f t="shared" si="76"/>
        <v>0.46411326873185343</v>
      </c>
      <c r="AI126" s="4">
        <f t="shared" si="76"/>
        <v>0.36979727595523937</v>
      </c>
      <c r="AJ126" s="4">
        <f t="shared" ref="AJ126:AR133" si="77">$N126+($M126-$N126)*((1/(1+EXP(-$P126*(AJ$9-$L126)))^$O126))</f>
        <v>0.28393948637231203</v>
      </c>
      <c r="AK126" s="4">
        <f t="shared" si="77"/>
        <v>0.21097259161117732</v>
      </c>
      <c r="AL126" s="4">
        <f t="shared" si="77"/>
        <v>0.15253917653798199</v>
      </c>
      <c r="AM126" s="4">
        <f t="shared" si="77"/>
        <v>0.10795188737709993</v>
      </c>
      <c r="AN126" s="4">
        <f t="shared" si="77"/>
        <v>7.5176653938091809E-2</v>
      </c>
      <c r="AO126" s="4">
        <f t="shared" si="77"/>
        <v>5.1742836177502194E-2</v>
      </c>
      <c r="AP126" s="4">
        <f t="shared" si="77"/>
        <v>3.5319190625345942E-2</v>
      </c>
      <c r="AQ126" s="4">
        <f t="shared" si="77"/>
        <v>2.3969442072658165E-2</v>
      </c>
      <c r="AR126" s="4">
        <f t="shared" si="77"/>
        <v>1.6202243558389728E-2</v>
      </c>
    </row>
    <row r="127" spans="1:44" x14ac:dyDescent="0.25">
      <c r="A127" s="24" t="s">
        <v>206</v>
      </c>
      <c r="B127" s="78">
        <f>'Parameter Input'!L220</f>
        <v>0</v>
      </c>
      <c r="C127" s="61">
        <f>'Parameter Input'!M220</f>
        <v>0</v>
      </c>
      <c r="D127" s="1"/>
      <c r="L127" s="54">
        <f>'Parameter Input'!O220</f>
        <v>17</v>
      </c>
      <c r="M127" s="37">
        <v>0</v>
      </c>
      <c r="N127" s="37">
        <v>1</v>
      </c>
      <c r="O127" s="37">
        <f>'Parameter Input'!P220</f>
        <v>0.9</v>
      </c>
      <c r="P127" s="55">
        <f>'Parameter Input'!Q220</f>
        <v>0.4</v>
      </c>
      <c r="Q127" s="4">
        <f t="shared" ref="Q127:AR127" si="78">$N127+($M127-$N127)*((1/(1+EXP(-$P127*(Q$9-$L127)))^$O127))</f>
        <v>0.99780374543478534</v>
      </c>
      <c r="R127" s="4">
        <f t="shared" si="78"/>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Input'!$L$214</f>
        <v>25</v>
      </c>
      <c r="C128" s="61">
        <f>'Parameter Input'!$M$214</f>
        <v>25</v>
      </c>
      <c r="D128" s="1" t="s">
        <v>42</v>
      </c>
      <c r="L128" s="54">
        <f>'Parameter Input'!$O$214</f>
        <v>17</v>
      </c>
      <c r="M128" s="37">
        <v>0</v>
      </c>
      <c r="N128" s="37">
        <v>1</v>
      </c>
      <c r="O128" s="37">
        <f>'Parameter Input'!$P$214</f>
        <v>0.9</v>
      </c>
      <c r="P128" s="55">
        <f>'Parameter Input'!$Q$214</f>
        <v>0.4</v>
      </c>
      <c r="Q128" s="4">
        <f t="shared" ref="Q128:AF133" si="79">$N128+($M128-$N128)*((1/(1+EXP(-$P128*(Q$9-$L128)))^$O128))</f>
        <v>0.99780374543478534</v>
      </c>
      <c r="R128" s="4">
        <f t="shared" si="79"/>
        <v>0.99685359315256394</v>
      </c>
      <c r="S128" s="4">
        <f t="shared" si="79"/>
        <v>0.99549347132349975</v>
      </c>
      <c r="T128" s="4">
        <f t="shared" si="79"/>
        <v>0.99354772139898062</v>
      </c>
      <c r="U128" s="4">
        <f t="shared" si="79"/>
        <v>0.99076681540580536</v>
      </c>
      <c r="V128" s="4">
        <f t="shared" si="79"/>
        <v>0.9867978615748374</v>
      </c>
      <c r="W128" s="4">
        <f t="shared" si="79"/>
        <v>0.98114509762858249</v>
      </c>
      <c r="X128" s="4">
        <f t="shared" si="79"/>
        <v>0.97311898315872036</v>
      </c>
      <c r="Y128" s="4">
        <f t="shared" si="79"/>
        <v>0.96177484161592774</v>
      </c>
      <c r="Z128" s="4">
        <f t="shared" si="79"/>
        <v>0.94584787155511363</v>
      </c>
      <c r="AA128" s="4">
        <f t="shared" si="79"/>
        <v>0.92370360150141495</v>
      </c>
      <c r="AB128" s="4">
        <f t="shared" si="79"/>
        <v>0.89334463567658451</v>
      </c>
      <c r="AC128" s="4">
        <f t="shared" si="79"/>
        <v>0.85254543874327005</v>
      </c>
      <c r="AD128" s="4">
        <f t="shared" si="79"/>
        <v>0.79921300652623883</v>
      </c>
      <c r="AE128" s="4">
        <f t="shared" si="79"/>
        <v>0.73204982249993378</v>
      </c>
      <c r="AF128" s="4">
        <f t="shared" si="79"/>
        <v>0.65145592958786691</v>
      </c>
      <c r="AG128" s="4">
        <f t="shared" si="76"/>
        <v>0.56032247880849573</v>
      </c>
      <c r="AH128" s="4">
        <f t="shared" si="76"/>
        <v>0.46411326873185343</v>
      </c>
      <c r="AI128" s="4">
        <f t="shared" si="76"/>
        <v>0.36979727595523937</v>
      </c>
      <c r="AJ128" s="4">
        <f t="shared" si="77"/>
        <v>0.28393948637231203</v>
      </c>
      <c r="AK128" s="4">
        <f t="shared" si="77"/>
        <v>0.21097259161117732</v>
      </c>
      <c r="AL128" s="4">
        <f t="shared" si="77"/>
        <v>0.15253917653798199</v>
      </c>
      <c r="AM128" s="4">
        <f t="shared" si="77"/>
        <v>0.10795188737709993</v>
      </c>
      <c r="AN128" s="4">
        <f t="shared" si="77"/>
        <v>7.5176653938091809E-2</v>
      </c>
      <c r="AO128" s="4">
        <f t="shared" si="77"/>
        <v>5.1742836177502194E-2</v>
      </c>
      <c r="AP128" s="4">
        <f t="shared" si="77"/>
        <v>3.5319190625345942E-2</v>
      </c>
      <c r="AQ128" s="4">
        <f t="shared" si="77"/>
        <v>2.3969442072658165E-2</v>
      </c>
      <c r="AR128" s="4">
        <f t="shared" si="77"/>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79"/>
        <v>0.99780374543478534</v>
      </c>
      <c r="R129" s="4">
        <f t="shared" si="79"/>
        <v>0.99685359315256394</v>
      </c>
      <c r="S129" s="4">
        <f t="shared" si="79"/>
        <v>0.99549347132349975</v>
      </c>
      <c r="T129" s="4">
        <f t="shared" si="79"/>
        <v>0.99354772139898062</v>
      </c>
      <c r="U129" s="4">
        <f t="shared" si="79"/>
        <v>0.99076681540580536</v>
      </c>
      <c r="V129" s="4">
        <f t="shared" si="79"/>
        <v>0.9867978615748374</v>
      </c>
      <c r="W129" s="4">
        <f t="shared" si="79"/>
        <v>0.98114509762858249</v>
      </c>
      <c r="X129" s="4">
        <f t="shared" si="79"/>
        <v>0.97311898315872036</v>
      </c>
      <c r="Y129" s="4">
        <f t="shared" si="79"/>
        <v>0.96177484161592774</v>
      </c>
      <c r="Z129" s="4">
        <f t="shared" si="79"/>
        <v>0.94584787155511363</v>
      </c>
      <c r="AA129" s="4">
        <f t="shared" si="79"/>
        <v>0.92370360150141495</v>
      </c>
      <c r="AB129" s="4">
        <f t="shared" si="79"/>
        <v>0.89334463567658451</v>
      </c>
      <c r="AC129" s="4">
        <f t="shared" si="79"/>
        <v>0.85254543874327005</v>
      </c>
      <c r="AD129" s="4">
        <f t="shared" si="79"/>
        <v>0.79921300652623883</v>
      </c>
      <c r="AE129" s="4">
        <f t="shared" si="79"/>
        <v>0.73204982249993378</v>
      </c>
      <c r="AF129" s="4">
        <f t="shared" si="79"/>
        <v>0.65145592958786691</v>
      </c>
      <c r="AG129" s="4">
        <f t="shared" si="76"/>
        <v>0.56032247880849573</v>
      </c>
      <c r="AH129" s="4">
        <f t="shared" si="76"/>
        <v>0.46411326873185343</v>
      </c>
      <c r="AI129" s="4">
        <f t="shared" si="76"/>
        <v>0.36979727595523937</v>
      </c>
      <c r="AJ129" s="4">
        <f t="shared" si="77"/>
        <v>0.28393948637231203</v>
      </c>
      <c r="AK129" s="4">
        <f t="shared" si="77"/>
        <v>0.21097259161117732</v>
      </c>
      <c r="AL129" s="4">
        <f t="shared" si="77"/>
        <v>0.15253917653798199</v>
      </c>
      <c r="AM129" s="4">
        <f t="shared" si="77"/>
        <v>0.10795188737709993</v>
      </c>
      <c r="AN129" s="4">
        <f t="shared" si="77"/>
        <v>7.5176653938091809E-2</v>
      </c>
      <c r="AO129" s="4">
        <f t="shared" si="77"/>
        <v>5.1742836177502194E-2</v>
      </c>
      <c r="AP129" s="4">
        <f t="shared" si="77"/>
        <v>3.5319190625345942E-2</v>
      </c>
      <c r="AQ129" s="4">
        <f t="shared" si="77"/>
        <v>2.3969442072658165E-2</v>
      </c>
      <c r="AR129" s="4">
        <f t="shared" si="77"/>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79"/>
        <v>0.99780374543478534</v>
      </c>
      <c r="R130" s="4">
        <f t="shared" si="79"/>
        <v>0.99685359315256394</v>
      </c>
      <c r="S130" s="4">
        <f t="shared" si="79"/>
        <v>0.99549347132349975</v>
      </c>
      <c r="T130" s="4">
        <f t="shared" si="79"/>
        <v>0.99354772139898062</v>
      </c>
      <c r="U130" s="4">
        <f t="shared" si="79"/>
        <v>0.99076681540580536</v>
      </c>
      <c r="V130" s="4">
        <f t="shared" si="79"/>
        <v>0.9867978615748374</v>
      </c>
      <c r="W130" s="4">
        <f t="shared" si="79"/>
        <v>0.98114509762858249</v>
      </c>
      <c r="X130" s="4">
        <f t="shared" si="79"/>
        <v>0.97311898315872036</v>
      </c>
      <c r="Y130" s="4">
        <f t="shared" si="79"/>
        <v>0.96177484161592774</v>
      </c>
      <c r="Z130" s="4">
        <f t="shared" si="79"/>
        <v>0.94584787155511363</v>
      </c>
      <c r="AA130" s="4">
        <f t="shared" si="79"/>
        <v>0.92370360150141495</v>
      </c>
      <c r="AB130" s="4">
        <f t="shared" si="79"/>
        <v>0.89334463567658451</v>
      </c>
      <c r="AC130" s="4">
        <f t="shared" si="79"/>
        <v>0.85254543874327005</v>
      </c>
      <c r="AD130" s="4">
        <f t="shared" si="79"/>
        <v>0.79921300652623883</v>
      </c>
      <c r="AE130" s="4">
        <f t="shared" si="79"/>
        <v>0.73204982249993378</v>
      </c>
      <c r="AF130" s="4">
        <f t="shared" si="79"/>
        <v>0.65145592958786691</v>
      </c>
      <c r="AG130" s="4">
        <f t="shared" si="76"/>
        <v>0.56032247880849573</v>
      </c>
      <c r="AH130" s="4">
        <f t="shared" si="76"/>
        <v>0.46411326873185343</v>
      </c>
      <c r="AI130" s="4">
        <f t="shared" si="76"/>
        <v>0.36979727595523937</v>
      </c>
      <c r="AJ130" s="4">
        <f t="shared" si="77"/>
        <v>0.28393948637231203</v>
      </c>
      <c r="AK130" s="4">
        <f t="shared" si="77"/>
        <v>0.21097259161117732</v>
      </c>
      <c r="AL130" s="4">
        <f t="shared" si="77"/>
        <v>0.15253917653798199</v>
      </c>
      <c r="AM130" s="4">
        <f t="shared" si="77"/>
        <v>0.10795188737709993</v>
      </c>
      <c r="AN130" s="4">
        <f t="shared" si="77"/>
        <v>7.5176653938091809E-2</v>
      </c>
      <c r="AO130" s="4">
        <f t="shared" si="77"/>
        <v>5.1742836177502194E-2</v>
      </c>
      <c r="AP130" s="4">
        <f t="shared" si="77"/>
        <v>3.5319190625345942E-2</v>
      </c>
      <c r="AQ130" s="4">
        <f t="shared" si="77"/>
        <v>2.3969442072658165E-2</v>
      </c>
      <c r="AR130" s="4">
        <f t="shared" si="77"/>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79"/>
        <v>0.99780374543478534</v>
      </c>
      <c r="R131" s="4">
        <f t="shared" si="79"/>
        <v>0.99685359315256394</v>
      </c>
      <c r="S131" s="4">
        <f t="shared" si="79"/>
        <v>0.99549347132349975</v>
      </c>
      <c r="T131" s="4">
        <f t="shared" si="79"/>
        <v>0.99354772139898062</v>
      </c>
      <c r="U131" s="4">
        <f t="shared" si="79"/>
        <v>0.99076681540580536</v>
      </c>
      <c r="V131" s="4">
        <f t="shared" si="79"/>
        <v>0.9867978615748374</v>
      </c>
      <c r="W131" s="4">
        <f t="shared" si="79"/>
        <v>0.98114509762858249</v>
      </c>
      <c r="X131" s="4">
        <f t="shared" si="79"/>
        <v>0.97311898315872036</v>
      </c>
      <c r="Y131" s="4">
        <f t="shared" si="79"/>
        <v>0.96177484161592774</v>
      </c>
      <c r="Z131" s="4">
        <f t="shared" si="79"/>
        <v>0.94584787155511363</v>
      </c>
      <c r="AA131" s="4">
        <f t="shared" si="79"/>
        <v>0.92370360150141495</v>
      </c>
      <c r="AB131" s="4">
        <f t="shared" si="79"/>
        <v>0.89334463567658451</v>
      </c>
      <c r="AC131" s="4">
        <f t="shared" si="79"/>
        <v>0.85254543874327005</v>
      </c>
      <c r="AD131" s="4">
        <f t="shared" si="79"/>
        <v>0.79921300652623883</v>
      </c>
      <c r="AE131" s="4">
        <f t="shared" si="79"/>
        <v>0.73204982249993378</v>
      </c>
      <c r="AF131" s="4">
        <f t="shared" si="79"/>
        <v>0.65145592958786691</v>
      </c>
      <c r="AG131" s="4">
        <f t="shared" si="76"/>
        <v>0.56032247880849573</v>
      </c>
      <c r="AH131" s="4">
        <f t="shared" si="76"/>
        <v>0.46411326873185343</v>
      </c>
      <c r="AI131" s="4">
        <f t="shared" si="76"/>
        <v>0.36979727595523937</v>
      </c>
      <c r="AJ131" s="4">
        <f t="shared" si="77"/>
        <v>0.28393948637231203</v>
      </c>
      <c r="AK131" s="4">
        <f t="shared" si="77"/>
        <v>0.21097259161117732</v>
      </c>
      <c r="AL131" s="4">
        <f t="shared" si="77"/>
        <v>0.15253917653798199</v>
      </c>
      <c r="AM131" s="4">
        <f t="shared" si="77"/>
        <v>0.10795188737709993</v>
      </c>
      <c r="AN131" s="4">
        <f t="shared" si="77"/>
        <v>7.5176653938091809E-2</v>
      </c>
      <c r="AO131" s="4">
        <f t="shared" si="77"/>
        <v>5.1742836177502194E-2</v>
      </c>
      <c r="AP131" s="4">
        <f t="shared" si="77"/>
        <v>3.5319190625345942E-2</v>
      </c>
      <c r="AQ131" s="4">
        <f t="shared" si="77"/>
        <v>2.3969442072658165E-2</v>
      </c>
      <c r="AR131" s="4">
        <f t="shared" si="77"/>
        <v>1.6202243558389728E-2</v>
      </c>
    </row>
    <row r="132" spans="1:44" x14ac:dyDescent="0.25">
      <c r="A132" s="24" t="s">
        <v>73</v>
      </c>
      <c r="B132" s="45">
        <f>'Parameter Input'!$L$218</f>
        <v>0</v>
      </c>
      <c r="C132" s="46">
        <f>'Parameter Input'!$M$218</f>
        <v>0</v>
      </c>
      <c r="D132" s="1" t="s">
        <v>57</v>
      </c>
      <c r="L132" s="54">
        <f>'Parameter Input'!$O$218</f>
        <v>17</v>
      </c>
      <c r="M132" s="37">
        <v>0</v>
      </c>
      <c r="N132" s="37">
        <v>1</v>
      </c>
      <c r="O132" s="37">
        <f>'Parameter Input'!$P$218</f>
        <v>0.9</v>
      </c>
      <c r="P132" s="55">
        <f>'Parameter Input'!$Q$218</f>
        <v>0.4</v>
      </c>
      <c r="Q132" s="4">
        <f t="shared" si="79"/>
        <v>0.99780374543478534</v>
      </c>
      <c r="R132" s="4">
        <f t="shared" si="79"/>
        <v>0.99685359315256394</v>
      </c>
      <c r="S132" s="4">
        <f t="shared" si="79"/>
        <v>0.99549347132349975</v>
      </c>
      <c r="T132" s="4">
        <f t="shared" si="79"/>
        <v>0.99354772139898062</v>
      </c>
      <c r="U132" s="4">
        <f t="shared" si="79"/>
        <v>0.99076681540580536</v>
      </c>
      <c r="V132" s="4">
        <f t="shared" si="79"/>
        <v>0.9867978615748374</v>
      </c>
      <c r="W132" s="4">
        <f t="shared" si="79"/>
        <v>0.98114509762858249</v>
      </c>
      <c r="X132" s="4">
        <f t="shared" si="79"/>
        <v>0.97311898315872036</v>
      </c>
      <c r="Y132" s="4">
        <f t="shared" si="79"/>
        <v>0.96177484161592774</v>
      </c>
      <c r="Z132" s="4">
        <f t="shared" si="79"/>
        <v>0.94584787155511363</v>
      </c>
      <c r="AA132" s="4">
        <f t="shared" si="79"/>
        <v>0.92370360150141495</v>
      </c>
      <c r="AB132" s="4">
        <f t="shared" si="79"/>
        <v>0.89334463567658451</v>
      </c>
      <c r="AC132" s="4">
        <f t="shared" si="79"/>
        <v>0.85254543874327005</v>
      </c>
      <c r="AD132" s="4">
        <f t="shared" si="79"/>
        <v>0.79921300652623883</v>
      </c>
      <c r="AE132" s="4">
        <f t="shared" si="79"/>
        <v>0.73204982249993378</v>
      </c>
      <c r="AF132" s="4">
        <f t="shared" si="79"/>
        <v>0.65145592958786691</v>
      </c>
      <c r="AG132" s="4">
        <f t="shared" si="76"/>
        <v>0.56032247880849573</v>
      </c>
      <c r="AH132" s="4">
        <f t="shared" si="76"/>
        <v>0.46411326873185343</v>
      </c>
      <c r="AI132" s="4">
        <f t="shared" si="76"/>
        <v>0.36979727595523937</v>
      </c>
      <c r="AJ132" s="4">
        <f t="shared" si="77"/>
        <v>0.28393948637231203</v>
      </c>
      <c r="AK132" s="4">
        <f t="shared" si="77"/>
        <v>0.21097259161117732</v>
      </c>
      <c r="AL132" s="4">
        <f t="shared" si="77"/>
        <v>0.15253917653798199</v>
      </c>
      <c r="AM132" s="4">
        <f t="shared" si="77"/>
        <v>0.10795188737709993</v>
      </c>
      <c r="AN132" s="4">
        <f t="shared" si="77"/>
        <v>7.5176653938091809E-2</v>
      </c>
      <c r="AO132" s="4">
        <f t="shared" si="77"/>
        <v>5.1742836177502194E-2</v>
      </c>
      <c r="AP132" s="4">
        <f t="shared" si="77"/>
        <v>3.5319190625345942E-2</v>
      </c>
      <c r="AQ132" s="4">
        <f t="shared" si="77"/>
        <v>2.3969442072658165E-2</v>
      </c>
      <c r="AR132" s="4">
        <f t="shared" si="77"/>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79"/>
        <v>0.99780374543478534</v>
      </c>
      <c r="R133" s="4">
        <f t="shared" si="79"/>
        <v>0.99685359315256394</v>
      </c>
      <c r="S133" s="4">
        <f t="shared" si="79"/>
        <v>0.99549347132349975</v>
      </c>
      <c r="T133" s="4">
        <f t="shared" si="79"/>
        <v>0.99354772139898062</v>
      </c>
      <c r="U133" s="4">
        <f t="shared" si="79"/>
        <v>0.99076681540580536</v>
      </c>
      <c r="V133" s="4">
        <f t="shared" si="79"/>
        <v>0.9867978615748374</v>
      </c>
      <c r="W133" s="4">
        <f t="shared" si="79"/>
        <v>0.98114509762858249</v>
      </c>
      <c r="X133" s="4">
        <f t="shared" si="79"/>
        <v>0.97311898315872036</v>
      </c>
      <c r="Y133" s="4">
        <f t="shared" si="79"/>
        <v>0.96177484161592774</v>
      </c>
      <c r="Z133" s="4">
        <f t="shared" si="79"/>
        <v>0.94584787155511363</v>
      </c>
      <c r="AA133" s="4">
        <f t="shared" si="79"/>
        <v>0.92370360150141495</v>
      </c>
      <c r="AB133" s="4">
        <f t="shared" si="79"/>
        <v>0.89334463567658451</v>
      </c>
      <c r="AC133" s="4">
        <f t="shared" si="79"/>
        <v>0.85254543874327005</v>
      </c>
      <c r="AD133" s="4">
        <f t="shared" si="79"/>
        <v>0.79921300652623883</v>
      </c>
      <c r="AE133" s="4">
        <f t="shared" si="79"/>
        <v>0.73204982249993378</v>
      </c>
      <c r="AF133" s="4">
        <f t="shared" si="79"/>
        <v>0.65145592958786691</v>
      </c>
      <c r="AG133" s="4">
        <f t="shared" si="76"/>
        <v>0.56032247880849573</v>
      </c>
      <c r="AH133" s="4">
        <f t="shared" si="76"/>
        <v>0.46411326873185343</v>
      </c>
      <c r="AI133" s="4">
        <f t="shared" si="76"/>
        <v>0.36979727595523937</v>
      </c>
      <c r="AJ133" s="4">
        <f t="shared" si="77"/>
        <v>0.28393948637231203</v>
      </c>
      <c r="AK133" s="4">
        <f t="shared" si="77"/>
        <v>0.21097259161117732</v>
      </c>
      <c r="AL133" s="4">
        <f t="shared" si="77"/>
        <v>0.15253917653798199</v>
      </c>
      <c r="AM133" s="4">
        <f t="shared" si="77"/>
        <v>0.10795188737709993</v>
      </c>
      <c r="AN133" s="4">
        <f t="shared" si="77"/>
        <v>7.5176653938091809E-2</v>
      </c>
      <c r="AO133" s="4">
        <f t="shared" si="77"/>
        <v>5.1742836177502194E-2</v>
      </c>
      <c r="AP133" s="4">
        <f t="shared" si="77"/>
        <v>3.5319190625345942E-2</v>
      </c>
      <c r="AQ133" s="4">
        <f t="shared" si="77"/>
        <v>2.3969442072658165E-2</v>
      </c>
      <c r="AR133" s="4">
        <f t="shared" si="77"/>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0">A117</f>
        <v>Capex vehicle</v>
      </c>
      <c r="B137" s="62">
        <f t="shared" ref="B137:B145" si="81">$B117+($C117-$B117)*(1-Q117)</f>
        <v>15000000</v>
      </c>
      <c r="C137" s="62">
        <f t="shared" ref="C137:C145" si="82">$B117+($C117-$B117)*(1-R117)</f>
        <v>15000000</v>
      </c>
      <c r="D137" s="62">
        <f t="shared" ref="D137:D145" si="83">$B117+($C117-$B117)*(1-S117)</f>
        <v>15000000</v>
      </c>
      <c r="E137" s="62">
        <f t="shared" ref="E137:E145" si="84">$B117+($C117-$B117)*(1-T117)</f>
        <v>15000000</v>
      </c>
      <c r="F137" s="62">
        <f t="shared" ref="F137:F145" si="85">$B117+($C117-$B117)*(1-U117)</f>
        <v>15000000</v>
      </c>
      <c r="G137" s="62">
        <f t="shared" ref="G137:G145" si="86">$B117+($C117-$B117)*(1-V117)</f>
        <v>15000000</v>
      </c>
      <c r="H137" s="62">
        <f t="shared" ref="H137:H145" si="87">$B117+($C117-$B117)*(1-W117)</f>
        <v>15000000</v>
      </c>
      <c r="I137" s="62">
        <f t="shared" ref="I137:I145" si="88">$B117+($C117-$B117)*(1-X117)</f>
        <v>15000000</v>
      </c>
      <c r="J137" s="62">
        <f t="shared" ref="J137:J145" si="89">$B117+($C117-$B117)*(1-Y117)</f>
        <v>15000000</v>
      </c>
      <c r="K137" s="62">
        <f t="shared" ref="K137:K145" si="90">$B117+($C117-$B117)*(1-Z117)</f>
        <v>15000000</v>
      </c>
      <c r="L137" s="62">
        <f t="shared" ref="L137:L145" si="91">$B117+($C117-$B117)*(1-AA117)</f>
        <v>15000000</v>
      </c>
      <c r="M137" s="62">
        <f t="shared" ref="M137:M145" si="92">$B117+($C117-$B117)*(1-AB117)</f>
        <v>15000000</v>
      </c>
      <c r="N137" s="62">
        <f t="shared" ref="N137:N145" si="93">$B117+($C117-$B117)*(1-AC117)</f>
        <v>15000000</v>
      </c>
      <c r="O137" s="62">
        <f t="shared" ref="O137:O145" si="94">$B117+($C117-$B117)*(1-AD117)</f>
        <v>15000000</v>
      </c>
      <c r="P137" s="62">
        <f t="shared" ref="P137:P145" si="95">$B117+($C117-$B117)*(1-AE117)</f>
        <v>15000000</v>
      </c>
      <c r="Q137" s="62">
        <f t="shared" ref="Q137:Q145" si="96">$B117+($C117-$B117)*(1-AF117)</f>
        <v>15000000</v>
      </c>
      <c r="R137" s="62">
        <f t="shared" ref="R137:R145" si="97">$B117+($C117-$B117)*(1-AG117)</f>
        <v>15000000</v>
      </c>
      <c r="S137" s="62">
        <f t="shared" ref="S137:S145" si="98">$B117+($C117-$B117)*(1-AH117)</f>
        <v>15000000</v>
      </c>
      <c r="T137" s="62">
        <f t="shared" ref="T137:T145" si="99">$B117+($C117-$B117)*(1-AI117)</f>
        <v>15000000</v>
      </c>
      <c r="U137" s="62">
        <f t="shared" ref="U137:U145" si="100">$B117+($C117-$B117)*(1-AJ117)</f>
        <v>15000000</v>
      </c>
      <c r="V137" s="62">
        <f t="shared" ref="V137:V145" si="101">$B117+($C117-$B117)*(1-AK117)</f>
        <v>15000000</v>
      </c>
      <c r="W137" s="62">
        <f t="shared" ref="W137:W145" si="102">$B117+($C117-$B117)*(1-AL117)</f>
        <v>15000000</v>
      </c>
      <c r="X137" s="62">
        <f t="shared" ref="X137:X145" si="103">$B117+($C117-$B117)*(1-AM117)</f>
        <v>15000000</v>
      </c>
      <c r="Y137" s="62">
        <f t="shared" ref="Y137:Y145" si="104">$B117+($C117-$B117)*(1-AN117)</f>
        <v>15000000</v>
      </c>
      <c r="Z137" s="62">
        <f t="shared" ref="Z137:Z145" si="105">$B117+($C117-$B117)*(1-AO117)</f>
        <v>15000000</v>
      </c>
      <c r="AA137" s="62">
        <f t="shared" ref="AA137:AA145" si="106">$B117+($C117-$B117)*(1-AP117)</f>
        <v>15000000</v>
      </c>
      <c r="AB137" s="62">
        <f t="shared" ref="AB137:AB145" si="107">$B117+($C117-$B117)*(1-AQ117)</f>
        <v>15000000</v>
      </c>
      <c r="AC137" s="62">
        <f t="shared" ref="AC137:AC145" si="108">$B117+($C117-$B117)*(1-AR117)</f>
        <v>15000000</v>
      </c>
    </row>
    <row r="138" spans="1:44" x14ac:dyDescent="0.25">
      <c r="A138" s="30" t="str">
        <f t="shared" si="80"/>
        <v>Residual value (vehicle)</v>
      </c>
      <c r="B138" s="62">
        <f t="shared" si="81"/>
        <v>-1498352.8090760889</v>
      </c>
      <c r="C138" s="62">
        <f t="shared" si="82"/>
        <v>-1497640.194864423</v>
      </c>
      <c r="D138" s="62">
        <f t="shared" si="83"/>
        <v>-1496620.1034926248</v>
      </c>
      <c r="E138" s="62">
        <f t="shared" si="84"/>
        <v>-1495160.7910492355</v>
      </c>
      <c r="F138" s="62">
        <f t="shared" si="85"/>
        <v>-1493075.111554354</v>
      </c>
      <c r="G138" s="62">
        <f t="shared" si="86"/>
        <v>-1490098.396181128</v>
      </c>
      <c r="H138" s="62">
        <f t="shared" si="87"/>
        <v>-1485858.8232214369</v>
      </c>
      <c r="I138" s="62">
        <f t="shared" si="88"/>
        <v>-1479839.2373690403</v>
      </c>
      <c r="J138" s="62">
        <f t="shared" si="89"/>
        <v>-1471331.1312119458</v>
      </c>
      <c r="K138" s="62">
        <f t="shared" si="90"/>
        <v>-1459385.9036663352</v>
      </c>
      <c r="L138" s="62">
        <f t="shared" si="91"/>
        <v>-1442777.7011260611</v>
      </c>
      <c r="M138" s="62">
        <f t="shared" si="92"/>
        <v>-1420008.4767574384</v>
      </c>
      <c r="N138" s="62">
        <f t="shared" si="93"/>
        <v>-1389409.0790574525</v>
      </c>
      <c r="O138" s="62">
        <f t="shared" si="94"/>
        <v>-1349409.7548946792</v>
      </c>
      <c r="P138" s="62">
        <f t="shared" si="95"/>
        <v>-1299037.3668749502</v>
      </c>
      <c r="Q138" s="62">
        <f t="shared" si="96"/>
        <v>-1238591.9471909001</v>
      </c>
      <c r="R138" s="62">
        <f t="shared" si="97"/>
        <v>-1170241.8591063719</v>
      </c>
      <c r="S138" s="62">
        <f t="shared" si="98"/>
        <v>-1098084.9515488902</v>
      </c>
      <c r="T138" s="62">
        <f t="shared" si="99"/>
        <v>-1027347.9569664295</v>
      </c>
      <c r="U138" s="62">
        <f t="shared" si="100"/>
        <v>-962954.61477923405</v>
      </c>
      <c r="V138" s="62">
        <f t="shared" si="101"/>
        <v>-908229.44370838301</v>
      </c>
      <c r="W138" s="62">
        <f t="shared" si="102"/>
        <v>-864404.38240348652</v>
      </c>
      <c r="X138" s="62">
        <f t="shared" si="103"/>
        <v>-830963.91553282493</v>
      </c>
      <c r="Y138" s="62">
        <f t="shared" si="104"/>
        <v>-806382.49045356887</v>
      </c>
      <c r="Z138" s="62">
        <f t="shared" si="105"/>
        <v>-788807.1271331266</v>
      </c>
      <c r="AA138" s="62">
        <f t="shared" si="106"/>
        <v>-776489.39296900947</v>
      </c>
      <c r="AB138" s="62">
        <f t="shared" si="107"/>
        <v>-767977.08155449363</v>
      </c>
      <c r="AC138" s="62">
        <f t="shared" si="108"/>
        <v>-762151.68266879232</v>
      </c>
    </row>
    <row r="139" spans="1:44" x14ac:dyDescent="0.25">
      <c r="A139" s="30" t="str">
        <f t="shared" si="80"/>
        <v>Capex costumization</v>
      </c>
      <c r="B139" s="62">
        <f t="shared" si="81"/>
        <v>5000000</v>
      </c>
      <c r="C139" s="62">
        <f t="shared" si="82"/>
        <v>5000000</v>
      </c>
      <c r="D139" s="62">
        <f t="shared" si="83"/>
        <v>5000000</v>
      </c>
      <c r="E139" s="62">
        <f t="shared" si="84"/>
        <v>5000000</v>
      </c>
      <c r="F139" s="62">
        <f t="shared" si="85"/>
        <v>5000000</v>
      </c>
      <c r="G139" s="62">
        <f t="shared" si="86"/>
        <v>5000000</v>
      </c>
      <c r="H139" s="62">
        <f t="shared" si="87"/>
        <v>5000000</v>
      </c>
      <c r="I139" s="62">
        <f t="shared" si="88"/>
        <v>5000000</v>
      </c>
      <c r="J139" s="62">
        <f t="shared" si="89"/>
        <v>5000000</v>
      </c>
      <c r="K139" s="62">
        <f t="shared" si="90"/>
        <v>5000000</v>
      </c>
      <c r="L139" s="62">
        <f t="shared" si="91"/>
        <v>5000000</v>
      </c>
      <c r="M139" s="62">
        <f t="shared" si="92"/>
        <v>5000000</v>
      </c>
      <c r="N139" s="62">
        <f t="shared" si="93"/>
        <v>5000000</v>
      </c>
      <c r="O139" s="62">
        <f t="shared" si="94"/>
        <v>5000000</v>
      </c>
      <c r="P139" s="62">
        <f t="shared" si="95"/>
        <v>5000000</v>
      </c>
      <c r="Q139" s="62">
        <f t="shared" si="96"/>
        <v>5000000</v>
      </c>
      <c r="R139" s="62">
        <f t="shared" si="97"/>
        <v>5000000</v>
      </c>
      <c r="S139" s="62">
        <f t="shared" si="98"/>
        <v>5000000</v>
      </c>
      <c r="T139" s="62">
        <f t="shared" si="99"/>
        <v>5000000</v>
      </c>
      <c r="U139" s="62">
        <f t="shared" si="100"/>
        <v>5000000</v>
      </c>
      <c r="V139" s="62">
        <f t="shared" si="101"/>
        <v>5000000</v>
      </c>
      <c r="W139" s="62">
        <f t="shared" si="102"/>
        <v>5000000</v>
      </c>
      <c r="X139" s="62">
        <f t="shared" si="103"/>
        <v>5000000</v>
      </c>
      <c r="Y139" s="62">
        <f t="shared" si="104"/>
        <v>5000000</v>
      </c>
      <c r="Z139" s="62">
        <f t="shared" si="105"/>
        <v>5000000</v>
      </c>
      <c r="AA139" s="62">
        <f t="shared" si="106"/>
        <v>5000000</v>
      </c>
      <c r="AB139" s="62">
        <f t="shared" si="107"/>
        <v>5000000</v>
      </c>
      <c r="AC139" s="62">
        <f t="shared" si="108"/>
        <v>5000000</v>
      </c>
    </row>
    <row r="140" spans="1:44" x14ac:dyDescent="0.25">
      <c r="A140" s="30" t="str">
        <f t="shared" si="80"/>
        <v>Residual value (costumization)</v>
      </c>
      <c r="B140" s="62">
        <f t="shared" si="81"/>
        <v>-500000</v>
      </c>
      <c r="C140" s="62">
        <f t="shared" si="82"/>
        <v>-500000</v>
      </c>
      <c r="D140" s="62">
        <f t="shared" si="83"/>
        <v>-500000</v>
      </c>
      <c r="E140" s="62">
        <f t="shared" si="84"/>
        <v>-500000</v>
      </c>
      <c r="F140" s="62">
        <f t="shared" si="85"/>
        <v>-500000</v>
      </c>
      <c r="G140" s="62">
        <f t="shared" si="86"/>
        <v>-500000</v>
      </c>
      <c r="H140" s="62">
        <f t="shared" si="87"/>
        <v>-500000</v>
      </c>
      <c r="I140" s="62">
        <f t="shared" si="88"/>
        <v>-500000</v>
      </c>
      <c r="J140" s="62">
        <f t="shared" si="89"/>
        <v>-500000</v>
      </c>
      <c r="K140" s="62">
        <f t="shared" si="90"/>
        <v>-500000</v>
      </c>
      <c r="L140" s="62">
        <f t="shared" si="91"/>
        <v>-500000</v>
      </c>
      <c r="M140" s="62">
        <f t="shared" si="92"/>
        <v>-500000</v>
      </c>
      <c r="N140" s="62">
        <f t="shared" si="93"/>
        <v>-500000</v>
      </c>
      <c r="O140" s="62">
        <f t="shared" si="94"/>
        <v>-500000</v>
      </c>
      <c r="P140" s="62">
        <f t="shared" si="95"/>
        <v>-500000</v>
      </c>
      <c r="Q140" s="62">
        <f t="shared" si="96"/>
        <v>-500000</v>
      </c>
      <c r="R140" s="62">
        <f t="shared" si="97"/>
        <v>-500000</v>
      </c>
      <c r="S140" s="62">
        <f t="shared" si="98"/>
        <v>-500000</v>
      </c>
      <c r="T140" s="62">
        <f t="shared" si="99"/>
        <v>-500000</v>
      </c>
      <c r="U140" s="62">
        <f t="shared" si="100"/>
        <v>-500000</v>
      </c>
      <c r="V140" s="62">
        <f t="shared" si="101"/>
        <v>-500000</v>
      </c>
      <c r="W140" s="62">
        <f t="shared" si="102"/>
        <v>-500000</v>
      </c>
      <c r="X140" s="62">
        <f t="shared" si="103"/>
        <v>-500000</v>
      </c>
      <c r="Y140" s="62">
        <f t="shared" si="104"/>
        <v>-500000</v>
      </c>
      <c r="Z140" s="62">
        <f t="shared" si="105"/>
        <v>-500000</v>
      </c>
      <c r="AA140" s="62">
        <f t="shared" si="106"/>
        <v>-500000</v>
      </c>
      <c r="AB140" s="62">
        <f t="shared" si="107"/>
        <v>-500000</v>
      </c>
      <c r="AC140" s="62">
        <f t="shared" si="108"/>
        <v>-500000</v>
      </c>
    </row>
    <row r="141" spans="1:44" x14ac:dyDescent="0.25">
      <c r="A141" s="30" t="str">
        <f t="shared" si="80"/>
        <v>WACC</v>
      </c>
      <c r="B141" s="62">
        <f t="shared" si="81"/>
        <v>0.06</v>
      </c>
      <c r="C141" s="62">
        <f t="shared" si="82"/>
        <v>0.06</v>
      </c>
      <c r="D141" s="62">
        <f t="shared" si="83"/>
        <v>0.06</v>
      </c>
      <c r="E141" s="62">
        <f t="shared" si="84"/>
        <v>0.06</v>
      </c>
      <c r="F141" s="62">
        <f t="shared" si="85"/>
        <v>0.06</v>
      </c>
      <c r="G141" s="62">
        <f t="shared" si="86"/>
        <v>0.06</v>
      </c>
      <c r="H141" s="62">
        <f t="shared" si="87"/>
        <v>0.06</v>
      </c>
      <c r="I141" s="62">
        <f t="shared" si="88"/>
        <v>0.06</v>
      </c>
      <c r="J141" s="62">
        <f t="shared" si="89"/>
        <v>0.06</v>
      </c>
      <c r="K141" s="62">
        <f t="shared" si="90"/>
        <v>0.06</v>
      </c>
      <c r="L141" s="62">
        <f t="shared" si="91"/>
        <v>0.06</v>
      </c>
      <c r="M141" s="62">
        <f t="shared" si="92"/>
        <v>0.06</v>
      </c>
      <c r="N141" s="62">
        <f t="shared" si="93"/>
        <v>0.06</v>
      </c>
      <c r="O141" s="62">
        <f t="shared" si="94"/>
        <v>0.06</v>
      </c>
      <c r="P141" s="62">
        <f t="shared" si="95"/>
        <v>0.06</v>
      </c>
      <c r="Q141" s="62">
        <f t="shared" si="96"/>
        <v>0.06</v>
      </c>
      <c r="R141" s="62">
        <f t="shared" si="97"/>
        <v>0.06</v>
      </c>
      <c r="S141" s="62">
        <f t="shared" si="98"/>
        <v>0.06</v>
      </c>
      <c r="T141" s="62">
        <f t="shared" si="99"/>
        <v>0.06</v>
      </c>
      <c r="U141" s="62">
        <f t="shared" si="100"/>
        <v>0.06</v>
      </c>
      <c r="V141" s="62">
        <f t="shared" si="101"/>
        <v>0.06</v>
      </c>
      <c r="W141" s="62">
        <f t="shared" si="102"/>
        <v>0.06</v>
      </c>
      <c r="X141" s="62">
        <f t="shared" si="103"/>
        <v>0.06</v>
      </c>
      <c r="Y141" s="62">
        <f t="shared" si="104"/>
        <v>0.06</v>
      </c>
      <c r="Z141" s="62">
        <f t="shared" si="105"/>
        <v>0.06</v>
      </c>
      <c r="AA141" s="62">
        <f t="shared" si="106"/>
        <v>0.06</v>
      </c>
      <c r="AB141" s="62">
        <f t="shared" si="107"/>
        <v>0.06</v>
      </c>
      <c r="AC141" s="62">
        <f t="shared" si="108"/>
        <v>0.06</v>
      </c>
    </row>
    <row r="142" spans="1:44" x14ac:dyDescent="0.25">
      <c r="A142" s="30" t="str">
        <f t="shared" si="80"/>
        <v>Opex fix (admin, crew, insurance)</v>
      </c>
      <c r="B142" s="62">
        <f t="shared" si="81"/>
        <v>1208235.294117647</v>
      </c>
      <c r="C142" s="62">
        <f t="shared" si="82"/>
        <v>1208235.294117647</v>
      </c>
      <c r="D142" s="62">
        <f t="shared" si="83"/>
        <v>1208235.294117647</v>
      </c>
      <c r="E142" s="62">
        <f t="shared" si="84"/>
        <v>1208235.294117647</v>
      </c>
      <c r="F142" s="62">
        <f t="shared" si="85"/>
        <v>1208235.294117647</v>
      </c>
      <c r="G142" s="62">
        <f t="shared" si="86"/>
        <v>1208235.294117647</v>
      </c>
      <c r="H142" s="62">
        <f t="shared" si="87"/>
        <v>1208235.294117647</v>
      </c>
      <c r="I142" s="62">
        <f t="shared" si="88"/>
        <v>1208235.294117647</v>
      </c>
      <c r="J142" s="62">
        <f t="shared" si="89"/>
        <v>1208235.294117647</v>
      </c>
      <c r="K142" s="62">
        <f t="shared" si="90"/>
        <v>1208235.294117647</v>
      </c>
      <c r="L142" s="62">
        <f t="shared" si="91"/>
        <v>1208235.294117647</v>
      </c>
      <c r="M142" s="62">
        <f t="shared" si="92"/>
        <v>1208235.294117647</v>
      </c>
      <c r="N142" s="62">
        <f t="shared" si="93"/>
        <v>1208235.294117647</v>
      </c>
      <c r="O142" s="62">
        <f t="shared" si="94"/>
        <v>1208235.294117647</v>
      </c>
      <c r="P142" s="62">
        <f t="shared" si="95"/>
        <v>1208235.294117647</v>
      </c>
      <c r="Q142" s="62">
        <f t="shared" si="96"/>
        <v>1208235.294117647</v>
      </c>
      <c r="R142" s="62">
        <f t="shared" si="97"/>
        <v>1208235.294117647</v>
      </c>
      <c r="S142" s="62">
        <f t="shared" si="98"/>
        <v>1208235.294117647</v>
      </c>
      <c r="T142" s="62">
        <f t="shared" si="99"/>
        <v>1208235.294117647</v>
      </c>
      <c r="U142" s="62">
        <f t="shared" si="100"/>
        <v>1208235.294117647</v>
      </c>
      <c r="V142" s="62">
        <f t="shared" si="101"/>
        <v>1208235.294117647</v>
      </c>
      <c r="W142" s="62">
        <f t="shared" si="102"/>
        <v>1208235.294117647</v>
      </c>
      <c r="X142" s="62">
        <f t="shared" si="103"/>
        <v>1208235.294117647</v>
      </c>
      <c r="Y142" s="62">
        <f t="shared" si="104"/>
        <v>1208235.294117647</v>
      </c>
      <c r="Z142" s="62">
        <f t="shared" si="105"/>
        <v>1208235.294117647</v>
      </c>
      <c r="AA142" s="62">
        <f t="shared" si="106"/>
        <v>1208235.294117647</v>
      </c>
      <c r="AB142" s="62">
        <f t="shared" si="107"/>
        <v>1208235.294117647</v>
      </c>
      <c r="AC142" s="62">
        <f t="shared" si="108"/>
        <v>1208235.294117647</v>
      </c>
    </row>
    <row r="143" spans="1:44" x14ac:dyDescent="0.25">
      <c r="A143" s="30" t="str">
        <f t="shared" si="80"/>
        <v>Opex maintenance &amp; repair</v>
      </c>
      <c r="B143" s="62">
        <f t="shared" si="81"/>
        <v>488235.29411764705</v>
      </c>
      <c r="C143" s="62">
        <f t="shared" si="82"/>
        <v>488235.29411764705</v>
      </c>
      <c r="D143" s="62">
        <f t="shared" si="83"/>
        <v>488235.29411764705</v>
      </c>
      <c r="E143" s="62">
        <f t="shared" si="84"/>
        <v>488235.29411764705</v>
      </c>
      <c r="F143" s="62">
        <f t="shared" si="85"/>
        <v>488235.29411764705</v>
      </c>
      <c r="G143" s="62">
        <f t="shared" si="86"/>
        <v>488235.29411764705</v>
      </c>
      <c r="H143" s="62">
        <f t="shared" si="87"/>
        <v>488235.29411764705</v>
      </c>
      <c r="I143" s="62">
        <f t="shared" si="88"/>
        <v>488235.29411764705</v>
      </c>
      <c r="J143" s="62">
        <f t="shared" si="89"/>
        <v>488235.29411764705</v>
      </c>
      <c r="K143" s="62">
        <f t="shared" si="90"/>
        <v>488235.29411764705</v>
      </c>
      <c r="L143" s="62">
        <f t="shared" si="91"/>
        <v>488235.29411764705</v>
      </c>
      <c r="M143" s="62">
        <f t="shared" si="92"/>
        <v>488235.29411764705</v>
      </c>
      <c r="N143" s="62">
        <f t="shared" si="93"/>
        <v>488235.29411764705</v>
      </c>
      <c r="O143" s="62">
        <f t="shared" si="94"/>
        <v>488235.29411764705</v>
      </c>
      <c r="P143" s="62">
        <f t="shared" si="95"/>
        <v>488235.29411764705</v>
      </c>
      <c r="Q143" s="62">
        <f t="shared" si="96"/>
        <v>488235.29411764705</v>
      </c>
      <c r="R143" s="62">
        <f t="shared" si="97"/>
        <v>488235.29411764705</v>
      </c>
      <c r="S143" s="62">
        <f t="shared" si="98"/>
        <v>488235.29411764705</v>
      </c>
      <c r="T143" s="62">
        <f t="shared" si="99"/>
        <v>488235.29411764705</v>
      </c>
      <c r="U143" s="62">
        <f t="shared" si="100"/>
        <v>488235.29411764705</v>
      </c>
      <c r="V143" s="62">
        <f t="shared" si="101"/>
        <v>488235.29411764705</v>
      </c>
      <c r="W143" s="62">
        <f t="shared" si="102"/>
        <v>488235.29411764705</v>
      </c>
      <c r="X143" s="62">
        <f t="shared" si="103"/>
        <v>488235.29411764705</v>
      </c>
      <c r="Y143" s="62">
        <f t="shared" si="104"/>
        <v>488235.29411764705</v>
      </c>
      <c r="Z143" s="62">
        <f t="shared" si="105"/>
        <v>488235.29411764705</v>
      </c>
      <c r="AA143" s="62">
        <f t="shared" si="106"/>
        <v>488235.29411764705</v>
      </c>
      <c r="AB143" s="62">
        <f t="shared" si="107"/>
        <v>488235.29411764705</v>
      </c>
      <c r="AC143" s="62">
        <f t="shared" si="108"/>
        <v>488235.29411764705</v>
      </c>
    </row>
    <row r="144" spans="1:44" x14ac:dyDescent="0.25">
      <c r="A144" s="30" t="str">
        <f t="shared" si="80"/>
        <v>Opex var (mode-fees)</v>
      </c>
      <c r="B144" s="62">
        <f t="shared" si="81"/>
        <v>1.6886890630966982</v>
      </c>
      <c r="C144" s="62">
        <f t="shared" si="82"/>
        <v>1.6886890630966982</v>
      </c>
      <c r="D144" s="62">
        <f t="shared" si="83"/>
        <v>1.6886890630966982</v>
      </c>
      <c r="E144" s="62">
        <f t="shared" si="84"/>
        <v>1.6886890630966982</v>
      </c>
      <c r="F144" s="62">
        <f t="shared" si="85"/>
        <v>1.6886890630966982</v>
      </c>
      <c r="G144" s="62">
        <f t="shared" si="86"/>
        <v>1.6886890630966982</v>
      </c>
      <c r="H144" s="62">
        <f t="shared" si="87"/>
        <v>1.6886890630966982</v>
      </c>
      <c r="I144" s="62">
        <f t="shared" si="88"/>
        <v>1.6886890630966982</v>
      </c>
      <c r="J144" s="62">
        <f t="shared" si="89"/>
        <v>1.6886890630966982</v>
      </c>
      <c r="K144" s="62">
        <f t="shared" si="90"/>
        <v>1.6886890630966982</v>
      </c>
      <c r="L144" s="62">
        <f t="shared" si="91"/>
        <v>1.6886890630966982</v>
      </c>
      <c r="M144" s="62">
        <f t="shared" si="92"/>
        <v>1.6886890630966982</v>
      </c>
      <c r="N144" s="62">
        <f t="shared" si="93"/>
        <v>1.6886890630966982</v>
      </c>
      <c r="O144" s="62">
        <f t="shared" si="94"/>
        <v>1.6886890630966982</v>
      </c>
      <c r="P144" s="62">
        <f t="shared" si="95"/>
        <v>1.6886890630966982</v>
      </c>
      <c r="Q144" s="62">
        <f t="shared" si="96"/>
        <v>1.6886890630966982</v>
      </c>
      <c r="R144" s="62">
        <f t="shared" si="97"/>
        <v>1.6886890630966982</v>
      </c>
      <c r="S144" s="62">
        <f t="shared" si="98"/>
        <v>1.6886890630966982</v>
      </c>
      <c r="T144" s="62">
        <f t="shared" si="99"/>
        <v>1.6886890630966982</v>
      </c>
      <c r="U144" s="62">
        <f t="shared" si="100"/>
        <v>1.6886890630966982</v>
      </c>
      <c r="V144" s="62">
        <f t="shared" si="101"/>
        <v>1.6886890630966982</v>
      </c>
      <c r="W144" s="62">
        <f t="shared" si="102"/>
        <v>1.6886890630966982</v>
      </c>
      <c r="X144" s="62">
        <f t="shared" si="103"/>
        <v>1.6886890630966982</v>
      </c>
      <c r="Y144" s="62">
        <f t="shared" si="104"/>
        <v>1.6886890630966982</v>
      </c>
      <c r="Z144" s="62">
        <f t="shared" si="105"/>
        <v>1.6886890630966982</v>
      </c>
      <c r="AA144" s="62">
        <f t="shared" si="106"/>
        <v>1.6886890630966982</v>
      </c>
      <c r="AB144" s="62">
        <f t="shared" si="107"/>
        <v>1.6886890630966982</v>
      </c>
      <c r="AC144" s="62">
        <f t="shared" si="108"/>
        <v>1.6886890630966982</v>
      </c>
    </row>
    <row r="145" spans="1:29" x14ac:dyDescent="0.25">
      <c r="A145" s="30" t="str">
        <f t="shared" si="80"/>
        <v>Fuel Economy</v>
      </c>
      <c r="B145" s="62">
        <f t="shared" si="81"/>
        <v>646.89677603543487</v>
      </c>
      <c r="C145" s="62">
        <f t="shared" si="82"/>
        <v>646.85211887817047</v>
      </c>
      <c r="D145" s="62">
        <f t="shared" si="83"/>
        <v>646.78819315220449</v>
      </c>
      <c r="E145" s="62">
        <f t="shared" si="84"/>
        <v>646.6967429057521</v>
      </c>
      <c r="F145" s="62">
        <f t="shared" si="85"/>
        <v>646.5660403240729</v>
      </c>
      <c r="G145" s="62">
        <f t="shared" si="86"/>
        <v>646.37949949401741</v>
      </c>
      <c r="H145" s="62">
        <f t="shared" si="87"/>
        <v>646.11381958854338</v>
      </c>
      <c r="I145" s="62">
        <f t="shared" si="88"/>
        <v>645.73659220845991</v>
      </c>
      <c r="J145" s="62">
        <f t="shared" si="89"/>
        <v>645.20341755594859</v>
      </c>
      <c r="K145" s="62">
        <f t="shared" si="90"/>
        <v>644.4548499630904</v>
      </c>
      <c r="L145" s="62">
        <f t="shared" si="91"/>
        <v>643.41406927056653</v>
      </c>
      <c r="M145" s="62">
        <f t="shared" si="92"/>
        <v>641.98719787679943</v>
      </c>
      <c r="N145" s="62">
        <f t="shared" si="93"/>
        <v>640.0696356209337</v>
      </c>
      <c r="O145" s="62">
        <f t="shared" si="94"/>
        <v>637.56301130673319</v>
      </c>
      <c r="P145" s="62">
        <f t="shared" si="95"/>
        <v>634.40634165749691</v>
      </c>
      <c r="Q145" s="62">
        <f t="shared" si="96"/>
        <v>630.6184286906298</v>
      </c>
      <c r="R145" s="62">
        <f t="shared" si="97"/>
        <v>626.33515650399931</v>
      </c>
      <c r="S145" s="62">
        <f t="shared" si="98"/>
        <v>621.81332363039712</v>
      </c>
      <c r="T145" s="62">
        <f t="shared" si="99"/>
        <v>617.38047196989623</v>
      </c>
      <c r="U145" s="62">
        <f t="shared" si="100"/>
        <v>613.34515585949862</v>
      </c>
      <c r="V145" s="62">
        <f t="shared" si="101"/>
        <v>609.91571180572532</v>
      </c>
      <c r="W145" s="62">
        <f t="shared" si="102"/>
        <v>607.1693412972852</v>
      </c>
      <c r="X145" s="62">
        <f t="shared" si="103"/>
        <v>605.0737387067237</v>
      </c>
      <c r="Y145" s="62">
        <f t="shared" si="104"/>
        <v>603.53330273509027</v>
      </c>
      <c r="Z145" s="62">
        <f t="shared" si="105"/>
        <v>602.43191330034256</v>
      </c>
      <c r="AA145" s="62">
        <f t="shared" si="106"/>
        <v>601.66000195939125</v>
      </c>
      <c r="AB145" s="62">
        <f t="shared" si="107"/>
        <v>601.12656377741496</v>
      </c>
      <c r="AC145" s="62">
        <f t="shared" si="108"/>
        <v>600.7615054472443</v>
      </c>
    </row>
    <row r="146" spans="1:29" x14ac:dyDescent="0.25">
      <c r="A146" s="30" t="str">
        <f t="shared" si="80"/>
        <v>Fuel Cost</v>
      </c>
      <c r="B146" s="62">
        <f>'Parameter Input'!J9</f>
        <v>5.7951260504201685E-2</v>
      </c>
      <c r="C146" s="62">
        <f>'Parameter Input'!K9</f>
        <v>5.3954621848739497E-2</v>
      </c>
      <c r="D146" s="62">
        <f>'Parameter Input'!L9</f>
        <v>4.9957983193277315E-2</v>
      </c>
      <c r="E146" s="62">
        <f>'Parameter Input'!M9</f>
        <v>4.5961344537815127E-2</v>
      </c>
      <c r="F146" s="62">
        <f>'Parameter Input'!N9</f>
        <v>4.1964705882352946E-2</v>
      </c>
      <c r="G146" s="62">
        <f>'Parameter Input'!O9</f>
        <v>3.7968067226890764E-2</v>
      </c>
      <c r="H146" s="62">
        <f>'Parameter Input'!P9</f>
        <v>3.3971428571428583E-2</v>
      </c>
      <c r="I146" s="62">
        <f>'Parameter Input'!Q9</f>
        <v>2.9974789915966391E-2</v>
      </c>
      <c r="J146" s="62">
        <f>'Parameter Input'!R9</f>
        <v>2.9368157262905165E-2</v>
      </c>
      <c r="K146" s="62">
        <f>'Parameter Input'!S9</f>
        <v>2.8761524609843939E-2</v>
      </c>
      <c r="L146" s="62">
        <f>'Parameter Input'!T9</f>
        <v>2.8154891956782713E-2</v>
      </c>
      <c r="M146" s="62">
        <f>'Parameter Input'!U9</f>
        <v>2.7548259303721487E-2</v>
      </c>
      <c r="N146" s="62">
        <f>'Parameter Input'!V9</f>
        <v>2.6941626650660268E-2</v>
      </c>
      <c r="O146" s="62">
        <f>'Parameter Input'!W9</f>
        <v>2.6334993997599043E-2</v>
      </c>
      <c r="P146" s="62">
        <f>'Parameter Input'!X9</f>
        <v>2.5728361344537817E-2</v>
      </c>
      <c r="Q146" s="62">
        <f>'Parameter Input'!Y9</f>
        <v>2.5121728691476591E-2</v>
      </c>
      <c r="R146" s="62">
        <f>'Parameter Input'!Z9</f>
        <v>2.4515096038415365E-2</v>
      </c>
      <c r="S146" s="62">
        <f>'Parameter Input'!AA9</f>
        <v>2.3908463385354146E-2</v>
      </c>
      <c r="T146" s="62">
        <f>'Parameter Input'!AB9</f>
        <v>2.330183073229292E-2</v>
      </c>
      <c r="U146" s="62">
        <f>'Parameter Input'!AC9</f>
        <v>2.2695198079231694E-2</v>
      </c>
      <c r="V146" s="62">
        <f>'Parameter Input'!AD9</f>
        <v>2.2088565426170468E-2</v>
      </c>
      <c r="W146" s="62">
        <f>'Parameter Input'!AE9</f>
        <v>2.1481932773109242E-2</v>
      </c>
      <c r="X146" s="62">
        <f>'Parameter Input'!AF9</f>
        <v>2.0875300120048023E-2</v>
      </c>
      <c r="Y146" s="62">
        <f>'Parameter Input'!AG9</f>
        <v>2.0268667466986797E-2</v>
      </c>
      <c r="Z146" s="62">
        <f>'Parameter Input'!AH9</f>
        <v>1.9662034813925571E-2</v>
      </c>
      <c r="AA146" s="62">
        <f>'Parameter Input'!AI9</f>
        <v>1.9055402160864345E-2</v>
      </c>
      <c r="AB146" s="62">
        <f>'Parameter Input'!AJ9</f>
        <v>1.8448769507803119E-2</v>
      </c>
      <c r="AC146" s="62">
        <f>'Parameter Input'!AK9</f>
        <v>1.78421368547419E-2</v>
      </c>
    </row>
    <row r="147" spans="1:29" x14ac:dyDescent="0.25">
      <c r="A147" s="30" t="str">
        <f t="shared" si="80"/>
        <v>Emission Cost</v>
      </c>
      <c r="B147" s="98">
        <f>$B127+($C127-$B127)*(1-Q127)</f>
        <v>0</v>
      </c>
      <c r="C147" s="98">
        <f t="shared" ref="C147:AC147" si="109">$B127+($C127-$B127)*(1-R127)</f>
        <v>0</v>
      </c>
      <c r="D147" s="98">
        <f t="shared" si="109"/>
        <v>0</v>
      </c>
      <c r="E147" s="98">
        <f t="shared" si="109"/>
        <v>0</v>
      </c>
      <c r="F147" s="98">
        <f t="shared" si="109"/>
        <v>0</v>
      </c>
      <c r="G147" s="98">
        <f t="shared" si="109"/>
        <v>0</v>
      </c>
      <c r="H147" s="98">
        <f t="shared" si="109"/>
        <v>0</v>
      </c>
      <c r="I147" s="98">
        <f t="shared" si="109"/>
        <v>0</v>
      </c>
      <c r="J147" s="98">
        <f t="shared" si="109"/>
        <v>0</v>
      </c>
      <c r="K147" s="98">
        <f t="shared" si="109"/>
        <v>0</v>
      </c>
      <c r="L147" s="98">
        <f t="shared" si="109"/>
        <v>0</v>
      </c>
      <c r="M147" s="98">
        <f t="shared" si="109"/>
        <v>0</v>
      </c>
      <c r="N147" s="98">
        <f t="shared" si="109"/>
        <v>0</v>
      </c>
      <c r="O147" s="98">
        <f t="shared" si="109"/>
        <v>0</v>
      </c>
      <c r="P147" s="98">
        <f t="shared" si="109"/>
        <v>0</v>
      </c>
      <c r="Q147" s="98">
        <f t="shared" si="109"/>
        <v>0</v>
      </c>
      <c r="R147" s="98">
        <f t="shared" si="109"/>
        <v>0</v>
      </c>
      <c r="S147" s="98">
        <f t="shared" si="109"/>
        <v>0</v>
      </c>
      <c r="T147" s="98">
        <f t="shared" si="109"/>
        <v>0</v>
      </c>
      <c r="U147" s="98">
        <f t="shared" si="109"/>
        <v>0</v>
      </c>
      <c r="V147" s="98">
        <f t="shared" si="109"/>
        <v>0</v>
      </c>
      <c r="W147" s="98">
        <f t="shared" si="109"/>
        <v>0</v>
      </c>
      <c r="X147" s="98">
        <f t="shared" si="109"/>
        <v>0</v>
      </c>
      <c r="Y147" s="98">
        <f t="shared" si="109"/>
        <v>0</v>
      </c>
      <c r="Z147" s="98">
        <f t="shared" si="109"/>
        <v>0</v>
      </c>
      <c r="AA147" s="98">
        <f t="shared" si="109"/>
        <v>0</v>
      </c>
      <c r="AB147" s="98">
        <f t="shared" si="109"/>
        <v>0</v>
      </c>
      <c r="AC147" s="98">
        <f t="shared" si="109"/>
        <v>0</v>
      </c>
    </row>
    <row r="148" spans="1:29" x14ac:dyDescent="0.25">
      <c r="A148" s="30" t="str">
        <f t="shared" si="80"/>
        <v>Lifetime vehicle</v>
      </c>
      <c r="B148" s="62">
        <f>$B128+($C128-$B128)*(1-Q128)</f>
        <v>25</v>
      </c>
      <c r="C148" s="62">
        <f t="shared" ref="C148:L150" si="110">$B128+($C128-$B128)*(1-R128)</f>
        <v>25</v>
      </c>
      <c r="D148" s="62">
        <f t="shared" si="110"/>
        <v>25</v>
      </c>
      <c r="E148" s="62">
        <f t="shared" si="110"/>
        <v>25</v>
      </c>
      <c r="F148" s="62">
        <f t="shared" si="110"/>
        <v>25</v>
      </c>
      <c r="G148" s="62">
        <f t="shared" si="110"/>
        <v>25</v>
      </c>
      <c r="H148" s="62">
        <f t="shared" si="110"/>
        <v>25</v>
      </c>
      <c r="I148" s="62">
        <f t="shared" si="110"/>
        <v>25</v>
      </c>
      <c r="J148" s="62">
        <f t="shared" si="110"/>
        <v>25</v>
      </c>
      <c r="K148" s="62">
        <f t="shared" si="110"/>
        <v>25</v>
      </c>
      <c r="L148" s="62">
        <f t="shared" si="110"/>
        <v>25</v>
      </c>
      <c r="M148" s="62">
        <f t="shared" ref="M148:V150" si="111">$B128+($C128-$B128)*(1-AB128)</f>
        <v>25</v>
      </c>
      <c r="N148" s="62">
        <f t="shared" si="111"/>
        <v>25</v>
      </c>
      <c r="O148" s="62">
        <f t="shared" si="111"/>
        <v>25</v>
      </c>
      <c r="P148" s="62">
        <f t="shared" si="111"/>
        <v>25</v>
      </c>
      <c r="Q148" s="62">
        <f t="shared" si="111"/>
        <v>25</v>
      </c>
      <c r="R148" s="62">
        <f t="shared" si="111"/>
        <v>25</v>
      </c>
      <c r="S148" s="62">
        <f t="shared" si="111"/>
        <v>25</v>
      </c>
      <c r="T148" s="62">
        <f t="shared" si="111"/>
        <v>25</v>
      </c>
      <c r="U148" s="62">
        <f t="shared" si="111"/>
        <v>25</v>
      </c>
      <c r="V148" s="62">
        <f t="shared" si="111"/>
        <v>25</v>
      </c>
      <c r="W148" s="62">
        <f t="shared" ref="W148:AC150" si="112">$B128+($C128-$B128)*(1-AL128)</f>
        <v>25</v>
      </c>
      <c r="X148" s="62">
        <f t="shared" si="112"/>
        <v>25</v>
      </c>
      <c r="Y148" s="62">
        <f t="shared" si="112"/>
        <v>25</v>
      </c>
      <c r="Z148" s="62">
        <f t="shared" si="112"/>
        <v>25</v>
      </c>
      <c r="AA148" s="62">
        <f t="shared" si="112"/>
        <v>25</v>
      </c>
      <c r="AB148" s="62">
        <f t="shared" si="112"/>
        <v>25</v>
      </c>
      <c r="AC148" s="62">
        <f t="shared" si="112"/>
        <v>25</v>
      </c>
    </row>
    <row r="149" spans="1:29" x14ac:dyDescent="0.25">
      <c r="A149" s="30" t="str">
        <f t="shared" si="80"/>
        <v>Lifetime costumization</v>
      </c>
      <c r="B149" s="62">
        <f>$B129+($C129-$B129)*(1-Q129)</f>
        <v>25</v>
      </c>
      <c r="C149" s="62">
        <f t="shared" si="110"/>
        <v>25</v>
      </c>
      <c r="D149" s="62">
        <f t="shared" si="110"/>
        <v>25</v>
      </c>
      <c r="E149" s="62">
        <f t="shared" si="110"/>
        <v>25</v>
      </c>
      <c r="F149" s="62">
        <f t="shared" si="110"/>
        <v>25</v>
      </c>
      <c r="G149" s="62">
        <f t="shared" si="110"/>
        <v>25</v>
      </c>
      <c r="H149" s="62">
        <f t="shared" si="110"/>
        <v>25</v>
      </c>
      <c r="I149" s="62">
        <f t="shared" si="110"/>
        <v>25</v>
      </c>
      <c r="J149" s="62">
        <f t="shared" si="110"/>
        <v>25</v>
      </c>
      <c r="K149" s="62">
        <f t="shared" si="110"/>
        <v>25</v>
      </c>
      <c r="L149" s="62">
        <f t="shared" si="110"/>
        <v>25</v>
      </c>
      <c r="M149" s="62">
        <f t="shared" si="111"/>
        <v>25</v>
      </c>
      <c r="N149" s="62">
        <f t="shared" si="111"/>
        <v>25</v>
      </c>
      <c r="O149" s="62">
        <f t="shared" si="111"/>
        <v>25</v>
      </c>
      <c r="P149" s="62">
        <f t="shared" si="111"/>
        <v>25</v>
      </c>
      <c r="Q149" s="62">
        <f t="shared" si="111"/>
        <v>25</v>
      </c>
      <c r="R149" s="62">
        <f t="shared" si="111"/>
        <v>25</v>
      </c>
      <c r="S149" s="62">
        <f t="shared" si="111"/>
        <v>25</v>
      </c>
      <c r="T149" s="62">
        <f t="shared" si="111"/>
        <v>25</v>
      </c>
      <c r="U149" s="62">
        <f t="shared" si="111"/>
        <v>25</v>
      </c>
      <c r="V149" s="62">
        <f t="shared" si="111"/>
        <v>25</v>
      </c>
      <c r="W149" s="62">
        <f t="shared" si="112"/>
        <v>25</v>
      </c>
      <c r="X149" s="62">
        <f t="shared" si="112"/>
        <v>25</v>
      </c>
      <c r="Y149" s="62">
        <f t="shared" si="112"/>
        <v>25</v>
      </c>
      <c r="Z149" s="62">
        <f t="shared" si="112"/>
        <v>25</v>
      </c>
      <c r="AA149" s="62">
        <f t="shared" si="112"/>
        <v>25</v>
      </c>
      <c r="AB149" s="62">
        <f t="shared" si="112"/>
        <v>25</v>
      </c>
      <c r="AC149" s="62">
        <f t="shared" si="112"/>
        <v>25</v>
      </c>
    </row>
    <row r="150" spans="1:29" x14ac:dyDescent="0.25">
      <c r="A150" s="30" t="str">
        <f t="shared" si="80"/>
        <v>Tonnage .</v>
      </c>
      <c r="B150" s="62">
        <f>$B130+($C130-$B130)*(1-Q130)</f>
        <v>9450</v>
      </c>
      <c r="C150" s="62">
        <f t="shared" si="110"/>
        <v>9450</v>
      </c>
      <c r="D150" s="62">
        <f t="shared" si="110"/>
        <v>9450</v>
      </c>
      <c r="E150" s="62">
        <f t="shared" si="110"/>
        <v>9450</v>
      </c>
      <c r="F150" s="62">
        <f t="shared" si="110"/>
        <v>9450</v>
      </c>
      <c r="G150" s="62">
        <f t="shared" si="110"/>
        <v>9450</v>
      </c>
      <c r="H150" s="62">
        <f t="shared" si="110"/>
        <v>9450</v>
      </c>
      <c r="I150" s="62">
        <f t="shared" si="110"/>
        <v>9450</v>
      </c>
      <c r="J150" s="62">
        <f t="shared" si="110"/>
        <v>9450</v>
      </c>
      <c r="K150" s="62">
        <f t="shared" si="110"/>
        <v>9450</v>
      </c>
      <c r="L150" s="62">
        <f t="shared" si="110"/>
        <v>9450</v>
      </c>
      <c r="M150" s="62">
        <f t="shared" si="111"/>
        <v>9450</v>
      </c>
      <c r="N150" s="62">
        <f t="shared" si="111"/>
        <v>9450</v>
      </c>
      <c r="O150" s="62">
        <f t="shared" si="111"/>
        <v>9450</v>
      </c>
      <c r="P150" s="62">
        <f t="shared" si="111"/>
        <v>9450</v>
      </c>
      <c r="Q150" s="62">
        <f t="shared" si="111"/>
        <v>9450</v>
      </c>
      <c r="R150" s="62">
        <f t="shared" si="111"/>
        <v>9450</v>
      </c>
      <c r="S150" s="62">
        <f t="shared" si="111"/>
        <v>9450</v>
      </c>
      <c r="T150" s="62">
        <f t="shared" si="111"/>
        <v>9450</v>
      </c>
      <c r="U150" s="62">
        <f t="shared" si="111"/>
        <v>9450</v>
      </c>
      <c r="V150" s="62">
        <f t="shared" si="111"/>
        <v>9450</v>
      </c>
      <c r="W150" s="62">
        <f t="shared" si="112"/>
        <v>9450</v>
      </c>
      <c r="X150" s="62">
        <f t="shared" si="112"/>
        <v>9450</v>
      </c>
      <c r="Y150" s="62">
        <f t="shared" si="112"/>
        <v>9450</v>
      </c>
      <c r="Z150" s="62">
        <f t="shared" si="112"/>
        <v>9450</v>
      </c>
      <c r="AA150" s="62">
        <f t="shared" si="112"/>
        <v>9450</v>
      </c>
      <c r="AB150" s="62">
        <f t="shared" si="112"/>
        <v>9450</v>
      </c>
      <c r="AC150" s="62">
        <f t="shared" si="112"/>
        <v>9450</v>
      </c>
    </row>
    <row r="151" spans="1:29" x14ac:dyDescent="0.25">
      <c r="A151" s="30" t="str">
        <f t="shared" si="80"/>
        <v>Market failure (av. utilization)</v>
      </c>
      <c r="B151" s="62">
        <f t="shared" ref="B151:K152" si="113">($B131+($C131-$B131)*(1-Q131))*B$44</f>
        <v>5418</v>
      </c>
      <c r="C151" s="62">
        <f t="shared" si="113"/>
        <v>5418</v>
      </c>
      <c r="D151" s="62">
        <f t="shared" si="113"/>
        <v>5418</v>
      </c>
      <c r="E151" s="62">
        <f t="shared" si="113"/>
        <v>5418</v>
      </c>
      <c r="F151" s="62">
        <f t="shared" si="113"/>
        <v>5418</v>
      </c>
      <c r="G151" s="62">
        <f t="shared" si="113"/>
        <v>5418</v>
      </c>
      <c r="H151" s="62">
        <f t="shared" si="113"/>
        <v>5418</v>
      </c>
      <c r="I151" s="62">
        <f t="shared" si="113"/>
        <v>5418</v>
      </c>
      <c r="J151" s="62">
        <f t="shared" si="113"/>
        <v>5418</v>
      </c>
      <c r="K151" s="62">
        <f t="shared" si="113"/>
        <v>5418</v>
      </c>
      <c r="L151" s="62">
        <f t="shared" ref="L151:U152" si="114">($B131+($C131-$B131)*(1-AA131))*L$44</f>
        <v>5418</v>
      </c>
      <c r="M151" s="62">
        <f t="shared" si="114"/>
        <v>5418</v>
      </c>
      <c r="N151" s="62">
        <f t="shared" si="114"/>
        <v>5418</v>
      </c>
      <c r="O151" s="62">
        <f t="shared" si="114"/>
        <v>5418</v>
      </c>
      <c r="P151" s="62">
        <f t="shared" si="114"/>
        <v>5418</v>
      </c>
      <c r="Q151" s="62">
        <f t="shared" si="114"/>
        <v>5418</v>
      </c>
      <c r="R151" s="62">
        <f t="shared" si="114"/>
        <v>5418</v>
      </c>
      <c r="S151" s="62">
        <f t="shared" si="114"/>
        <v>5418</v>
      </c>
      <c r="T151" s="62">
        <f t="shared" si="114"/>
        <v>5418</v>
      </c>
      <c r="U151" s="62">
        <f t="shared" si="114"/>
        <v>5418</v>
      </c>
      <c r="V151" s="62">
        <f t="shared" ref="V151:AC152" si="115">($B131+($C131-$B131)*(1-AK131))*V$44</f>
        <v>5418</v>
      </c>
      <c r="W151" s="62">
        <f t="shared" si="115"/>
        <v>5418</v>
      </c>
      <c r="X151" s="62">
        <f t="shared" si="115"/>
        <v>5418</v>
      </c>
      <c r="Y151" s="62">
        <f t="shared" si="115"/>
        <v>5418</v>
      </c>
      <c r="Z151" s="62">
        <f t="shared" si="115"/>
        <v>5418</v>
      </c>
      <c r="AA151" s="62">
        <f t="shared" si="115"/>
        <v>5418</v>
      </c>
      <c r="AB151" s="62">
        <f t="shared" si="115"/>
        <v>5418</v>
      </c>
      <c r="AC151" s="62">
        <f t="shared" si="115"/>
        <v>5418</v>
      </c>
    </row>
    <row r="152" spans="1:29" x14ac:dyDescent="0.25">
      <c r="A152" s="30" t="s">
        <v>73</v>
      </c>
      <c r="B152" s="62">
        <f t="shared" si="113"/>
        <v>0</v>
      </c>
      <c r="C152" s="62">
        <f t="shared" si="113"/>
        <v>0</v>
      </c>
      <c r="D152" s="62">
        <f t="shared" si="113"/>
        <v>0</v>
      </c>
      <c r="E152" s="62">
        <f t="shared" si="113"/>
        <v>0</v>
      </c>
      <c r="F152" s="62">
        <f t="shared" si="113"/>
        <v>0</v>
      </c>
      <c r="G152" s="62">
        <f t="shared" si="113"/>
        <v>0</v>
      </c>
      <c r="H152" s="62">
        <f t="shared" si="113"/>
        <v>0</v>
      </c>
      <c r="I152" s="62">
        <f t="shared" si="113"/>
        <v>0</v>
      </c>
      <c r="J152" s="62">
        <f t="shared" si="113"/>
        <v>0</v>
      </c>
      <c r="K152" s="62">
        <f t="shared" si="113"/>
        <v>0</v>
      </c>
      <c r="L152" s="62">
        <f t="shared" si="114"/>
        <v>0</v>
      </c>
      <c r="M152" s="62">
        <f t="shared" si="114"/>
        <v>0</v>
      </c>
      <c r="N152" s="62">
        <f t="shared" si="114"/>
        <v>0</v>
      </c>
      <c r="O152" s="62">
        <f t="shared" si="114"/>
        <v>0</v>
      </c>
      <c r="P152" s="62">
        <f t="shared" si="114"/>
        <v>0</v>
      </c>
      <c r="Q152" s="62">
        <f t="shared" si="114"/>
        <v>0</v>
      </c>
      <c r="R152" s="62">
        <f t="shared" si="114"/>
        <v>0</v>
      </c>
      <c r="S152" s="62">
        <f t="shared" si="114"/>
        <v>0</v>
      </c>
      <c r="T152" s="62">
        <f t="shared" si="114"/>
        <v>0</v>
      </c>
      <c r="U152" s="62">
        <f t="shared" si="114"/>
        <v>0</v>
      </c>
      <c r="V152" s="62">
        <f t="shared" si="115"/>
        <v>0</v>
      </c>
      <c r="W152" s="62">
        <f t="shared" si="115"/>
        <v>0</v>
      </c>
      <c r="X152" s="62">
        <f t="shared" si="115"/>
        <v>0</v>
      </c>
      <c r="Y152" s="62">
        <f t="shared" si="115"/>
        <v>0</v>
      </c>
      <c r="Z152" s="62">
        <f t="shared" si="115"/>
        <v>0</v>
      </c>
      <c r="AA152" s="62">
        <f t="shared" si="115"/>
        <v>0</v>
      </c>
      <c r="AB152" s="62">
        <f t="shared" si="115"/>
        <v>0</v>
      </c>
      <c r="AC152" s="62">
        <f t="shared" si="115"/>
        <v>0</v>
      </c>
    </row>
    <row r="153" spans="1:29" x14ac:dyDescent="0.25">
      <c r="A153" s="30" t="str">
        <f>A133</f>
        <v>Annual Mileage</v>
      </c>
      <c r="B153" s="62">
        <f t="shared" ref="B153:AC153" si="116">$B133+($C133-$B133)*(1-Q133)</f>
        <v>120000</v>
      </c>
      <c r="C153" s="62">
        <f t="shared" si="116"/>
        <v>120000</v>
      </c>
      <c r="D153" s="62">
        <f t="shared" si="116"/>
        <v>120000</v>
      </c>
      <c r="E153" s="62">
        <f t="shared" si="116"/>
        <v>120000</v>
      </c>
      <c r="F153" s="62">
        <f t="shared" si="116"/>
        <v>120000</v>
      </c>
      <c r="G153" s="62">
        <f t="shared" si="116"/>
        <v>120000</v>
      </c>
      <c r="H153" s="62">
        <f t="shared" si="116"/>
        <v>120000</v>
      </c>
      <c r="I153" s="62">
        <f t="shared" si="116"/>
        <v>120000</v>
      </c>
      <c r="J153" s="62">
        <f t="shared" si="116"/>
        <v>120000</v>
      </c>
      <c r="K153" s="62">
        <f t="shared" si="116"/>
        <v>120000</v>
      </c>
      <c r="L153" s="62">
        <f t="shared" si="116"/>
        <v>120000</v>
      </c>
      <c r="M153" s="62">
        <f t="shared" si="116"/>
        <v>120000</v>
      </c>
      <c r="N153" s="62">
        <f t="shared" si="116"/>
        <v>120000</v>
      </c>
      <c r="O153" s="62">
        <f t="shared" si="116"/>
        <v>120000</v>
      </c>
      <c r="P153" s="62">
        <f t="shared" si="116"/>
        <v>120000</v>
      </c>
      <c r="Q153" s="62">
        <f t="shared" si="116"/>
        <v>120000</v>
      </c>
      <c r="R153" s="62">
        <f t="shared" si="116"/>
        <v>120000</v>
      </c>
      <c r="S153" s="62">
        <f t="shared" si="116"/>
        <v>120000</v>
      </c>
      <c r="T153" s="62">
        <f t="shared" si="116"/>
        <v>120000</v>
      </c>
      <c r="U153" s="62">
        <f t="shared" si="116"/>
        <v>120000</v>
      </c>
      <c r="V153" s="62">
        <f t="shared" si="116"/>
        <v>120000</v>
      </c>
      <c r="W153" s="62">
        <f t="shared" si="116"/>
        <v>120000</v>
      </c>
      <c r="X153" s="62">
        <f t="shared" si="116"/>
        <v>120000</v>
      </c>
      <c r="Y153" s="62">
        <f t="shared" si="116"/>
        <v>120000</v>
      </c>
      <c r="Z153" s="62">
        <f t="shared" si="116"/>
        <v>120000</v>
      </c>
      <c r="AA153" s="62">
        <f t="shared" si="116"/>
        <v>120000</v>
      </c>
      <c r="AB153" s="62">
        <f t="shared" si="116"/>
        <v>120000</v>
      </c>
      <c r="AC153" s="62">
        <f t="shared" si="116"/>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7">((1+C141)^C148)*C141/(((1+C141)^C148)-1)*(C137)</f>
        <v>1173400.7731841092</v>
      </c>
      <c r="D156" s="63">
        <f t="shared" si="117"/>
        <v>1173400.7731841092</v>
      </c>
      <c r="E156" s="63">
        <f t="shared" si="117"/>
        <v>1173400.7731841092</v>
      </c>
      <c r="F156" s="63">
        <f t="shared" si="117"/>
        <v>1173400.7731841092</v>
      </c>
      <c r="G156" s="63">
        <f t="shared" si="117"/>
        <v>1173400.7731841092</v>
      </c>
      <c r="H156" s="63">
        <f t="shared" si="117"/>
        <v>1173400.7731841092</v>
      </c>
      <c r="I156" s="63">
        <f t="shared" si="117"/>
        <v>1173400.7731841092</v>
      </c>
      <c r="J156" s="63">
        <f t="shared" si="117"/>
        <v>1173400.7731841092</v>
      </c>
      <c r="K156" s="63">
        <f t="shared" si="117"/>
        <v>1173400.7731841092</v>
      </c>
      <c r="L156" s="63">
        <f t="shared" si="117"/>
        <v>1173400.7731841092</v>
      </c>
      <c r="M156" s="63">
        <f t="shared" si="117"/>
        <v>1173400.7731841092</v>
      </c>
      <c r="N156" s="63">
        <f t="shared" si="117"/>
        <v>1173400.7731841092</v>
      </c>
      <c r="O156" s="63">
        <f t="shared" si="117"/>
        <v>1173400.7731841092</v>
      </c>
      <c r="P156" s="63">
        <f t="shared" si="117"/>
        <v>1173400.7731841092</v>
      </c>
      <c r="Q156" s="63">
        <f t="shared" si="117"/>
        <v>1173400.7731841092</v>
      </c>
      <c r="R156" s="63">
        <f t="shared" si="117"/>
        <v>1173400.7731841092</v>
      </c>
      <c r="S156" s="63">
        <f t="shared" si="117"/>
        <v>1173400.7731841092</v>
      </c>
      <c r="T156" s="63">
        <f t="shared" si="117"/>
        <v>1173400.7731841092</v>
      </c>
      <c r="U156" s="63">
        <f t="shared" si="117"/>
        <v>1173400.7731841092</v>
      </c>
      <c r="V156" s="63">
        <f t="shared" si="117"/>
        <v>1173400.7731841092</v>
      </c>
      <c r="W156" s="63">
        <f t="shared" si="117"/>
        <v>1173400.7731841092</v>
      </c>
      <c r="X156" s="63">
        <f t="shared" si="117"/>
        <v>1173400.7731841092</v>
      </c>
      <c r="Y156" s="63">
        <f t="shared" si="117"/>
        <v>1173400.7731841092</v>
      </c>
      <c r="Z156" s="63">
        <f t="shared" si="117"/>
        <v>1173400.7731841092</v>
      </c>
      <c r="AA156" s="63">
        <f t="shared" si="117"/>
        <v>1173400.7731841092</v>
      </c>
      <c r="AB156" s="63">
        <f t="shared" si="117"/>
        <v>1173400.7731841092</v>
      </c>
      <c r="AC156" s="63">
        <f t="shared" si="117"/>
        <v>1173400.7731841092</v>
      </c>
    </row>
    <row r="157" spans="1:29" x14ac:dyDescent="0.25">
      <c r="A157" s="30" t="str">
        <f>A138</f>
        <v>Residual value (vehicle)</v>
      </c>
      <c r="B157" s="62">
        <f>((1+B141)^B148)*B141/(((1+B141)^B148)-1)*(B138)</f>
        <v>-117211.22297816433</v>
      </c>
      <c r="C157" s="62">
        <f t="shared" ref="C157:AC157" si="118">((1+C141)^C148)*C141/(((1+C141)^C148)-1)*(C138)</f>
        <v>-117155.47750703427</v>
      </c>
      <c r="D157" s="62">
        <f t="shared" si="118"/>
        <v>-117075.67910674184</v>
      </c>
      <c r="E157" s="62">
        <f t="shared" si="118"/>
        <v>-116961.52188344915</v>
      </c>
      <c r="F157" s="62">
        <f t="shared" si="118"/>
        <v>-116798.36602132194</v>
      </c>
      <c r="G157" s="62">
        <f t="shared" si="118"/>
        <v>-116565.50734662244</v>
      </c>
      <c r="H157" s="62">
        <f t="shared" si="118"/>
        <v>-116233.85946736432</v>
      </c>
      <c r="I157" s="62">
        <f t="shared" si="118"/>
        <v>-115762.96702113429</v>
      </c>
      <c r="J157" s="62">
        <f t="shared" si="118"/>
        <v>-115097.40579826315</v>
      </c>
      <c r="K157" s="62">
        <f t="shared" si="118"/>
        <v>-114162.96984907117</v>
      </c>
      <c r="L157" s="62">
        <f t="shared" si="118"/>
        <v>-112863.76466894078</v>
      </c>
      <c r="M157" s="62">
        <f t="shared" si="118"/>
        <v>-111082.60297034449</v>
      </c>
      <c r="N157" s="62">
        <f t="shared" si="118"/>
        <v>-108688.91250900239</v>
      </c>
      <c r="O157" s="62">
        <f t="shared" si="118"/>
        <v>-105559.89664903973</v>
      </c>
      <c r="P157" s="62">
        <f t="shared" si="118"/>
        <v>-101619.43004574107</v>
      </c>
      <c r="Q157" s="62">
        <f t="shared" si="118"/>
        <v>-96890.983232894243</v>
      </c>
      <c r="R157" s="62">
        <f t="shared" si="118"/>
        <v>-91544.180152521745</v>
      </c>
      <c r="S157" s="62">
        <f t="shared" si="118"/>
        <v>-85899.582077953528</v>
      </c>
      <c r="T157" s="62">
        <f t="shared" si="118"/>
        <v>-80366.059135568226</v>
      </c>
      <c r="U157" s="62">
        <f t="shared" si="118"/>
        <v>-75328.779301543953</v>
      </c>
      <c r="V157" s="62">
        <f t="shared" si="118"/>
        <v>-71047.808765066002</v>
      </c>
      <c r="W157" s="62">
        <f t="shared" si="118"/>
        <v>-67619.518043732241</v>
      </c>
      <c r="X157" s="62">
        <f t="shared" si="118"/>
        <v>-65003.580064954105</v>
      </c>
      <c r="Y157" s="62">
        <f t="shared" si="118"/>
        <v>-63080.655852023017</v>
      </c>
      <c r="Z157" s="62">
        <f t="shared" si="118"/>
        <v>-61705.792858076449</v>
      </c>
      <c r="AA157" s="62">
        <f t="shared" si="118"/>
        <v>-60742.216938606354</v>
      </c>
      <c r="AB157" s="62">
        <f t="shared" si="118"/>
        <v>-60076.3267522479</v>
      </c>
      <c r="AC157" s="62">
        <f t="shared" si="118"/>
        <v>-59620.624915142049</v>
      </c>
    </row>
    <row r="158" spans="1:29" x14ac:dyDescent="0.25">
      <c r="A158" s="30" t="str">
        <f>A139</f>
        <v>Capex costumization</v>
      </c>
      <c r="B158" s="62">
        <f>((1+B141)^B149)*B141/(((1+B141)^B149)-1)*(B139)</f>
        <v>391133.59106136975</v>
      </c>
      <c r="C158" s="62">
        <f t="shared" ref="C158:AC158" si="119">((1+C141)^C149)*C141/(((1+C141)^C149)-1)*(C139)</f>
        <v>391133.59106136975</v>
      </c>
      <c r="D158" s="62">
        <f t="shared" si="119"/>
        <v>391133.59106136975</v>
      </c>
      <c r="E158" s="62">
        <f t="shared" si="119"/>
        <v>391133.59106136975</v>
      </c>
      <c r="F158" s="62">
        <f t="shared" si="119"/>
        <v>391133.59106136975</v>
      </c>
      <c r="G158" s="62">
        <f t="shared" si="119"/>
        <v>391133.59106136975</v>
      </c>
      <c r="H158" s="62">
        <f t="shared" si="119"/>
        <v>391133.59106136975</v>
      </c>
      <c r="I158" s="62">
        <f t="shared" si="119"/>
        <v>391133.59106136975</v>
      </c>
      <c r="J158" s="62">
        <f t="shared" si="119"/>
        <v>391133.59106136975</v>
      </c>
      <c r="K158" s="62">
        <f t="shared" si="119"/>
        <v>391133.59106136975</v>
      </c>
      <c r="L158" s="62">
        <f t="shared" si="119"/>
        <v>391133.59106136975</v>
      </c>
      <c r="M158" s="62">
        <f t="shared" si="119"/>
        <v>391133.59106136975</v>
      </c>
      <c r="N158" s="62">
        <f t="shared" si="119"/>
        <v>391133.59106136975</v>
      </c>
      <c r="O158" s="62">
        <f t="shared" si="119"/>
        <v>391133.59106136975</v>
      </c>
      <c r="P158" s="62">
        <f t="shared" si="119"/>
        <v>391133.59106136975</v>
      </c>
      <c r="Q158" s="62">
        <f t="shared" si="119"/>
        <v>391133.59106136975</v>
      </c>
      <c r="R158" s="62">
        <f t="shared" si="119"/>
        <v>391133.59106136975</v>
      </c>
      <c r="S158" s="62">
        <f t="shared" si="119"/>
        <v>391133.59106136975</v>
      </c>
      <c r="T158" s="62">
        <f t="shared" si="119"/>
        <v>391133.59106136975</v>
      </c>
      <c r="U158" s="62">
        <f t="shared" si="119"/>
        <v>391133.59106136975</v>
      </c>
      <c r="V158" s="62">
        <f t="shared" si="119"/>
        <v>391133.59106136975</v>
      </c>
      <c r="W158" s="62">
        <f t="shared" si="119"/>
        <v>391133.59106136975</v>
      </c>
      <c r="X158" s="62">
        <f t="shared" si="119"/>
        <v>391133.59106136975</v>
      </c>
      <c r="Y158" s="62">
        <f t="shared" si="119"/>
        <v>391133.59106136975</v>
      </c>
      <c r="Z158" s="62">
        <f t="shared" si="119"/>
        <v>391133.59106136975</v>
      </c>
      <c r="AA158" s="62">
        <f t="shared" si="119"/>
        <v>391133.59106136975</v>
      </c>
      <c r="AB158" s="62">
        <f t="shared" si="119"/>
        <v>391133.59106136975</v>
      </c>
      <c r="AC158" s="62">
        <f t="shared" si="119"/>
        <v>391133.59106136975</v>
      </c>
    </row>
    <row r="159" spans="1:29" x14ac:dyDescent="0.25">
      <c r="A159" s="30" t="str">
        <f>A140</f>
        <v>Residual value (costumization)</v>
      </c>
      <c r="B159" s="62">
        <f>((1+B141)^B149)*B141/(((1+B141)^B149)-1)*(B140)</f>
        <v>-39113.359106136973</v>
      </c>
      <c r="C159" s="62">
        <f t="shared" ref="C159:AC159" si="120">((1+C141)^C149)*C141/(((1+C141)^C149)-1)*(C140)</f>
        <v>-39113.359106136973</v>
      </c>
      <c r="D159" s="62">
        <f t="shared" si="120"/>
        <v>-39113.359106136973</v>
      </c>
      <c r="E159" s="62">
        <f t="shared" si="120"/>
        <v>-39113.359106136973</v>
      </c>
      <c r="F159" s="62">
        <f t="shared" si="120"/>
        <v>-39113.359106136973</v>
      </c>
      <c r="G159" s="62">
        <f t="shared" si="120"/>
        <v>-39113.359106136973</v>
      </c>
      <c r="H159" s="62">
        <f t="shared" si="120"/>
        <v>-39113.359106136973</v>
      </c>
      <c r="I159" s="62">
        <f t="shared" si="120"/>
        <v>-39113.359106136973</v>
      </c>
      <c r="J159" s="62">
        <f t="shared" si="120"/>
        <v>-39113.359106136973</v>
      </c>
      <c r="K159" s="62">
        <f t="shared" si="120"/>
        <v>-39113.359106136973</v>
      </c>
      <c r="L159" s="62">
        <f t="shared" si="120"/>
        <v>-39113.359106136973</v>
      </c>
      <c r="M159" s="62">
        <f t="shared" si="120"/>
        <v>-39113.359106136973</v>
      </c>
      <c r="N159" s="62">
        <f t="shared" si="120"/>
        <v>-39113.359106136973</v>
      </c>
      <c r="O159" s="62">
        <f t="shared" si="120"/>
        <v>-39113.359106136973</v>
      </c>
      <c r="P159" s="62">
        <f t="shared" si="120"/>
        <v>-39113.359106136973</v>
      </c>
      <c r="Q159" s="62">
        <f t="shared" si="120"/>
        <v>-39113.359106136973</v>
      </c>
      <c r="R159" s="62">
        <f t="shared" si="120"/>
        <v>-39113.359106136973</v>
      </c>
      <c r="S159" s="62">
        <f t="shared" si="120"/>
        <v>-39113.359106136973</v>
      </c>
      <c r="T159" s="62">
        <f t="shared" si="120"/>
        <v>-39113.359106136973</v>
      </c>
      <c r="U159" s="62">
        <f t="shared" si="120"/>
        <v>-39113.359106136973</v>
      </c>
      <c r="V159" s="62">
        <f t="shared" si="120"/>
        <v>-39113.359106136973</v>
      </c>
      <c r="W159" s="62">
        <f t="shared" si="120"/>
        <v>-39113.359106136973</v>
      </c>
      <c r="X159" s="62">
        <f t="shared" si="120"/>
        <v>-39113.359106136973</v>
      </c>
      <c r="Y159" s="62">
        <f t="shared" si="120"/>
        <v>-39113.359106136973</v>
      </c>
      <c r="Z159" s="62">
        <f t="shared" si="120"/>
        <v>-39113.359106136973</v>
      </c>
      <c r="AA159" s="62">
        <f t="shared" si="120"/>
        <v>-39113.359106136973</v>
      </c>
      <c r="AB159" s="62">
        <f t="shared" si="120"/>
        <v>-39113.359106136973</v>
      </c>
      <c r="AC159" s="62">
        <f t="shared" si="120"/>
        <v>-39113.359106136973</v>
      </c>
    </row>
    <row r="160" spans="1:29" x14ac:dyDescent="0.25">
      <c r="A160" s="30" t="str">
        <f t="shared" ref="A160:AC160" si="121">A142</f>
        <v>Opex fix (admin, crew, insurance)</v>
      </c>
      <c r="B160" s="149">
        <f t="shared" si="121"/>
        <v>1208235.294117647</v>
      </c>
      <c r="C160" s="62">
        <f t="shared" si="121"/>
        <v>1208235.294117647</v>
      </c>
      <c r="D160" s="62">
        <f t="shared" si="121"/>
        <v>1208235.294117647</v>
      </c>
      <c r="E160" s="62">
        <f t="shared" si="121"/>
        <v>1208235.294117647</v>
      </c>
      <c r="F160" s="62">
        <f t="shared" si="121"/>
        <v>1208235.294117647</v>
      </c>
      <c r="G160" s="62">
        <f t="shared" si="121"/>
        <v>1208235.294117647</v>
      </c>
      <c r="H160" s="62">
        <f t="shared" si="121"/>
        <v>1208235.294117647</v>
      </c>
      <c r="I160" s="62">
        <f t="shared" si="121"/>
        <v>1208235.294117647</v>
      </c>
      <c r="J160" s="62">
        <f t="shared" si="121"/>
        <v>1208235.294117647</v>
      </c>
      <c r="K160" s="62">
        <f t="shared" si="121"/>
        <v>1208235.294117647</v>
      </c>
      <c r="L160" s="62">
        <f t="shared" si="121"/>
        <v>1208235.294117647</v>
      </c>
      <c r="M160" s="62">
        <f t="shared" si="121"/>
        <v>1208235.294117647</v>
      </c>
      <c r="N160" s="62">
        <f t="shared" si="121"/>
        <v>1208235.294117647</v>
      </c>
      <c r="O160" s="62">
        <f t="shared" si="121"/>
        <v>1208235.294117647</v>
      </c>
      <c r="P160" s="62">
        <f t="shared" si="121"/>
        <v>1208235.294117647</v>
      </c>
      <c r="Q160" s="62">
        <f t="shared" si="121"/>
        <v>1208235.294117647</v>
      </c>
      <c r="R160" s="62">
        <f t="shared" si="121"/>
        <v>1208235.294117647</v>
      </c>
      <c r="S160" s="62">
        <f t="shared" si="121"/>
        <v>1208235.294117647</v>
      </c>
      <c r="T160" s="62">
        <f t="shared" si="121"/>
        <v>1208235.294117647</v>
      </c>
      <c r="U160" s="62">
        <f t="shared" si="121"/>
        <v>1208235.294117647</v>
      </c>
      <c r="V160" s="62">
        <f t="shared" si="121"/>
        <v>1208235.294117647</v>
      </c>
      <c r="W160" s="62">
        <f t="shared" si="121"/>
        <v>1208235.294117647</v>
      </c>
      <c r="X160" s="62">
        <f t="shared" si="121"/>
        <v>1208235.294117647</v>
      </c>
      <c r="Y160" s="62">
        <f t="shared" si="121"/>
        <v>1208235.294117647</v>
      </c>
      <c r="Z160" s="62">
        <f t="shared" si="121"/>
        <v>1208235.294117647</v>
      </c>
      <c r="AA160" s="62">
        <f t="shared" si="121"/>
        <v>1208235.294117647</v>
      </c>
      <c r="AB160" s="62">
        <f t="shared" si="121"/>
        <v>1208235.294117647</v>
      </c>
      <c r="AC160" s="62">
        <f t="shared" si="121"/>
        <v>1208235.294117647</v>
      </c>
    </row>
    <row r="161" spans="1:29" x14ac:dyDescent="0.25">
      <c r="A161" s="30" t="str">
        <f t="shared" ref="A161:AC161" si="122">A143</f>
        <v>Opex maintenance &amp; repair</v>
      </c>
      <c r="B161" s="62">
        <f t="shared" si="122"/>
        <v>488235.29411764705</v>
      </c>
      <c r="C161" s="62">
        <f t="shared" si="122"/>
        <v>488235.29411764705</v>
      </c>
      <c r="D161" s="62">
        <f t="shared" si="122"/>
        <v>488235.29411764705</v>
      </c>
      <c r="E161" s="62">
        <f t="shared" si="122"/>
        <v>488235.29411764705</v>
      </c>
      <c r="F161" s="62">
        <f t="shared" si="122"/>
        <v>488235.29411764705</v>
      </c>
      <c r="G161" s="62">
        <f t="shared" si="122"/>
        <v>488235.29411764705</v>
      </c>
      <c r="H161" s="62">
        <f t="shared" si="122"/>
        <v>488235.29411764705</v>
      </c>
      <c r="I161" s="62">
        <f t="shared" si="122"/>
        <v>488235.29411764705</v>
      </c>
      <c r="J161" s="62">
        <f t="shared" si="122"/>
        <v>488235.29411764705</v>
      </c>
      <c r="K161" s="62">
        <f t="shared" si="122"/>
        <v>488235.29411764705</v>
      </c>
      <c r="L161" s="62">
        <f t="shared" si="122"/>
        <v>488235.29411764705</v>
      </c>
      <c r="M161" s="62">
        <f t="shared" si="122"/>
        <v>488235.29411764705</v>
      </c>
      <c r="N161" s="62">
        <f t="shared" si="122"/>
        <v>488235.29411764705</v>
      </c>
      <c r="O161" s="62">
        <f t="shared" si="122"/>
        <v>488235.29411764705</v>
      </c>
      <c r="P161" s="62">
        <f t="shared" si="122"/>
        <v>488235.29411764705</v>
      </c>
      <c r="Q161" s="62">
        <f t="shared" si="122"/>
        <v>488235.29411764705</v>
      </c>
      <c r="R161" s="62">
        <f t="shared" si="122"/>
        <v>488235.29411764705</v>
      </c>
      <c r="S161" s="62">
        <f t="shared" si="122"/>
        <v>488235.29411764705</v>
      </c>
      <c r="T161" s="62">
        <f t="shared" si="122"/>
        <v>488235.29411764705</v>
      </c>
      <c r="U161" s="62">
        <f t="shared" si="122"/>
        <v>488235.29411764705</v>
      </c>
      <c r="V161" s="62">
        <f t="shared" si="122"/>
        <v>488235.29411764705</v>
      </c>
      <c r="W161" s="62">
        <f t="shared" si="122"/>
        <v>488235.29411764705</v>
      </c>
      <c r="X161" s="62">
        <f t="shared" si="122"/>
        <v>488235.29411764705</v>
      </c>
      <c r="Y161" s="62">
        <f t="shared" si="122"/>
        <v>488235.29411764705</v>
      </c>
      <c r="Z161" s="62">
        <f t="shared" si="122"/>
        <v>488235.29411764705</v>
      </c>
      <c r="AA161" s="62">
        <f t="shared" si="122"/>
        <v>488235.29411764705</v>
      </c>
      <c r="AB161" s="62">
        <f t="shared" si="122"/>
        <v>488235.29411764705</v>
      </c>
      <c r="AC161" s="62">
        <f t="shared" si="122"/>
        <v>488235.29411764705</v>
      </c>
    </row>
    <row r="162" spans="1:29" x14ac:dyDescent="0.25">
      <c r="A162" s="30" t="str">
        <f>A144</f>
        <v>Opex var (mode-fees)</v>
      </c>
      <c r="B162" s="62">
        <f>B144*B153</f>
        <v>202642.68757160378</v>
      </c>
      <c r="C162" s="62">
        <f t="shared" ref="C162:AC162" si="123">C144*C153</f>
        <v>202642.68757160378</v>
      </c>
      <c r="D162" s="62">
        <f t="shared" si="123"/>
        <v>202642.68757160378</v>
      </c>
      <c r="E162" s="62">
        <f t="shared" si="123"/>
        <v>202642.68757160378</v>
      </c>
      <c r="F162" s="62">
        <f t="shared" si="123"/>
        <v>202642.68757160378</v>
      </c>
      <c r="G162" s="62">
        <f t="shared" si="123"/>
        <v>202642.68757160378</v>
      </c>
      <c r="H162" s="62">
        <f t="shared" si="123"/>
        <v>202642.68757160378</v>
      </c>
      <c r="I162" s="62">
        <f t="shared" si="123"/>
        <v>202642.68757160378</v>
      </c>
      <c r="J162" s="62">
        <f t="shared" si="123"/>
        <v>202642.68757160378</v>
      </c>
      <c r="K162" s="62">
        <f t="shared" si="123"/>
        <v>202642.68757160378</v>
      </c>
      <c r="L162" s="62">
        <f t="shared" si="123"/>
        <v>202642.68757160378</v>
      </c>
      <c r="M162" s="62">
        <f t="shared" si="123"/>
        <v>202642.68757160378</v>
      </c>
      <c r="N162" s="62">
        <f t="shared" si="123"/>
        <v>202642.68757160378</v>
      </c>
      <c r="O162" s="62">
        <f t="shared" si="123"/>
        <v>202642.68757160378</v>
      </c>
      <c r="P162" s="62">
        <f t="shared" si="123"/>
        <v>202642.68757160378</v>
      </c>
      <c r="Q162" s="62">
        <f t="shared" si="123"/>
        <v>202642.68757160378</v>
      </c>
      <c r="R162" s="62">
        <f t="shared" si="123"/>
        <v>202642.68757160378</v>
      </c>
      <c r="S162" s="62">
        <f t="shared" si="123"/>
        <v>202642.68757160378</v>
      </c>
      <c r="T162" s="62">
        <f t="shared" si="123"/>
        <v>202642.68757160378</v>
      </c>
      <c r="U162" s="62">
        <f t="shared" si="123"/>
        <v>202642.68757160378</v>
      </c>
      <c r="V162" s="62">
        <f t="shared" si="123"/>
        <v>202642.68757160378</v>
      </c>
      <c r="W162" s="62">
        <f t="shared" si="123"/>
        <v>202642.68757160378</v>
      </c>
      <c r="X162" s="62">
        <f t="shared" si="123"/>
        <v>202642.68757160378</v>
      </c>
      <c r="Y162" s="62">
        <f t="shared" si="123"/>
        <v>202642.68757160378</v>
      </c>
      <c r="Z162" s="62">
        <f t="shared" si="123"/>
        <v>202642.68757160378</v>
      </c>
      <c r="AA162" s="62">
        <f t="shared" si="123"/>
        <v>202642.68757160378</v>
      </c>
      <c r="AB162" s="62">
        <f t="shared" si="123"/>
        <v>202642.68757160378</v>
      </c>
      <c r="AC162" s="62">
        <f t="shared" si="123"/>
        <v>202642.68757160378</v>
      </c>
    </row>
    <row r="163" spans="1:29" x14ac:dyDescent="0.25">
      <c r="A163" s="30" t="str">
        <f>A146</f>
        <v>Fuel Cost</v>
      </c>
      <c r="B163" s="62">
        <f>B145*B146*B153</f>
        <v>4498618.0304829236</v>
      </c>
      <c r="C163" s="62">
        <f t="shared" ref="C163:AC163" si="124">C145*C146*C153</f>
        <v>4188079.3759353086</v>
      </c>
      <c r="D163" s="62">
        <f t="shared" si="124"/>
        <v>3877468.0419729641</v>
      </c>
      <c r="E163" s="62">
        <f t="shared" si="124"/>
        <v>3566766.217460895</v>
      </c>
      <c r="F163" s="62">
        <f t="shared" si="124"/>
        <v>3255954.4458860727</v>
      </c>
      <c r="G163" s="62">
        <f t="shared" si="124"/>
        <v>2945013.6349047427</v>
      </c>
      <c r="H163" s="62">
        <f t="shared" si="124"/>
        <v>2633929.1365398113</v>
      </c>
      <c r="I163" s="62">
        <f t="shared" si="124"/>
        <v>2322698.2431000774</v>
      </c>
      <c r="J163" s="62">
        <f t="shared" si="124"/>
        <v>2273812.2520016357</v>
      </c>
      <c r="K163" s="62">
        <f t="shared" si="124"/>
        <v>2224260.4832576048</v>
      </c>
      <c r="L163" s="62">
        <f t="shared" si="124"/>
        <v>2173830.4324544049</v>
      </c>
      <c r="M163" s="62">
        <f t="shared" si="124"/>
        <v>2122275.575613555</v>
      </c>
      <c r="N163" s="62">
        <f t="shared" si="124"/>
        <v>2069342.0583988025</v>
      </c>
      <c r="O163" s="62">
        <f t="shared" si="124"/>
        <v>2014826.1691024788</v>
      </c>
      <c r="P163" s="62">
        <f t="shared" si="124"/>
        <v>1958668.2716916476</v>
      </c>
      <c r="Q163" s="62">
        <f t="shared" si="124"/>
        <v>1901067.0088093535</v>
      </c>
      <c r="R163" s="62">
        <f t="shared" si="124"/>
        <v>1842559.9816717752</v>
      </c>
      <c r="S163" s="62">
        <f t="shared" si="124"/>
        <v>1783992.1296651261</v>
      </c>
      <c r="T163" s="62">
        <f t="shared" si="124"/>
        <v>1726331.4306318762</v>
      </c>
      <c r="U163" s="62">
        <f t="shared" si="124"/>
        <v>1670398.7763802267</v>
      </c>
      <c r="V163" s="62">
        <f t="shared" si="124"/>
        <v>1616659.5725604114</v>
      </c>
      <c r="W163" s="62">
        <f t="shared" si="124"/>
        <v>1565180.5165969562</v>
      </c>
      <c r="X163" s="62">
        <f t="shared" si="124"/>
        <v>1515731.5068314851</v>
      </c>
      <c r="Y163" s="62">
        <f t="shared" si="124"/>
        <v>1467937.8982067783</v>
      </c>
      <c r="Z163" s="62">
        <f t="shared" si="124"/>
        <v>1421404.470279735</v>
      </c>
      <c r="AA163" s="62">
        <f t="shared" si="124"/>
        <v>1375784.7961731155</v>
      </c>
      <c r="AB163" s="62">
        <f t="shared" si="124"/>
        <v>1330805.4504176688</v>
      </c>
      <c r="AC163" s="62">
        <f t="shared" si="124"/>
        <v>1286264.2796700606</v>
      </c>
    </row>
    <row r="164" spans="1:29" ht="15.75" thickBot="1" x14ac:dyDescent="0.3">
      <c r="A164" s="59" t="str">
        <f>A127</f>
        <v>Emission Cost</v>
      </c>
      <c r="B164" s="62">
        <f>B147*B153</f>
        <v>0</v>
      </c>
      <c r="C164" s="62">
        <f t="shared" ref="C164:AC164" si="125">C147*C153</f>
        <v>0</v>
      </c>
      <c r="D164" s="62">
        <f t="shared" si="125"/>
        <v>0</v>
      </c>
      <c r="E164" s="62">
        <f t="shared" si="125"/>
        <v>0</v>
      </c>
      <c r="F164" s="62">
        <f t="shared" si="125"/>
        <v>0</v>
      </c>
      <c r="G164" s="62">
        <f t="shared" si="125"/>
        <v>0</v>
      </c>
      <c r="H164" s="62">
        <f t="shared" si="125"/>
        <v>0</v>
      </c>
      <c r="I164" s="62">
        <f t="shared" si="125"/>
        <v>0</v>
      </c>
      <c r="J164" s="62">
        <f t="shared" si="125"/>
        <v>0</v>
      </c>
      <c r="K164" s="62">
        <f t="shared" si="125"/>
        <v>0</v>
      </c>
      <c r="L164" s="62">
        <f t="shared" si="125"/>
        <v>0</v>
      </c>
      <c r="M164" s="62">
        <f t="shared" si="125"/>
        <v>0</v>
      </c>
      <c r="N164" s="62">
        <f t="shared" si="125"/>
        <v>0</v>
      </c>
      <c r="O164" s="62">
        <f t="shared" si="125"/>
        <v>0</v>
      </c>
      <c r="P164" s="62">
        <f t="shared" si="125"/>
        <v>0</v>
      </c>
      <c r="Q164" s="62">
        <f t="shared" si="125"/>
        <v>0</v>
      </c>
      <c r="R164" s="62">
        <f t="shared" si="125"/>
        <v>0</v>
      </c>
      <c r="S164" s="62">
        <f t="shared" si="125"/>
        <v>0</v>
      </c>
      <c r="T164" s="62">
        <f t="shared" si="125"/>
        <v>0</v>
      </c>
      <c r="U164" s="62">
        <f t="shared" si="125"/>
        <v>0</v>
      </c>
      <c r="V164" s="62">
        <f t="shared" si="125"/>
        <v>0</v>
      </c>
      <c r="W164" s="62">
        <f t="shared" si="125"/>
        <v>0</v>
      </c>
      <c r="X164" s="62">
        <f t="shared" si="125"/>
        <v>0</v>
      </c>
      <c r="Y164" s="62">
        <f t="shared" si="125"/>
        <v>0</v>
      </c>
      <c r="Z164" s="62">
        <f t="shared" si="125"/>
        <v>0</v>
      </c>
      <c r="AA164" s="62">
        <f t="shared" si="125"/>
        <v>0</v>
      </c>
      <c r="AB164" s="62">
        <f t="shared" si="125"/>
        <v>0</v>
      </c>
      <c r="AC164" s="62">
        <f t="shared" si="125"/>
        <v>0</v>
      </c>
    </row>
    <row r="165" spans="1:29" ht="15.75" thickBot="1" x14ac:dyDescent="0.3">
      <c r="A165" s="31" t="s">
        <v>209</v>
      </c>
      <c r="B165" s="64">
        <f>B156+B157+B158+B159+B160+B161+B162+B163+B164</f>
        <v>7805941.0884509999</v>
      </c>
      <c r="C165" s="64">
        <f t="shared" ref="C165:AC165" si="126">C156+C157+C158+C159+C160+C161+C162+C163+C164</f>
        <v>7495458.1793745141</v>
      </c>
      <c r="D165" s="64">
        <f t="shared" si="126"/>
        <v>7184926.6438124627</v>
      </c>
      <c r="E165" s="64">
        <f t="shared" si="126"/>
        <v>6874338.9765236862</v>
      </c>
      <c r="F165" s="64">
        <f t="shared" si="126"/>
        <v>6563690.3608109914</v>
      </c>
      <c r="G165" s="64">
        <f t="shared" si="126"/>
        <v>6252982.4085043604</v>
      </c>
      <c r="H165" s="64">
        <f t="shared" si="126"/>
        <v>5942229.5580186872</v>
      </c>
      <c r="I165" s="64">
        <f t="shared" si="126"/>
        <v>5631469.557025183</v>
      </c>
      <c r="J165" s="64">
        <f t="shared" si="126"/>
        <v>5583249.1271496126</v>
      </c>
      <c r="K165" s="64">
        <f t="shared" si="126"/>
        <v>5534631.7943547741</v>
      </c>
      <c r="L165" s="64">
        <f t="shared" si="126"/>
        <v>5485500.9487317037</v>
      </c>
      <c r="M165" s="64">
        <f t="shared" si="126"/>
        <v>5435727.2535894513</v>
      </c>
      <c r="N165" s="64">
        <f t="shared" si="126"/>
        <v>5385187.4268360399</v>
      </c>
      <c r="O165" s="64">
        <f t="shared" si="126"/>
        <v>5333800.5533996793</v>
      </c>
      <c r="P165" s="64">
        <f t="shared" si="126"/>
        <v>5281583.1225921465</v>
      </c>
      <c r="Q165" s="64">
        <f t="shared" si="126"/>
        <v>5228710.3065226991</v>
      </c>
      <c r="R165" s="64">
        <f t="shared" si="126"/>
        <v>5175550.0824654941</v>
      </c>
      <c r="S165" s="64">
        <f t="shared" si="126"/>
        <v>5122626.8285334129</v>
      </c>
      <c r="T165" s="64">
        <f t="shared" si="126"/>
        <v>5070499.6524425475</v>
      </c>
      <c r="U165" s="64">
        <f t="shared" si="126"/>
        <v>5019604.2780249231</v>
      </c>
      <c r="V165" s="64">
        <f t="shared" si="126"/>
        <v>4970146.0447415859</v>
      </c>
      <c r="W165" s="64">
        <f t="shared" si="126"/>
        <v>4922095.2794994637</v>
      </c>
      <c r="X165" s="64">
        <f t="shared" si="126"/>
        <v>4875262.2077127714</v>
      </c>
      <c r="Y165" s="64">
        <f t="shared" si="126"/>
        <v>4829391.5233009961</v>
      </c>
      <c r="Z165" s="64">
        <f t="shared" si="126"/>
        <v>4784232.9583678991</v>
      </c>
      <c r="AA165" s="64">
        <f t="shared" si="126"/>
        <v>4739576.8601807486</v>
      </c>
      <c r="AB165" s="64">
        <f t="shared" si="126"/>
        <v>4695263.4046116611</v>
      </c>
      <c r="AC165" s="64">
        <f t="shared" si="126"/>
        <v>4651177.9357011588</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7">A156</f>
        <v>Capex vehicle</v>
      </c>
      <c r="B168" s="65">
        <f>((1+B141)^B148)*B141/(((1+B141)^B148)-1)*(B137)/B153</f>
        <v>9.7783397765342439</v>
      </c>
      <c r="C168" s="65">
        <f t="shared" ref="C168:AC168" si="128">((1+C141)^C148)*C141/(((1+C141)^C148)-1)*(C137)/C153</f>
        <v>9.7783397765342439</v>
      </c>
      <c r="D168" s="65">
        <f t="shared" si="128"/>
        <v>9.7783397765342439</v>
      </c>
      <c r="E168" s="65">
        <f t="shared" si="128"/>
        <v>9.7783397765342439</v>
      </c>
      <c r="F168" s="65">
        <f t="shared" si="128"/>
        <v>9.7783397765342439</v>
      </c>
      <c r="G168" s="65">
        <f t="shared" si="128"/>
        <v>9.7783397765342439</v>
      </c>
      <c r="H168" s="65">
        <f t="shared" si="128"/>
        <v>9.7783397765342439</v>
      </c>
      <c r="I168" s="65">
        <f t="shared" si="128"/>
        <v>9.7783397765342439</v>
      </c>
      <c r="J168" s="65">
        <f t="shared" si="128"/>
        <v>9.7783397765342439</v>
      </c>
      <c r="K168" s="65">
        <f t="shared" si="128"/>
        <v>9.7783397765342439</v>
      </c>
      <c r="L168" s="65">
        <f t="shared" si="128"/>
        <v>9.7783397765342439</v>
      </c>
      <c r="M168" s="65">
        <f t="shared" si="128"/>
        <v>9.7783397765342439</v>
      </c>
      <c r="N168" s="65">
        <f t="shared" si="128"/>
        <v>9.7783397765342439</v>
      </c>
      <c r="O168" s="65">
        <f t="shared" si="128"/>
        <v>9.7783397765342439</v>
      </c>
      <c r="P168" s="65">
        <f t="shared" si="128"/>
        <v>9.7783397765342439</v>
      </c>
      <c r="Q168" s="65">
        <f t="shared" si="128"/>
        <v>9.7783397765342439</v>
      </c>
      <c r="R168" s="65">
        <f t="shared" si="128"/>
        <v>9.7783397765342439</v>
      </c>
      <c r="S168" s="65">
        <f t="shared" si="128"/>
        <v>9.7783397765342439</v>
      </c>
      <c r="T168" s="65">
        <f t="shared" si="128"/>
        <v>9.7783397765342439</v>
      </c>
      <c r="U168" s="65">
        <f t="shared" si="128"/>
        <v>9.7783397765342439</v>
      </c>
      <c r="V168" s="65">
        <f t="shared" si="128"/>
        <v>9.7783397765342439</v>
      </c>
      <c r="W168" s="65">
        <f t="shared" si="128"/>
        <v>9.7783397765342439</v>
      </c>
      <c r="X168" s="65">
        <f t="shared" si="128"/>
        <v>9.7783397765342439</v>
      </c>
      <c r="Y168" s="65">
        <f t="shared" si="128"/>
        <v>9.7783397765342439</v>
      </c>
      <c r="Z168" s="65">
        <f t="shared" si="128"/>
        <v>9.7783397765342439</v>
      </c>
      <c r="AA168" s="65">
        <f t="shared" si="128"/>
        <v>9.7783397765342439</v>
      </c>
      <c r="AB168" s="65">
        <f t="shared" si="128"/>
        <v>9.7783397765342439</v>
      </c>
      <c r="AC168" s="65">
        <f t="shared" si="128"/>
        <v>9.7783397765342439</v>
      </c>
    </row>
    <row r="169" spans="1:29" x14ac:dyDescent="0.25">
      <c r="A169" s="30" t="str">
        <f t="shared" si="127"/>
        <v>Residual value (vehicle)</v>
      </c>
      <c r="B169" s="66">
        <f>((1+B141)^B148)*B141/(((1+B141)^B148)-1)*(B138)/B153</f>
        <v>-0.97676019148470272</v>
      </c>
      <c r="C169" s="66">
        <f t="shared" ref="C169:AC169" si="129">((1+C141)^C148)*C141/(((1+C141)^C148)-1)*(C138)/C153</f>
        <v>-0.97629564589195228</v>
      </c>
      <c r="D169" s="66">
        <f t="shared" si="129"/>
        <v>-0.97563065922284864</v>
      </c>
      <c r="E169" s="66">
        <f t="shared" si="129"/>
        <v>-0.97467934902874298</v>
      </c>
      <c r="F169" s="66">
        <f t="shared" si="129"/>
        <v>-0.97331971684434948</v>
      </c>
      <c r="G169" s="66">
        <f t="shared" si="129"/>
        <v>-0.97137922788852038</v>
      </c>
      <c r="H169" s="66">
        <f t="shared" si="129"/>
        <v>-0.96861549556136939</v>
      </c>
      <c r="I169" s="66">
        <f t="shared" si="129"/>
        <v>-0.96469139184278574</v>
      </c>
      <c r="J169" s="66">
        <f t="shared" si="129"/>
        <v>-0.95914504831885961</v>
      </c>
      <c r="K169" s="66">
        <f t="shared" si="129"/>
        <v>-0.95135808207559314</v>
      </c>
      <c r="L169" s="66">
        <f t="shared" si="129"/>
        <v>-0.94053137224117322</v>
      </c>
      <c r="M169" s="66">
        <f t="shared" si="129"/>
        <v>-0.92568835808620409</v>
      </c>
      <c r="N169" s="66">
        <f t="shared" si="129"/>
        <v>-0.90574093757501994</v>
      </c>
      <c r="O169" s="66">
        <f t="shared" si="129"/>
        <v>-0.87966580540866446</v>
      </c>
      <c r="P169" s="66">
        <f t="shared" si="129"/>
        <v>-0.84682858371450898</v>
      </c>
      <c r="Q169" s="66">
        <f t="shared" si="129"/>
        <v>-0.80742486027411864</v>
      </c>
      <c r="R169" s="66">
        <f t="shared" si="129"/>
        <v>-0.7628681679376812</v>
      </c>
      <c r="S169" s="66">
        <f t="shared" si="129"/>
        <v>-0.71582985064961269</v>
      </c>
      <c r="T169" s="66">
        <f t="shared" si="129"/>
        <v>-0.66971715946306853</v>
      </c>
      <c r="U169" s="66">
        <f t="shared" si="129"/>
        <v>-0.62773982751286628</v>
      </c>
      <c r="V169" s="66">
        <f t="shared" si="129"/>
        <v>-0.59206507304221667</v>
      </c>
      <c r="W169" s="66">
        <f t="shared" si="129"/>
        <v>-0.56349598369776865</v>
      </c>
      <c r="X169" s="66">
        <f t="shared" si="129"/>
        <v>-0.54169650054128426</v>
      </c>
      <c r="Y169" s="66">
        <f t="shared" si="129"/>
        <v>-0.52567213210019181</v>
      </c>
      <c r="Z169" s="66">
        <f t="shared" si="129"/>
        <v>-0.51421494048397043</v>
      </c>
      <c r="AA169" s="66">
        <f t="shared" si="129"/>
        <v>-0.50618514115505298</v>
      </c>
      <c r="AB169" s="66">
        <f t="shared" si="129"/>
        <v>-0.50063605626873253</v>
      </c>
      <c r="AC169" s="66">
        <f t="shared" si="129"/>
        <v>-0.49683854095951707</v>
      </c>
    </row>
    <row r="170" spans="1:29" x14ac:dyDescent="0.25">
      <c r="A170" s="30" t="str">
        <f t="shared" si="127"/>
        <v>Capex costumization</v>
      </c>
      <c r="B170" s="66">
        <f>((1+B141)^B149)*B141/(((1+B141)^B149)-1)*(B139)/B153</f>
        <v>3.2594465921780813</v>
      </c>
      <c r="C170" s="66">
        <f t="shared" ref="C170:AC170" si="130">((1+C141)^C149)*C141/(((1+C141)^C149)-1)*(C139)/C153</f>
        <v>3.2594465921780813</v>
      </c>
      <c r="D170" s="66">
        <f t="shared" si="130"/>
        <v>3.2594465921780813</v>
      </c>
      <c r="E170" s="66">
        <f t="shared" si="130"/>
        <v>3.2594465921780813</v>
      </c>
      <c r="F170" s="66">
        <f t="shared" si="130"/>
        <v>3.2594465921780813</v>
      </c>
      <c r="G170" s="66">
        <f t="shared" si="130"/>
        <v>3.2594465921780813</v>
      </c>
      <c r="H170" s="66">
        <f t="shared" si="130"/>
        <v>3.2594465921780813</v>
      </c>
      <c r="I170" s="66">
        <f t="shared" si="130"/>
        <v>3.2594465921780813</v>
      </c>
      <c r="J170" s="66">
        <f t="shared" si="130"/>
        <v>3.2594465921780813</v>
      </c>
      <c r="K170" s="66">
        <f t="shared" si="130"/>
        <v>3.2594465921780813</v>
      </c>
      <c r="L170" s="66">
        <f t="shared" si="130"/>
        <v>3.2594465921780813</v>
      </c>
      <c r="M170" s="66">
        <f t="shared" si="130"/>
        <v>3.2594465921780813</v>
      </c>
      <c r="N170" s="66">
        <f t="shared" si="130"/>
        <v>3.2594465921780813</v>
      </c>
      <c r="O170" s="66">
        <f t="shared" si="130"/>
        <v>3.2594465921780813</v>
      </c>
      <c r="P170" s="66">
        <f t="shared" si="130"/>
        <v>3.2594465921780813</v>
      </c>
      <c r="Q170" s="66">
        <f t="shared" si="130"/>
        <v>3.2594465921780813</v>
      </c>
      <c r="R170" s="66">
        <f t="shared" si="130"/>
        <v>3.2594465921780813</v>
      </c>
      <c r="S170" s="66">
        <f t="shared" si="130"/>
        <v>3.2594465921780813</v>
      </c>
      <c r="T170" s="66">
        <f t="shared" si="130"/>
        <v>3.2594465921780813</v>
      </c>
      <c r="U170" s="66">
        <f t="shared" si="130"/>
        <v>3.2594465921780813</v>
      </c>
      <c r="V170" s="66">
        <f t="shared" si="130"/>
        <v>3.2594465921780813</v>
      </c>
      <c r="W170" s="66">
        <f t="shared" si="130"/>
        <v>3.2594465921780813</v>
      </c>
      <c r="X170" s="66">
        <f t="shared" si="130"/>
        <v>3.2594465921780813</v>
      </c>
      <c r="Y170" s="66">
        <f t="shared" si="130"/>
        <v>3.2594465921780813</v>
      </c>
      <c r="Z170" s="66">
        <f t="shared" si="130"/>
        <v>3.2594465921780813</v>
      </c>
      <c r="AA170" s="66">
        <f t="shared" si="130"/>
        <v>3.2594465921780813</v>
      </c>
      <c r="AB170" s="66">
        <f t="shared" si="130"/>
        <v>3.2594465921780813</v>
      </c>
      <c r="AC170" s="66">
        <f t="shared" si="130"/>
        <v>3.2594465921780813</v>
      </c>
    </row>
    <row r="171" spans="1:29" x14ac:dyDescent="0.25">
      <c r="A171" s="30" t="str">
        <f t="shared" si="127"/>
        <v>Residual value (costumization)</v>
      </c>
      <c r="B171" s="66">
        <f>((1+B141)^B149)*B141/(((1+B141)^B149)-1)*(B140)/B153</f>
        <v>-0.32594465921780813</v>
      </c>
      <c r="C171" s="66">
        <f t="shared" ref="C171:AC171" si="131">((1+C141)^C149)*C141/(((1+C141)^C149)-1)*(C140)/C153</f>
        <v>-0.32594465921780813</v>
      </c>
      <c r="D171" s="66">
        <f t="shared" si="131"/>
        <v>-0.32594465921780813</v>
      </c>
      <c r="E171" s="66">
        <f t="shared" si="131"/>
        <v>-0.32594465921780813</v>
      </c>
      <c r="F171" s="66">
        <f t="shared" si="131"/>
        <v>-0.32594465921780813</v>
      </c>
      <c r="G171" s="66">
        <f t="shared" si="131"/>
        <v>-0.32594465921780813</v>
      </c>
      <c r="H171" s="66">
        <f t="shared" si="131"/>
        <v>-0.32594465921780813</v>
      </c>
      <c r="I171" s="66">
        <f t="shared" si="131"/>
        <v>-0.32594465921780813</v>
      </c>
      <c r="J171" s="66">
        <f t="shared" si="131"/>
        <v>-0.32594465921780813</v>
      </c>
      <c r="K171" s="66">
        <f t="shared" si="131"/>
        <v>-0.32594465921780813</v>
      </c>
      <c r="L171" s="66">
        <f t="shared" si="131"/>
        <v>-0.32594465921780813</v>
      </c>
      <c r="M171" s="66">
        <f t="shared" si="131"/>
        <v>-0.32594465921780813</v>
      </c>
      <c r="N171" s="66">
        <f t="shared" si="131"/>
        <v>-0.32594465921780813</v>
      </c>
      <c r="O171" s="66">
        <f t="shared" si="131"/>
        <v>-0.32594465921780813</v>
      </c>
      <c r="P171" s="66">
        <f t="shared" si="131"/>
        <v>-0.32594465921780813</v>
      </c>
      <c r="Q171" s="66">
        <f t="shared" si="131"/>
        <v>-0.32594465921780813</v>
      </c>
      <c r="R171" s="66">
        <f t="shared" si="131"/>
        <v>-0.32594465921780813</v>
      </c>
      <c r="S171" s="66">
        <f t="shared" si="131"/>
        <v>-0.32594465921780813</v>
      </c>
      <c r="T171" s="66">
        <f t="shared" si="131"/>
        <v>-0.32594465921780813</v>
      </c>
      <c r="U171" s="66">
        <f t="shared" si="131"/>
        <v>-0.32594465921780813</v>
      </c>
      <c r="V171" s="66">
        <f t="shared" si="131"/>
        <v>-0.32594465921780813</v>
      </c>
      <c r="W171" s="66">
        <f t="shared" si="131"/>
        <v>-0.32594465921780813</v>
      </c>
      <c r="X171" s="66">
        <f t="shared" si="131"/>
        <v>-0.32594465921780813</v>
      </c>
      <c r="Y171" s="66">
        <f t="shared" si="131"/>
        <v>-0.32594465921780813</v>
      </c>
      <c r="Z171" s="66">
        <f t="shared" si="131"/>
        <v>-0.32594465921780813</v>
      </c>
      <c r="AA171" s="66">
        <f t="shared" si="131"/>
        <v>-0.32594465921780813</v>
      </c>
      <c r="AB171" s="66">
        <f t="shared" si="131"/>
        <v>-0.32594465921780813</v>
      </c>
      <c r="AC171" s="66">
        <f t="shared" si="131"/>
        <v>-0.32594465921780813</v>
      </c>
    </row>
    <row r="172" spans="1:29" x14ac:dyDescent="0.25">
      <c r="A172" s="30" t="str">
        <f t="shared" si="127"/>
        <v>Opex fix (admin, crew, insurance)</v>
      </c>
      <c r="B172" s="66">
        <f>B142/B153</f>
        <v>10.068627450980392</v>
      </c>
      <c r="C172" s="66">
        <f t="shared" ref="C172:AC172" si="132">C142/C153</f>
        <v>10.068627450980392</v>
      </c>
      <c r="D172" s="66">
        <f t="shared" si="132"/>
        <v>10.068627450980392</v>
      </c>
      <c r="E172" s="66">
        <f t="shared" si="132"/>
        <v>10.068627450980392</v>
      </c>
      <c r="F172" s="66">
        <f t="shared" si="132"/>
        <v>10.068627450980392</v>
      </c>
      <c r="G172" s="66">
        <f t="shared" si="132"/>
        <v>10.068627450980392</v>
      </c>
      <c r="H172" s="66">
        <f t="shared" si="132"/>
        <v>10.068627450980392</v>
      </c>
      <c r="I172" s="66">
        <f t="shared" si="132"/>
        <v>10.068627450980392</v>
      </c>
      <c r="J172" s="66">
        <f t="shared" si="132"/>
        <v>10.068627450980392</v>
      </c>
      <c r="K172" s="66">
        <f t="shared" si="132"/>
        <v>10.068627450980392</v>
      </c>
      <c r="L172" s="66">
        <f t="shared" si="132"/>
        <v>10.068627450980392</v>
      </c>
      <c r="M172" s="66">
        <f t="shared" si="132"/>
        <v>10.068627450980392</v>
      </c>
      <c r="N172" s="66">
        <f t="shared" si="132"/>
        <v>10.068627450980392</v>
      </c>
      <c r="O172" s="66">
        <f t="shared" si="132"/>
        <v>10.068627450980392</v>
      </c>
      <c r="P172" s="66">
        <f t="shared" si="132"/>
        <v>10.068627450980392</v>
      </c>
      <c r="Q172" s="66">
        <f t="shared" si="132"/>
        <v>10.068627450980392</v>
      </c>
      <c r="R172" s="66">
        <f t="shared" si="132"/>
        <v>10.068627450980392</v>
      </c>
      <c r="S172" s="66">
        <f t="shared" si="132"/>
        <v>10.068627450980392</v>
      </c>
      <c r="T172" s="66">
        <f t="shared" si="132"/>
        <v>10.068627450980392</v>
      </c>
      <c r="U172" s="66">
        <f t="shared" si="132"/>
        <v>10.068627450980392</v>
      </c>
      <c r="V172" s="66">
        <f t="shared" si="132"/>
        <v>10.068627450980392</v>
      </c>
      <c r="W172" s="66">
        <f t="shared" si="132"/>
        <v>10.068627450980392</v>
      </c>
      <c r="X172" s="66">
        <f t="shared" si="132"/>
        <v>10.068627450980392</v>
      </c>
      <c r="Y172" s="66">
        <f t="shared" si="132"/>
        <v>10.068627450980392</v>
      </c>
      <c r="Z172" s="66">
        <f t="shared" si="132"/>
        <v>10.068627450980392</v>
      </c>
      <c r="AA172" s="66">
        <f t="shared" si="132"/>
        <v>10.068627450980392</v>
      </c>
      <c r="AB172" s="66">
        <f t="shared" si="132"/>
        <v>10.068627450980392</v>
      </c>
      <c r="AC172" s="66">
        <f t="shared" si="132"/>
        <v>10.068627450980392</v>
      </c>
    </row>
    <row r="173" spans="1:29" x14ac:dyDescent="0.25">
      <c r="A173" s="30" t="str">
        <f t="shared" si="127"/>
        <v>Opex maintenance &amp; repair</v>
      </c>
      <c r="B173" s="66">
        <f>B143/B153</f>
        <v>4.0686274509803919</v>
      </c>
      <c r="C173" s="66">
        <f t="shared" ref="C173:AC173" si="133">C143/C153</f>
        <v>4.0686274509803919</v>
      </c>
      <c r="D173" s="66">
        <f t="shared" si="133"/>
        <v>4.0686274509803919</v>
      </c>
      <c r="E173" s="66">
        <f t="shared" si="133"/>
        <v>4.0686274509803919</v>
      </c>
      <c r="F173" s="66">
        <f t="shared" si="133"/>
        <v>4.0686274509803919</v>
      </c>
      <c r="G173" s="66">
        <f t="shared" si="133"/>
        <v>4.0686274509803919</v>
      </c>
      <c r="H173" s="66">
        <f t="shared" si="133"/>
        <v>4.0686274509803919</v>
      </c>
      <c r="I173" s="66">
        <f t="shared" si="133"/>
        <v>4.0686274509803919</v>
      </c>
      <c r="J173" s="66">
        <f t="shared" si="133"/>
        <v>4.0686274509803919</v>
      </c>
      <c r="K173" s="66">
        <f t="shared" si="133"/>
        <v>4.0686274509803919</v>
      </c>
      <c r="L173" s="66">
        <f t="shared" si="133"/>
        <v>4.0686274509803919</v>
      </c>
      <c r="M173" s="66">
        <f t="shared" si="133"/>
        <v>4.0686274509803919</v>
      </c>
      <c r="N173" s="66">
        <f t="shared" si="133"/>
        <v>4.0686274509803919</v>
      </c>
      <c r="O173" s="66">
        <f t="shared" si="133"/>
        <v>4.0686274509803919</v>
      </c>
      <c r="P173" s="66">
        <f t="shared" si="133"/>
        <v>4.0686274509803919</v>
      </c>
      <c r="Q173" s="66">
        <f t="shared" si="133"/>
        <v>4.0686274509803919</v>
      </c>
      <c r="R173" s="66">
        <f t="shared" si="133"/>
        <v>4.0686274509803919</v>
      </c>
      <c r="S173" s="66">
        <f t="shared" si="133"/>
        <v>4.0686274509803919</v>
      </c>
      <c r="T173" s="66">
        <f t="shared" si="133"/>
        <v>4.0686274509803919</v>
      </c>
      <c r="U173" s="66">
        <f t="shared" si="133"/>
        <v>4.0686274509803919</v>
      </c>
      <c r="V173" s="66">
        <f t="shared" si="133"/>
        <v>4.0686274509803919</v>
      </c>
      <c r="W173" s="66">
        <f t="shared" si="133"/>
        <v>4.0686274509803919</v>
      </c>
      <c r="X173" s="66">
        <f t="shared" si="133"/>
        <v>4.0686274509803919</v>
      </c>
      <c r="Y173" s="66">
        <f t="shared" si="133"/>
        <v>4.0686274509803919</v>
      </c>
      <c r="Z173" s="66">
        <f t="shared" si="133"/>
        <v>4.0686274509803919</v>
      </c>
      <c r="AA173" s="66">
        <f t="shared" si="133"/>
        <v>4.0686274509803919</v>
      </c>
      <c r="AB173" s="66">
        <f t="shared" si="133"/>
        <v>4.0686274509803919</v>
      </c>
      <c r="AC173" s="66">
        <f t="shared" si="133"/>
        <v>4.0686274509803919</v>
      </c>
    </row>
    <row r="174" spans="1:29" x14ac:dyDescent="0.25">
      <c r="A174" s="30" t="str">
        <f t="shared" si="127"/>
        <v>Opex var (mode-fees)</v>
      </c>
      <c r="B174" s="66">
        <f>B144*B153/B153</f>
        <v>1.6886890630966982</v>
      </c>
      <c r="C174" s="66">
        <f t="shared" ref="C174:AC174" si="134">C144*C153/C153</f>
        <v>1.6886890630966982</v>
      </c>
      <c r="D174" s="66">
        <f t="shared" si="134"/>
        <v>1.6886890630966982</v>
      </c>
      <c r="E174" s="66">
        <f t="shared" si="134"/>
        <v>1.6886890630966982</v>
      </c>
      <c r="F174" s="66">
        <f t="shared" si="134"/>
        <v>1.6886890630966982</v>
      </c>
      <c r="G174" s="66">
        <f t="shared" si="134"/>
        <v>1.6886890630966982</v>
      </c>
      <c r="H174" s="66">
        <f t="shared" si="134"/>
        <v>1.6886890630966982</v>
      </c>
      <c r="I174" s="66">
        <f t="shared" si="134"/>
        <v>1.6886890630966982</v>
      </c>
      <c r="J174" s="66">
        <f t="shared" si="134"/>
        <v>1.6886890630966982</v>
      </c>
      <c r="K174" s="66">
        <f t="shared" si="134"/>
        <v>1.6886890630966982</v>
      </c>
      <c r="L174" s="66">
        <f t="shared" si="134"/>
        <v>1.6886890630966982</v>
      </c>
      <c r="M174" s="66">
        <f t="shared" si="134"/>
        <v>1.6886890630966982</v>
      </c>
      <c r="N174" s="66">
        <f t="shared" si="134"/>
        <v>1.6886890630966982</v>
      </c>
      <c r="O174" s="66">
        <f t="shared" si="134"/>
        <v>1.6886890630966982</v>
      </c>
      <c r="P174" s="66">
        <f t="shared" si="134"/>
        <v>1.6886890630966982</v>
      </c>
      <c r="Q174" s="66">
        <f t="shared" si="134"/>
        <v>1.6886890630966982</v>
      </c>
      <c r="R174" s="66">
        <f t="shared" si="134"/>
        <v>1.6886890630966982</v>
      </c>
      <c r="S174" s="66">
        <f t="shared" si="134"/>
        <v>1.6886890630966982</v>
      </c>
      <c r="T174" s="66">
        <f t="shared" si="134"/>
        <v>1.6886890630966982</v>
      </c>
      <c r="U174" s="66">
        <f t="shared" si="134"/>
        <v>1.6886890630966982</v>
      </c>
      <c r="V174" s="66">
        <f t="shared" si="134"/>
        <v>1.6886890630966982</v>
      </c>
      <c r="W174" s="66">
        <f t="shared" si="134"/>
        <v>1.6886890630966982</v>
      </c>
      <c r="X174" s="66">
        <f t="shared" si="134"/>
        <v>1.6886890630966982</v>
      </c>
      <c r="Y174" s="66">
        <f t="shared" si="134"/>
        <v>1.6886890630966982</v>
      </c>
      <c r="Z174" s="66">
        <f t="shared" si="134"/>
        <v>1.6886890630966982</v>
      </c>
      <c r="AA174" s="66">
        <f t="shared" si="134"/>
        <v>1.6886890630966982</v>
      </c>
      <c r="AB174" s="66">
        <f t="shared" si="134"/>
        <v>1.6886890630966982</v>
      </c>
      <c r="AC174" s="66">
        <f t="shared" si="134"/>
        <v>1.6886890630966982</v>
      </c>
    </row>
    <row r="175" spans="1:29" x14ac:dyDescent="0.25">
      <c r="A175" s="30" t="str">
        <f t="shared" si="127"/>
        <v>Fuel Cost</v>
      </c>
      <c r="B175" s="66">
        <f>B145*B146*B153/B153</f>
        <v>37.488483587357699</v>
      </c>
      <c r="C175" s="66">
        <f t="shared" ref="C175:AC175" si="135">C145*C146*C153/C153</f>
        <v>34.900661466127573</v>
      </c>
      <c r="D175" s="66">
        <f t="shared" si="135"/>
        <v>32.312233683108033</v>
      </c>
      <c r="E175" s="66">
        <f t="shared" si="135"/>
        <v>29.723051812174123</v>
      </c>
      <c r="F175" s="66">
        <f t="shared" si="135"/>
        <v>27.132953715717271</v>
      </c>
      <c r="G175" s="66">
        <f t="shared" si="135"/>
        <v>24.541780290872858</v>
      </c>
      <c r="H175" s="66">
        <f t="shared" si="135"/>
        <v>21.949409471165094</v>
      </c>
      <c r="I175" s="66">
        <f t="shared" si="135"/>
        <v>19.355818692500645</v>
      </c>
      <c r="J175" s="66">
        <f t="shared" si="135"/>
        <v>18.948435433346965</v>
      </c>
      <c r="K175" s="66">
        <f t="shared" si="135"/>
        <v>18.535504027146708</v>
      </c>
      <c r="L175" s="66">
        <f t="shared" si="135"/>
        <v>18.115253603786709</v>
      </c>
      <c r="M175" s="66">
        <f t="shared" si="135"/>
        <v>17.685629796779626</v>
      </c>
      <c r="N175" s="66">
        <f t="shared" si="135"/>
        <v>17.244517153323354</v>
      </c>
      <c r="O175" s="66">
        <f t="shared" si="135"/>
        <v>16.790218075853989</v>
      </c>
      <c r="P175" s="66">
        <f t="shared" si="135"/>
        <v>16.322235597430396</v>
      </c>
      <c r="Q175" s="66">
        <f t="shared" si="135"/>
        <v>15.842225073411278</v>
      </c>
      <c r="R175" s="66">
        <f t="shared" si="135"/>
        <v>15.354666513931461</v>
      </c>
      <c r="S175" s="66">
        <f t="shared" si="135"/>
        <v>14.866601080542717</v>
      </c>
      <c r="T175" s="66">
        <f t="shared" si="135"/>
        <v>14.386095255265635</v>
      </c>
      <c r="U175" s="66">
        <f t="shared" si="135"/>
        <v>13.919989803168557</v>
      </c>
      <c r="V175" s="66">
        <f t="shared" si="135"/>
        <v>13.472163104670095</v>
      </c>
      <c r="W175" s="66">
        <f t="shared" si="135"/>
        <v>13.043170971641301</v>
      </c>
      <c r="X175" s="66">
        <f t="shared" si="135"/>
        <v>12.631095890262376</v>
      </c>
      <c r="Y175" s="66">
        <f t="shared" si="135"/>
        <v>12.23281581838982</v>
      </c>
      <c r="Z175" s="66">
        <f t="shared" si="135"/>
        <v>11.845037252331126</v>
      </c>
      <c r="AA175" s="66">
        <f t="shared" si="135"/>
        <v>11.46487330144263</v>
      </c>
      <c r="AB175" s="66">
        <f t="shared" si="135"/>
        <v>11.09004542014724</v>
      </c>
      <c r="AC175" s="66">
        <f t="shared" si="135"/>
        <v>10.718868997250505</v>
      </c>
    </row>
    <row r="176" spans="1:29" ht="15.75" thickBot="1" x14ac:dyDescent="0.3">
      <c r="A176" s="59" t="str">
        <f>A127</f>
        <v>Emission Cost</v>
      </c>
      <c r="B176" s="66">
        <f>B147</f>
        <v>0</v>
      </c>
      <c r="C176" s="66">
        <f t="shared" ref="C176:AC176" si="136">C147</f>
        <v>0</v>
      </c>
      <c r="D176" s="66">
        <f t="shared" si="136"/>
        <v>0</v>
      </c>
      <c r="E176" s="66">
        <f t="shared" si="136"/>
        <v>0</v>
      </c>
      <c r="F176" s="66">
        <f t="shared" si="136"/>
        <v>0</v>
      </c>
      <c r="G176" s="66">
        <f t="shared" si="136"/>
        <v>0</v>
      </c>
      <c r="H176" s="66">
        <f t="shared" si="136"/>
        <v>0</v>
      </c>
      <c r="I176" s="66">
        <f t="shared" si="136"/>
        <v>0</v>
      </c>
      <c r="J176" s="66">
        <f t="shared" si="136"/>
        <v>0</v>
      </c>
      <c r="K176" s="66">
        <f t="shared" si="136"/>
        <v>0</v>
      </c>
      <c r="L176" s="66">
        <f t="shared" si="136"/>
        <v>0</v>
      </c>
      <c r="M176" s="66">
        <f t="shared" si="136"/>
        <v>0</v>
      </c>
      <c r="N176" s="66">
        <f t="shared" si="136"/>
        <v>0</v>
      </c>
      <c r="O176" s="66">
        <f t="shared" si="136"/>
        <v>0</v>
      </c>
      <c r="P176" s="66">
        <f t="shared" si="136"/>
        <v>0</v>
      </c>
      <c r="Q176" s="66">
        <f t="shared" si="136"/>
        <v>0</v>
      </c>
      <c r="R176" s="66">
        <f t="shared" si="136"/>
        <v>0</v>
      </c>
      <c r="S176" s="66">
        <f t="shared" si="136"/>
        <v>0</v>
      </c>
      <c r="T176" s="66">
        <f t="shared" si="136"/>
        <v>0</v>
      </c>
      <c r="U176" s="66">
        <f t="shared" si="136"/>
        <v>0</v>
      </c>
      <c r="V176" s="66">
        <f t="shared" si="136"/>
        <v>0</v>
      </c>
      <c r="W176" s="66">
        <f t="shared" si="136"/>
        <v>0</v>
      </c>
      <c r="X176" s="66">
        <f t="shared" si="136"/>
        <v>0</v>
      </c>
      <c r="Y176" s="66">
        <f t="shared" si="136"/>
        <v>0</v>
      </c>
      <c r="Z176" s="66">
        <f t="shared" si="136"/>
        <v>0</v>
      </c>
      <c r="AA176" s="66">
        <f t="shared" si="136"/>
        <v>0</v>
      </c>
      <c r="AB176" s="66">
        <f t="shared" si="136"/>
        <v>0</v>
      </c>
      <c r="AC176" s="66">
        <f t="shared" si="136"/>
        <v>0</v>
      </c>
    </row>
    <row r="177" spans="1:29" ht="15.75" thickBot="1" x14ac:dyDescent="0.3">
      <c r="A177" s="31" t="s">
        <v>63</v>
      </c>
      <c r="B177" s="76">
        <f>B168+B169+B170-B171+B172+B173+B174+B175+B176</f>
        <v>65.701398388860611</v>
      </c>
      <c r="C177" s="76">
        <f t="shared" ref="C177:AC177" si="137">C168+C169+C170-C171+C172+C173+C174+C175+C176</f>
        <v>63.114040813223241</v>
      </c>
      <c r="D177" s="76">
        <f t="shared" si="137"/>
        <v>60.526278016872809</v>
      </c>
      <c r="E177" s="76">
        <f t="shared" si="137"/>
        <v>57.938047456132999</v>
      </c>
      <c r="F177" s="76">
        <f t="shared" si="137"/>
        <v>55.349308991860539</v>
      </c>
      <c r="G177" s="76">
        <f t="shared" si="137"/>
        <v>52.76007605597195</v>
      </c>
      <c r="H177" s="76">
        <f t="shared" si="137"/>
        <v>50.170468968591344</v>
      </c>
      <c r="I177" s="76">
        <f t="shared" si="137"/>
        <v>47.580802293645476</v>
      </c>
      <c r="J177" s="76">
        <f t="shared" si="137"/>
        <v>47.178965378015718</v>
      </c>
      <c r="K177" s="76">
        <f t="shared" si="137"/>
        <v>46.773820938058734</v>
      </c>
      <c r="L177" s="76">
        <f t="shared" si="137"/>
        <v>46.364397224533157</v>
      </c>
      <c r="M177" s="76">
        <f t="shared" si="137"/>
        <v>45.949616431681044</v>
      </c>
      <c r="N177" s="76">
        <f t="shared" si="137"/>
        <v>45.528451208735952</v>
      </c>
      <c r="O177" s="76">
        <f t="shared" si="137"/>
        <v>45.100227263432942</v>
      </c>
      <c r="P177" s="76">
        <f t="shared" si="137"/>
        <v>44.665082006703507</v>
      </c>
      <c r="Q177" s="76">
        <f t="shared" si="137"/>
        <v>44.224475206124779</v>
      </c>
      <c r="R177" s="76">
        <f t="shared" si="137"/>
        <v>43.781473338981399</v>
      </c>
      <c r="S177" s="76">
        <f t="shared" si="137"/>
        <v>43.340446222880722</v>
      </c>
      <c r="T177" s="76">
        <f t="shared" si="137"/>
        <v>42.906053088790181</v>
      </c>
      <c r="U177" s="76">
        <f t="shared" si="137"/>
        <v>42.481924968643312</v>
      </c>
      <c r="V177" s="76">
        <f t="shared" si="137"/>
        <v>42.0697730246155</v>
      </c>
      <c r="W177" s="76">
        <f t="shared" si="137"/>
        <v>41.669349980931152</v>
      </c>
      <c r="X177" s="76">
        <f t="shared" si="137"/>
        <v>41.279074382708707</v>
      </c>
      <c r="Y177" s="76">
        <f t="shared" si="137"/>
        <v>40.896818679277246</v>
      </c>
      <c r="Z177" s="76">
        <f t="shared" si="137"/>
        <v>40.520497304834777</v>
      </c>
      <c r="AA177" s="76">
        <f t="shared" si="137"/>
        <v>40.148363153275199</v>
      </c>
      <c r="AB177" s="76">
        <f t="shared" si="137"/>
        <v>39.779084356866122</v>
      </c>
      <c r="AC177" s="76">
        <f t="shared" si="137"/>
        <v>39.411705449278607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8">A156</f>
        <v>Capex vehicle</v>
      </c>
      <c r="B180" s="65">
        <f>((1+B141)^B148)*B141/(((1+B141)^B148)-1)*(B137)/B153/(B150)</f>
        <v>1.0347449498978036E-3</v>
      </c>
      <c r="C180" s="65">
        <f t="shared" ref="C180:AC180" si="139">((1+C141)^C148)*C141/(((1+C141)^C148)-1)*(C137)/C153/(C150)</f>
        <v>1.0347449498978036E-3</v>
      </c>
      <c r="D180" s="65">
        <f t="shared" si="139"/>
        <v>1.0347449498978036E-3</v>
      </c>
      <c r="E180" s="65">
        <f t="shared" si="139"/>
        <v>1.0347449498978036E-3</v>
      </c>
      <c r="F180" s="65">
        <f t="shared" si="139"/>
        <v>1.0347449498978036E-3</v>
      </c>
      <c r="G180" s="65">
        <f t="shared" si="139"/>
        <v>1.0347449498978036E-3</v>
      </c>
      <c r="H180" s="65">
        <f t="shared" si="139"/>
        <v>1.0347449498978036E-3</v>
      </c>
      <c r="I180" s="65">
        <f t="shared" si="139"/>
        <v>1.0347449498978036E-3</v>
      </c>
      <c r="J180" s="65">
        <f t="shared" si="139"/>
        <v>1.0347449498978036E-3</v>
      </c>
      <c r="K180" s="65">
        <f t="shared" si="139"/>
        <v>1.0347449498978036E-3</v>
      </c>
      <c r="L180" s="65">
        <f t="shared" si="139"/>
        <v>1.0347449498978036E-3</v>
      </c>
      <c r="M180" s="65">
        <f t="shared" si="139"/>
        <v>1.0347449498978036E-3</v>
      </c>
      <c r="N180" s="65">
        <f t="shared" si="139"/>
        <v>1.0347449498978036E-3</v>
      </c>
      <c r="O180" s="65">
        <f t="shared" si="139"/>
        <v>1.0347449498978036E-3</v>
      </c>
      <c r="P180" s="65">
        <f t="shared" si="139"/>
        <v>1.0347449498978036E-3</v>
      </c>
      <c r="Q180" s="65">
        <f t="shared" si="139"/>
        <v>1.0347449498978036E-3</v>
      </c>
      <c r="R180" s="65">
        <f t="shared" si="139"/>
        <v>1.0347449498978036E-3</v>
      </c>
      <c r="S180" s="65">
        <f t="shared" si="139"/>
        <v>1.0347449498978036E-3</v>
      </c>
      <c r="T180" s="65">
        <f t="shared" si="139"/>
        <v>1.0347449498978036E-3</v>
      </c>
      <c r="U180" s="65">
        <f t="shared" si="139"/>
        <v>1.0347449498978036E-3</v>
      </c>
      <c r="V180" s="65">
        <f t="shared" si="139"/>
        <v>1.0347449498978036E-3</v>
      </c>
      <c r="W180" s="65">
        <f t="shared" si="139"/>
        <v>1.0347449498978036E-3</v>
      </c>
      <c r="X180" s="65">
        <f t="shared" si="139"/>
        <v>1.0347449498978036E-3</v>
      </c>
      <c r="Y180" s="65">
        <f t="shared" si="139"/>
        <v>1.0347449498978036E-3</v>
      </c>
      <c r="Z180" s="65">
        <f t="shared" si="139"/>
        <v>1.0347449498978036E-3</v>
      </c>
      <c r="AA180" s="65">
        <f t="shared" si="139"/>
        <v>1.0347449498978036E-3</v>
      </c>
      <c r="AB180" s="65">
        <f t="shared" si="139"/>
        <v>1.0347449498978036E-3</v>
      </c>
      <c r="AC180" s="65">
        <f t="shared" si="139"/>
        <v>1.0347449498978036E-3</v>
      </c>
    </row>
    <row r="181" spans="1:29" x14ac:dyDescent="0.25">
      <c r="A181" s="30" t="str">
        <f t="shared" si="138"/>
        <v>Residual value (vehicle)</v>
      </c>
      <c r="B181" s="68">
        <f>((1+B141)^B148)*B141/(((1+B141)^B148)-1)*(B138)/B153/(B150)</f>
        <v>-1.0336086682377807E-4</v>
      </c>
      <c r="C181" s="68">
        <f t="shared" ref="C181:AC181" si="140">((1+C141)^C148)*C141/(((1+C141)^C148)-1)*(C138)/C153/(C150)</f>
        <v>-1.0331170855999495E-4</v>
      </c>
      <c r="D181" s="68">
        <f t="shared" si="140"/>
        <v>-1.0324133960030145E-4</v>
      </c>
      <c r="E181" s="68">
        <f t="shared" si="140"/>
        <v>-1.0314067185489343E-4</v>
      </c>
      <c r="F181" s="68">
        <f t="shared" si="140"/>
        <v>-1.0299679543326449E-4</v>
      </c>
      <c r="G181" s="68">
        <f t="shared" si="140"/>
        <v>-1.0279145268661591E-4</v>
      </c>
      <c r="H181" s="68">
        <f t="shared" si="140"/>
        <v>-1.0249899423929835E-4</v>
      </c>
      <c r="I181" s="68">
        <f t="shared" si="140"/>
        <v>-1.0208374516854875E-4</v>
      </c>
      <c r="J181" s="68">
        <f t="shared" si="140"/>
        <v>-1.0149683050993223E-4</v>
      </c>
      <c r="K181" s="68">
        <f t="shared" si="140"/>
        <v>-1.0067281291805218E-4</v>
      </c>
      <c r="L181" s="68">
        <f t="shared" si="140"/>
        <v>-9.9527129337690295E-5</v>
      </c>
      <c r="M181" s="68">
        <f t="shared" si="140"/>
        <v>-9.7956440009122124E-5</v>
      </c>
      <c r="N181" s="68">
        <f t="shared" si="140"/>
        <v>-9.5845601859790468E-5</v>
      </c>
      <c r="O181" s="68">
        <f t="shared" si="140"/>
        <v>-9.3086328614673487E-5</v>
      </c>
      <c r="P181" s="68">
        <f t="shared" si="140"/>
        <v>-8.9611490340159677E-5</v>
      </c>
      <c r="Q181" s="68">
        <f t="shared" si="140"/>
        <v>-8.5441784155991385E-5</v>
      </c>
      <c r="R181" s="68">
        <f t="shared" si="140"/>
        <v>-8.0726790257955685E-5</v>
      </c>
      <c r="S181" s="68">
        <f t="shared" si="140"/>
        <v>-7.5749190544932557E-5</v>
      </c>
      <c r="T181" s="68">
        <f t="shared" si="140"/>
        <v>-7.086954068392259E-5</v>
      </c>
      <c r="U181" s="68">
        <f t="shared" si="140"/>
        <v>-6.6427494974906487E-5</v>
      </c>
      <c r="V181" s="68">
        <f t="shared" si="140"/>
        <v>-6.2652388681716054E-5</v>
      </c>
      <c r="W181" s="68">
        <f t="shared" si="140"/>
        <v>-5.9629204624102501E-5</v>
      </c>
      <c r="X181" s="68">
        <f t="shared" si="140"/>
        <v>-5.7322381009659713E-5</v>
      </c>
      <c r="Y181" s="68">
        <f t="shared" si="140"/>
        <v>-5.5626680645522941E-5</v>
      </c>
      <c r="Z181" s="68">
        <f t="shared" si="140"/>
        <v>-5.4414279416293167E-5</v>
      </c>
      <c r="AA181" s="68">
        <f t="shared" si="140"/>
        <v>-5.3564565201592909E-5</v>
      </c>
      <c r="AB181" s="68">
        <f t="shared" si="140"/>
        <v>-5.2977360451717727E-5</v>
      </c>
      <c r="AC181" s="68">
        <f t="shared" si="140"/>
        <v>-5.2575506979843073E-5</v>
      </c>
    </row>
    <row r="182" spans="1:29" x14ac:dyDescent="0.25">
      <c r="A182" s="30" t="str">
        <f t="shared" si="138"/>
        <v>Capex costumization</v>
      </c>
      <c r="B182" s="66">
        <f>((1+B141)^B149)*B141/(((1+B141)^B149)-1)*(B139)/B153/(B150)</f>
        <v>3.4491498329926784E-4</v>
      </c>
      <c r="C182" s="66">
        <f t="shared" ref="C182:AC182" si="141">((1+C141)^C149)*C141/(((1+C141)^C149)-1)*(C139)/C153/(C150)</f>
        <v>3.4491498329926784E-4</v>
      </c>
      <c r="D182" s="66">
        <f t="shared" si="141"/>
        <v>3.4491498329926784E-4</v>
      </c>
      <c r="E182" s="66">
        <f t="shared" si="141"/>
        <v>3.4491498329926784E-4</v>
      </c>
      <c r="F182" s="66">
        <f t="shared" si="141"/>
        <v>3.4491498329926784E-4</v>
      </c>
      <c r="G182" s="66">
        <f t="shared" si="141"/>
        <v>3.4491498329926784E-4</v>
      </c>
      <c r="H182" s="66">
        <f t="shared" si="141"/>
        <v>3.4491498329926784E-4</v>
      </c>
      <c r="I182" s="66">
        <f t="shared" si="141"/>
        <v>3.4491498329926784E-4</v>
      </c>
      <c r="J182" s="66">
        <f t="shared" si="141"/>
        <v>3.4491498329926784E-4</v>
      </c>
      <c r="K182" s="66">
        <f t="shared" si="141"/>
        <v>3.4491498329926784E-4</v>
      </c>
      <c r="L182" s="66">
        <f t="shared" si="141"/>
        <v>3.4491498329926784E-4</v>
      </c>
      <c r="M182" s="66">
        <f t="shared" si="141"/>
        <v>3.4491498329926784E-4</v>
      </c>
      <c r="N182" s="66">
        <f t="shared" si="141"/>
        <v>3.4491498329926784E-4</v>
      </c>
      <c r="O182" s="66">
        <f t="shared" si="141"/>
        <v>3.4491498329926784E-4</v>
      </c>
      <c r="P182" s="66">
        <f t="shared" si="141"/>
        <v>3.4491498329926784E-4</v>
      </c>
      <c r="Q182" s="66">
        <f t="shared" si="141"/>
        <v>3.4491498329926784E-4</v>
      </c>
      <c r="R182" s="66">
        <f t="shared" si="141"/>
        <v>3.4491498329926784E-4</v>
      </c>
      <c r="S182" s="66">
        <f t="shared" si="141"/>
        <v>3.4491498329926784E-4</v>
      </c>
      <c r="T182" s="66">
        <f t="shared" si="141"/>
        <v>3.4491498329926784E-4</v>
      </c>
      <c r="U182" s="66">
        <f t="shared" si="141"/>
        <v>3.4491498329926784E-4</v>
      </c>
      <c r="V182" s="66">
        <f t="shared" si="141"/>
        <v>3.4491498329926784E-4</v>
      </c>
      <c r="W182" s="66">
        <f t="shared" si="141"/>
        <v>3.4491498329926784E-4</v>
      </c>
      <c r="X182" s="66">
        <f t="shared" si="141"/>
        <v>3.4491498329926784E-4</v>
      </c>
      <c r="Y182" s="66">
        <f t="shared" si="141"/>
        <v>3.4491498329926784E-4</v>
      </c>
      <c r="Z182" s="66">
        <f t="shared" si="141"/>
        <v>3.4491498329926784E-4</v>
      </c>
      <c r="AA182" s="66">
        <f t="shared" si="141"/>
        <v>3.4491498329926784E-4</v>
      </c>
      <c r="AB182" s="66">
        <f t="shared" si="141"/>
        <v>3.4491498329926784E-4</v>
      </c>
      <c r="AC182" s="66">
        <f t="shared" si="141"/>
        <v>3.4491498329926784E-4</v>
      </c>
    </row>
    <row r="183" spans="1:29" x14ac:dyDescent="0.25">
      <c r="A183" s="30" t="str">
        <f t="shared" si="138"/>
        <v>Residual value (costumization)</v>
      </c>
      <c r="B183" s="69">
        <f>((1+B141)^B149)*B141/(((1+B141)^B149)-1)*(B140)/B153/(B150)</f>
        <v>-3.4491498329926788E-5</v>
      </c>
      <c r="C183" s="69">
        <f t="shared" ref="C183:AC183" si="142">((1+C141)^C149)*C141/(((1+C141)^C149)-1)*(C140)/C153/(C150)</f>
        <v>-3.4491498329926788E-5</v>
      </c>
      <c r="D183" s="69">
        <f t="shared" si="142"/>
        <v>-3.4491498329926788E-5</v>
      </c>
      <c r="E183" s="69">
        <f t="shared" si="142"/>
        <v>-3.4491498329926788E-5</v>
      </c>
      <c r="F183" s="69">
        <f t="shared" si="142"/>
        <v>-3.4491498329926788E-5</v>
      </c>
      <c r="G183" s="69">
        <f t="shared" si="142"/>
        <v>-3.4491498329926788E-5</v>
      </c>
      <c r="H183" s="69">
        <f t="shared" si="142"/>
        <v>-3.4491498329926788E-5</v>
      </c>
      <c r="I183" s="69">
        <f t="shared" si="142"/>
        <v>-3.4491498329926788E-5</v>
      </c>
      <c r="J183" s="69">
        <f t="shared" si="142"/>
        <v>-3.4491498329926788E-5</v>
      </c>
      <c r="K183" s="69">
        <f t="shared" si="142"/>
        <v>-3.4491498329926788E-5</v>
      </c>
      <c r="L183" s="69">
        <f t="shared" si="142"/>
        <v>-3.4491498329926788E-5</v>
      </c>
      <c r="M183" s="69">
        <f t="shared" si="142"/>
        <v>-3.4491498329926788E-5</v>
      </c>
      <c r="N183" s="69">
        <f t="shared" si="142"/>
        <v>-3.4491498329926788E-5</v>
      </c>
      <c r="O183" s="69">
        <f t="shared" si="142"/>
        <v>-3.4491498329926788E-5</v>
      </c>
      <c r="P183" s="69">
        <f t="shared" si="142"/>
        <v>-3.4491498329926788E-5</v>
      </c>
      <c r="Q183" s="69">
        <f t="shared" si="142"/>
        <v>-3.4491498329926788E-5</v>
      </c>
      <c r="R183" s="69">
        <f t="shared" si="142"/>
        <v>-3.4491498329926788E-5</v>
      </c>
      <c r="S183" s="69">
        <f t="shared" si="142"/>
        <v>-3.4491498329926788E-5</v>
      </c>
      <c r="T183" s="69">
        <f t="shared" si="142"/>
        <v>-3.4491498329926788E-5</v>
      </c>
      <c r="U183" s="69">
        <f t="shared" si="142"/>
        <v>-3.4491498329926788E-5</v>
      </c>
      <c r="V183" s="69">
        <f t="shared" si="142"/>
        <v>-3.4491498329926788E-5</v>
      </c>
      <c r="W183" s="69">
        <f t="shared" si="142"/>
        <v>-3.4491498329926788E-5</v>
      </c>
      <c r="X183" s="69">
        <f t="shared" si="142"/>
        <v>-3.4491498329926788E-5</v>
      </c>
      <c r="Y183" s="69">
        <f t="shared" si="142"/>
        <v>-3.4491498329926788E-5</v>
      </c>
      <c r="Z183" s="69">
        <f t="shared" si="142"/>
        <v>-3.4491498329926788E-5</v>
      </c>
      <c r="AA183" s="69">
        <f t="shared" si="142"/>
        <v>-3.4491498329926788E-5</v>
      </c>
      <c r="AB183" s="69">
        <f t="shared" si="142"/>
        <v>-3.4491498329926788E-5</v>
      </c>
      <c r="AC183" s="69">
        <f t="shared" si="142"/>
        <v>-3.4491498329926788E-5</v>
      </c>
    </row>
    <row r="184" spans="1:29" x14ac:dyDescent="0.25">
      <c r="A184" s="30" t="str">
        <f t="shared" si="138"/>
        <v>Opex fix (admin, crew, insurance)</v>
      </c>
      <c r="B184" s="66">
        <f>B142/B153/(B150)</f>
        <v>1.0654632223259673E-3</v>
      </c>
      <c r="C184" s="66">
        <f t="shared" ref="C184:AC184" si="143">C142/C153/(C150)</f>
        <v>1.0654632223259673E-3</v>
      </c>
      <c r="D184" s="66">
        <f t="shared" si="143"/>
        <v>1.0654632223259673E-3</v>
      </c>
      <c r="E184" s="66">
        <f t="shared" si="143"/>
        <v>1.0654632223259673E-3</v>
      </c>
      <c r="F184" s="66">
        <f t="shared" si="143"/>
        <v>1.0654632223259673E-3</v>
      </c>
      <c r="G184" s="66">
        <f t="shared" si="143"/>
        <v>1.0654632223259673E-3</v>
      </c>
      <c r="H184" s="66">
        <f t="shared" si="143"/>
        <v>1.0654632223259673E-3</v>
      </c>
      <c r="I184" s="66">
        <f t="shared" si="143"/>
        <v>1.0654632223259673E-3</v>
      </c>
      <c r="J184" s="66">
        <f t="shared" si="143"/>
        <v>1.0654632223259673E-3</v>
      </c>
      <c r="K184" s="66">
        <f t="shared" si="143"/>
        <v>1.0654632223259673E-3</v>
      </c>
      <c r="L184" s="66">
        <f t="shared" si="143"/>
        <v>1.0654632223259673E-3</v>
      </c>
      <c r="M184" s="66">
        <f t="shared" si="143"/>
        <v>1.0654632223259673E-3</v>
      </c>
      <c r="N184" s="66">
        <f t="shared" si="143"/>
        <v>1.0654632223259673E-3</v>
      </c>
      <c r="O184" s="66">
        <f t="shared" si="143"/>
        <v>1.0654632223259673E-3</v>
      </c>
      <c r="P184" s="66">
        <f t="shared" si="143"/>
        <v>1.0654632223259673E-3</v>
      </c>
      <c r="Q184" s="66">
        <f t="shared" si="143"/>
        <v>1.0654632223259673E-3</v>
      </c>
      <c r="R184" s="66">
        <f t="shared" si="143"/>
        <v>1.0654632223259673E-3</v>
      </c>
      <c r="S184" s="66">
        <f t="shared" si="143"/>
        <v>1.0654632223259673E-3</v>
      </c>
      <c r="T184" s="66">
        <f t="shared" si="143"/>
        <v>1.0654632223259673E-3</v>
      </c>
      <c r="U184" s="66">
        <f t="shared" si="143"/>
        <v>1.0654632223259673E-3</v>
      </c>
      <c r="V184" s="66">
        <f t="shared" si="143"/>
        <v>1.0654632223259673E-3</v>
      </c>
      <c r="W184" s="66">
        <f t="shared" si="143"/>
        <v>1.0654632223259673E-3</v>
      </c>
      <c r="X184" s="66">
        <f t="shared" si="143"/>
        <v>1.0654632223259673E-3</v>
      </c>
      <c r="Y184" s="66">
        <f t="shared" si="143"/>
        <v>1.0654632223259673E-3</v>
      </c>
      <c r="Z184" s="66">
        <f t="shared" si="143"/>
        <v>1.0654632223259673E-3</v>
      </c>
      <c r="AA184" s="66">
        <f t="shared" si="143"/>
        <v>1.0654632223259673E-3</v>
      </c>
      <c r="AB184" s="66">
        <f t="shared" si="143"/>
        <v>1.0654632223259673E-3</v>
      </c>
      <c r="AC184" s="66">
        <f t="shared" si="143"/>
        <v>1.0654632223259673E-3</v>
      </c>
    </row>
    <row r="185" spans="1:29" x14ac:dyDescent="0.25">
      <c r="A185" s="30" t="str">
        <f t="shared" si="138"/>
        <v>Opex maintenance &amp; repair</v>
      </c>
      <c r="B185" s="66">
        <f>B143/B153/(B150)</f>
        <v>4.305425874053325E-4</v>
      </c>
      <c r="C185" s="66">
        <f t="shared" ref="C185:AC185" si="144">C143/C153/(C150)</f>
        <v>4.305425874053325E-4</v>
      </c>
      <c r="D185" s="66">
        <f t="shared" si="144"/>
        <v>4.305425874053325E-4</v>
      </c>
      <c r="E185" s="66">
        <f t="shared" si="144"/>
        <v>4.305425874053325E-4</v>
      </c>
      <c r="F185" s="66">
        <f t="shared" si="144"/>
        <v>4.305425874053325E-4</v>
      </c>
      <c r="G185" s="66">
        <f t="shared" si="144"/>
        <v>4.305425874053325E-4</v>
      </c>
      <c r="H185" s="66">
        <f t="shared" si="144"/>
        <v>4.305425874053325E-4</v>
      </c>
      <c r="I185" s="66">
        <f t="shared" si="144"/>
        <v>4.305425874053325E-4</v>
      </c>
      <c r="J185" s="66">
        <f t="shared" si="144"/>
        <v>4.305425874053325E-4</v>
      </c>
      <c r="K185" s="66">
        <f t="shared" si="144"/>
        <v>4.305425874053325E-4</v>
      </c>
      <c r="L185" s="66">
        <f t="shared" si="144"/>
        <v>4.305425874053325E-4</v>
      </c>
      <c r="M185" s="66">
        <f t="shared" si="144"/>
        <v>4.305425874053325E-4</v>
      </c>
      <c r="N185" s="66">
        <f t="shared" si="144"/>
        <v>4.305425874053325E-4</v>
      </c>
      <c r="O185" s="66">
        <f t="shared" si="144"/>
        <v>4.305425874053325E-4</v>
      </c>
      <c r="P185" s="66">
        <f t="shared" si="144"/>
        <v>4.305425874053325E-4</v>
      </c>
      <c r="Q185" s="66">
        <f t="shared" si="144"/>
        <v>4.305425874053325E-4</v>
      </c>
      <c r="R185" s="66">
        <f t="shared" si="144"/>
        <v>4.305425874053325E-4</v>
      </c>
      <c r="S185" s="66">
        <f t="shared" si="144"/>
        <v>4.305425874053325E-4</v>
      </c>
      <c r="T185" s="66">
        <f t="shared" si="144"/>
        <v>4.305425874053325E-4</v>
      </c>
      <c r="U185" s="66">
        <f t="shared" si="144"/>
        <v>4.305425874053325E-4</v>
      </c>
      <c r="V185" s="66">
        <f t="shared" si="144"/>
        <v>4.305425874053325E-4</v>
      </c>
      <c r="W185" s="66">
        <f t="shared" si="144"/>
        <v>4.305425874053325E-4</v>
      </c>
      <c r="X185" s="66">
        <f t="shared" si="144"/>
        <v>4.305425874053325E-4</v>
      </c>
      <c r="Y185" s="66">
        <f t="shared" si="144"/>
        <v>4.305425874053325E-4</v>
      </c>
      <c r="Z185" s="66">
        <f t="shared" si="144"/>
        <v>4.305425874053325E-4</v>
      </c>
      <c r="AA185" s="66">
        <f t="shared" si="144"/>
        <v>4.305425874053325E-4</v>
      </c>
      <c r="AB185" s="66">
        <f t="shared" si="144"/>
        <v>4.305425874053325E-4</v>
      </c>
      <c r="AC185" s="66">
        <f t="shared" si="144"/>
        <v>4.305425874053325E-4</v>
      </c>
    </row>
    <row r="186" spans="1:29" x14ac:dyDescent="0.25">
      <c r="A186" s="30" t="str">
        <f t="shared" si="138"/>
        <v>Opex var (mode-fees)</v>
      </c>
      <c r="B186" s="66">
        <f>B144*B153/B153/(B150)</f>
        <v>1.7869725535414797E-4</v>
      </c>
      <c r="C186" s="66">
        <f t="shared" ref="C186:AC186" si="145">C144*C153/C153/(C150)</f>
        <v>1.7869725535414797E-4</v>
      </c>
      <c r="D186" s="66">
        <f t="shared" si="145"/>
        <v>1.7869725535414797E-4</v>
      </c>
      <c r="E186" s="66">
        <f t="shared" si="145"/>
        <v>1.7869725535414797E-4</v>
      </c>
      <c r="F186" s="66">
        <f t="shared" si="145"/>
        <v>1.7869725535414797E-4</v>
      </c>
      <c r="G186" s="66">
        <f t="shared" si="145"/>
        <v>1.7869725535414797E-4</v>
      </c>
      <c r="H186" s="66">
        <f t="shared" si="145"/>
        <v>1.7869725535414797E-4</v>
      </c>
      <c r="I186" s="66">
        <f t="shared" si="145"/>
        <v>1.7869725535414797E-4</v>
      </c>
      <c r="J186" s="66">
        <f t="shared" si="145"/>
        <v>1.7869725535414797E-4</v>
      </c>
      <c r="K186" s="66">
        <f t="shared" si="145"/>
        <v>1.7869725535414797E-4</v>
      </c>
      <c r="L186" s="66">
        <f t="shared" si="145"/>
        <v>1.7869725535414797E-4</v>
      </c>
      <c r="M186" s="66">
        <f t="shared" si="145"/>
        <v>1.7869725535414797E-4</v>
      </c>
      <c r="N186" s="66">
        <f t="shared" si="145"/>
        <v>1.7869725535414797E-4</v>
      </c>
      <c r="O186" s="66">
        <f t="shared" si="145"/>
        <v>1.7869725535414797E-4</v>
      </c>
      <c r="P186" s="66">
        <f t="shared" si="145"/>
        <v>1.7869725535414797E-4</v>
      </c>
      <c r="Q186" s="66">
        <f t="shared" si="145"/>
        <v>1.7869725535414797E-4</v>
      </c>
      <c r="R186" s="66">
        <f t="shared" si="145"/>
        <v>1.7869725535414797E-4</v>
      </c>
      <c r="S186" s="66">
        <f t="shared" si="145"/>
        <v>1.7869725535414797E-4</v>
      </c>
      <c r="T186" s="66">
        <f t="shared" si="145"/>
        <v>1.7869725535414797E-4</v>
      </c>
      <c r="U186" s="66">
        <f t="shared" si="145"/>
        <v>1.7869725535414797E-4</v>
      </c>
      <c r="V186" s="66">
        <f t="shared" si="145"/>
        <v>1.7869725535414797E-4</v>
      </c>
      <c r="W186" s="66">
        <f t="shared" si="145"/>
        <v>1.7869725535414797E-4</v>
      </c>
      <c r="X186" s="66">
        <f t="shared" si="145"/>
        <v>1.7869725535414797E-4</v>
      </c>
      <c r="Y186" s="66">
        <f t="shared" si="145"/>
        <v>1.7869725535414797E-4</v>
      </c>
      <c r="Z186" s="66">
        <f t="shared" si="145"/>
        <v>1.7869725535414797E-4</v>
      </c>
      <c r="AA186" s="66">
        <f t="shared" si="145"/>
        <v>1.7869725535414797E-4</v>
      </c>
      <c r="AB186" s="66">
        <f t="shared" si="145"/>
        <v>1.7869725535414797E-4</v>
      </c>
      <c r="AC186" s="66">
        <f t="shared" si="145"/>
        <v>1.7869725535414797E-4</v>
      </c>
    </row>
    <row r="187" spans="1:29" x14ac:dyDescent="0.25">
      <c r="A187" s="30" t="str">
        <f t="shared" si="138"/>
        <v>Fuel Cost</v>
      </c>
      <c r="B187" s="66">
        <f>B145*B146*B153/B153/(B150)</f>
        <v>3.9670353002494918E-3</v>
      </c>
      <c r="C187" s="66">
        <f t="shared" ref="C187:AC187" si="146">C145*C146*C153/C153/(C150)</f>
        <v>3.6931916895373094E-3</v>
      </c>
      <c r="D187" s="66">
        <f t="shared" si="146"/>
        <v>3.4192839876304795E-3</v>
      </c>
      <c r="E187" s="66">
        <f t="shared" si="146"/>
        <v>3.1452964880607538E-3</v>
      </c>
      <c r="F187" s="66">
        <f t="shared" si="146"/>
        <v>2.8712120334092352E-3</v>
      </c>
      <c r="G187" s="66">
        <f t="shared" si="146"/>
        <v>2.597013787393953E-3</v>
      </c>
      <c r="H187" s="66">
        <f t="shared" si="146"/>
        <v>2.3226888329275232E-3</v>
      </c>
      <c r="I187" s="66">
        <f t="shared" si="146"/>
        <v>2.0482347822752007E-3</v>
      </c>
      <c r="J187" s="66">
        <f t="shared" si="146"/>
        <v>2.0051254426822185E-3</v>
      </c>
      <c r="K187" s="66">
        <f t="shared" si="146"/>
        <v>1.9614289975816621E-3</v>
      </c>
      <c r="L187" s="66">
        <f t="shared" si="146"/>
        <v>1.9169580533107628E-3</v>
      </c>
      <c r="M187" s="66">
        <f t="shared" si="146"/>
        <v>1.8714952165904367E-3</v>
      </c>
      <c r="N187" s="66">
        <f t="shared" si="146"/>
        <v>1.8248166299813073E-3</v>
      </c>
      <c r="O187" s="66">
        <f t="shared" si="146"/>
        <v>1.7767426535295226E-3</v>
      </c>
      <c r="P187" s="66">
        <f t="shared" si="146"/>
        <v>1.7272206981407826E-3</v>
      </c>
      <c r="Q187" s="66">
        <f t="shared" si="146"/>
        <v>1.6764259336943151E-3</v>
      </c>
      <c r="R187" s="66">
        <f t="shared" si="146"/>
        <v>1.6248324353366624E-3</v>
      </c>
      <c r="S187" s="66">
        <f t="shared" si="146"/>
        <v>1.5731852995283298E-3</v>
      </c>
      <c r="T187" s="66">
        <f t="shared" si="146"/>
        <v>1.5223381222503319E-3</v>
      </c>
      <c r="U187" s="66">
        <f t="shared" si="146"/>
        <v>1.4730147939860906E-3</v>
      </c>
      <c r="V187" s="66">
        <f t="shared" si="146"/>
        <v>1.4256257253619149E-3</v>
      </c>
      <c r="W187" s="66">
        <f t="shared" si="146"/>
        <v>1.3802297324488149E-3</v>
      </c>
      <c r="X187" s="66">
        <f t="shared" si="146"/>
        <v>1.3366239037314685E-3</v>
      </c>
      <c r="Y187" s="66">
        <f t="shared" si="146"/>
        <v>1.2944778643798752E-3</v>
      </c>
      <c r="Z187" s="66">
        <f t="shared" si="146"/>
        <v>1.2534430954847752E-3</v>
      </c>
      <c r="AA187" s="66">
        <f t="shared" si="146"/>
        <v>1.2132141059727651E-3</v>
      </c>
      <c r="AB187" s="66">
        <f t="shared" si="146"/>
        <v>1.1735497799097608E-3</v>
      </c>
      <c r="AC187" s="66">
        <f t="shared" si="146"/>
        <v>1.1342718515609E-3</v>
      </c>
    </row>
    <row r="188" spans="1:29" x14ac:dyDescent="0.25">
      <c r="A188" s="59" t="str">
        <f>A151</f>
        <v>Market failure (av. utilization)</v>
      </c>
      <c r="B188" s="66">
        <f t="shared" ref="B188:AC188" si="147">B177/B151-B177/B150</f>
        <v>5.1739750177028166E-3</v>
      </c>
      <c r="C188" s="66">
        <f t="shared" si="147"/>
        <v>4.9702210065784265E-3</v>
      </c>
      <c r="D188" s="66">
        <f t="shared" si="147"/>
        <v>4.7664350843852092E-3</v>
      </c>
      <c r="E188" s="66">
        <f t="shared" si="147"/>
        <v>4.562612325818274E-3</v>
      </c>
      <c r="F188" s="66">
        <f t="shared" si="147"/>
        <v>4.3587495699262636E-3</v>
      </c>
      <c r="G188" s="66">
        <f t="shared" si="147"/>
        <v>4.1548478744705356E-3</v>
      </c>
      <c r="H188" s="66">
        <f t="shared" si="147"/>
        <v>3.9509167146423597E-3</v>
      </c>
      <c r="I188" s="66">
        <f t="shared" si="147"/>
        <v>3.7469808623025848E-3</v>
      </c>
      <c r="J188" s="66">
        <f t="shared" si="147"/>
        <v>3.7153362670025915E-3</v>
      </c>
      <c r="K188" s="66">
        <f t="shared" si="147"/>
        <v>3.683431204670554E-3</v>
      </c>
      <c r="L188" s="66">
        <f t="shared" si="147"/>
        <v>3.6511891502031772E-3</v>
      </c>
      <c r="M188" s="66">
        <f t="shared" si="147"/>
        <v>3.6185252265627981E-3</v>
      </c>
      <c r="N188" s="66">
        <f t="shared" si="147"/>
        <v>3.5853585300345764E-3</v>
      </c>
      <c r="O188" s="66">
        <f t="shared" si="147"/>
        <v>3.5516359602063589E-3</v>
      </c>
      <c r="P188" s="66">
        <f t="shared" si="147"/>
        <v>3.5173683381678651E-3</v>
      </c>
      <c r="Q188" s="66">
        <f t="shared" si="147"/>
        <v>3.4826706203912716E-3</v>
      </c>
      <c r="R188" s="66">
        <f t="shared" si="147"/>
        <v>3.4477842914910906E-3</v>
      </c>
      <c r="S188" s="66">
        <f t="shared" si="147"/>
        <v>3.4130534739317915E-3</v>
      </c>
      <c r="T188" s="66">
        <f t="shared" si="147"/>
        <v>3.3788450814354271E-3</v>
      </c>
      <c r="U188" s="66">
        <f t="shared" si="147"/>
        <v>3.345445057208284E-3</v>
      </c>
      <c r="V188" s="66">
        <f t="shared" si="147"/>
        <v>3.3129881550084811E-3</v>
      </c>
      <c r="W188" s="66">
        <f t="shared" si="147"/>
        <v>3.2814549019067234E-3</v>
      </c>
      <c r="X188" s="66">
        <f t="shared" si="147"/>
        <v>3.2507207585743296E-3</v>
      </c>
      <c r="Y188" s="66">
        <f t="shared" si="147"/>
        <v>3.2206181807231992E-3</v>
      </c>
      <c r="Z188" s="66">
        <f t="shared" si="147"/>
        <v>3.1909829303672027E-3</v>
      </c>
      <c r="AA188" s="66">
        <f t="shared" si="147"/>
        <v>3.1616774231692044E-3</v>
      </c>
      <c r="AB188" s="66">
        <f t="shared" si="147"/>
        <v>3.1325967747501317E-3</v>
      </c>
      <c r="AC188" s="66">
        <f t="shared" si="147"/>
        <v>3.1036657422835378E-3</v>
      </c>
    </row>
    <row r="189" spans="1:29" x14ac:dyDescent="0.25">
      <c r="A189" s="59" t="str">
        <f>A152</f>
        <v>Payload loss (fuel)</v>
      </c>
      <c r="B189" s="66">
        <f>B177/(B150-B152)-B177/B150</f>
        <v>0</v>
      </c>
      <c r="C189" s="66">
        <f t="shared" ref="C189:AC189" si="148">C177/(C150-C152)-C177/C150</f>
        <v>0</v>
      </c>
      <c r="D189" s="66">
        <f t="shared" si="148"/>
        <v>0</v>
      </c>
      <c r="E189" s="66">
        <f t="shared" si="148"/>
        <v>0</v>
      </c>
      <c r="F189" s="66">
        <f t="shared" si="148"/>
        <v>0</v>
      </c>
      <c r="G189" s="66">
        <f t="shared" si="148"/>
        <v>0</v>
      </c>
      <c r="H189" s="66">
        <f t="shared" si="148"/>
        <v>0</v>
      </c>
      <c r="I189" s="66">
        <f t="shared" si="148"/>
        <v>0</v>
      </c>
      <c r="J189" s="66">
        <f t="shared" si="148"/>
        <v>0</v>
      </c>
      <c r="K189" s="66">
        <f t="shared" si="148"/>
        <v>0</v>
      </c>
      <c r="L189" s="66">
        <f t="shared" si="148"/>
        <v>0</v>
      </c>
      <c r="M189" s="66">
        <f t="shared" si="148"/>
        <v>0</v>
      </c>
      <c r="N189" s="66">
        <f t="shared" si="148"/>
        <v>0</v>
      </c>
      <c r="O189" s="66">
        <f t="shared" si="148"/>
        <v>0</v>
      </c>
      <c r="P189" s="66">
        <f t="shared" si="148"/>
        <v>0</v>
      </c>
      <c r="Q189" s="66">
        <f t="shared" si="148"/>
        <v>0</v>
      </c>
      <c r="R189" s="66">
        <f t="shared" si="148"/>
        <v>0</v>
      </c>
      <c r="S189" s="66">
        <f t="shared" si="148"/>
        <v>0</v>
      </c>
      <c r="T189" s="66">
        <f t="shared" si="148"/>
        <v>0</v>
      </c>
      <c r="U189" s="66">
        <f t="shared" si="148"/>
        <v>0</v>
      </c>
      <c r="V189" s="66">
        <f t="shared" si="148"/>
        <v>0</v>
      </c>
      <c r="W189" s="66">
        <f t="shared" si="148"/>
        <v>0</v>
      </c>
      <c r="X189" s="66">
        <f t="shared" si="148"/>
        <v>0</v>
      </c>
      <c r="Y189" s="66">
        <f t="shared" si="148"/>
        <v>0</v>
      </c>
      <c r="Z189" s="66">
        <f t="shared" si="148"/>
        <v>0</v>
      </c>
      <c r="AA189" s="66">
        <f t="shared" si="148"/>
        <v>0</v>
      </c>
      <c r="AB189" s="66">
        <f t="shared" si="148"/>
        <v>0</v>
      </c>
      <c r="AC189" s="66">
        <f t="shared" si="148"/>
        <v>0</v>
      </c>
    </row>
    <row r="190" spans="1:29" ht="15.75" thickBot="1" x14ac:dyDescent="0.3">
      <c r="A190" s="59" t="str">
        <f>A127</f>
        <v>Emission Cost</v>
      </c>
      <c r="B190" s="68">
        <f>B147*B153/B153/(B150)</f>
        <v>0</v>
      </c>
      <c r="C190" s="68">
        <f t="shared" ref="C190:AC190" si="149">C147*C153/C153/(C150)</f>
        <v>0</v>
      </c>
      <c r="D190" s="68">
        <f t="shared" si="149"/>
        <v>0</v>
      </c>
      <c r="E190" s="68">
        <f t="shared" si="149"/>
        <v>0</v>
      </c>
      <c r="F190" s="68">
        <f t="shared" si="149"/>
        <v>0</v>
      </c>
      <c r="G190" s="68">
        <f t="shared" si="149"/>
        <v>0</v>
      </c>
      <c r="H190" s="68">
        <f t="shared" si="149"/>
        <v>0</v>
      </c>
      <c r="I190" s="68">
        <f t="shared" si="149"/>
        <v>0</v>
      </c>
      <c r="J190" s="68">
        <f t="shared" si="149"/>
        <v>0</v>
      </c>
      <c r="K190" s="68">
        <f t="shared" si="149"/>
        <v>0</v>
      </c>
      <c r="L190" s="68">
        <f t="shared" si="149"/>
        <v>0</v>
      </c>
      <c r="M190" s="68">
        <f t="shared" si="149"/>
        <v>0</v>
      </c>
      <c r="N190" s="68">
        <f t="shared" si="149"/>
        <v>0</v>
      </c>
      <c r="O190" s="68">
        <f t="shared" si="149"/>
        <v>0</v>
      </c>
      <c r="P190" s="68">
        <f t="shared" si="149"/>
        <v>0</v>
      </c>
      <c r="Q190" s="68">
        <f t="shared" si="149"/>
        <v>0</v>
      </c>
      <c r="R190" s="68">
        <f t="shared" si="149"/>
        <v>0</v>
      </c>
      <c r="S190" s="68">
        <f t="shared" si="149"/>
        <v>0</v>
      </c>
      <c r="T190" s="68">
        <f t="shared" si="149"/>
        <v>0</v>
      </c>
      <c r="U190" s="68">
        <f t="shared" si="149"/>
        <v>0</v>
      </c>
      <c r="V190" s="68">
        <f t="shared" si="149"/>
        <v>0</v>
      </c>
      <c r="W190" s="68">
        <f t="shared" si="149"/>
        <v>0</v>
      </c>
      <c r="X190" s="68">
        <f t="shared" si="149"/>
        <v>0</v>
      </c>
      <c r="Y190" s="68">
        <f t="shared" si="149"/>
        <v>0</v>
      </c>
      <c r="Z190" s="68">
        <f t="shared" si="149"/>
        <v>0</v>
      </c>
      <c r="AA190" s="68">
        <f t="shared" si="149"/>
        <v>0</v>
      </c>
      <c r="AB190" s="68">
        <f t="shared" si="149"/>
        <v>0</v>
      </c>
      <c r="AC190" s="68">
        <f t="shared" si="149"/>
        <v>0</v>
      </c>
    </row>
    <row r="191" spans="1:29" ht="15.75" thickBot="1" x14ac:dyDescent="0.3">
      <c r="A191" s="31" t="s">
        <v>210</v>
      </c>
      <c r="B191" s="76">
        <f>B180+B181+B182+B183+B184+B185+B186+B187+B188+B189+B190</f>
        <v>1.2057520951081122E-2</v>
      </c>
      <c r="C191" s="67">
        <f t="shared" ref="C191:AC191" si="150">C180+C181+C182+C183+C184+C185+C186+C187+C188+C189+C190</f>
        <v>1.1579972487508333E-2</v>
      </c>
      <c r="D191" s="67">
        <f t="shared" si="150"/>
        <v>1.110234923236798E-2</v>
      </c>
      <c r="E191" s="67">
        <f t="shared" si="150"/>
        <v>1.0624639641976727E-2</v>
      </c>
      <c r="F191" s="67">
        <f t="shared" si="150"/>
        <v>1.0146836307854828E-2</v>
      </c>
      <c r="G191" s="67">
        <f t="shared" si="150"/>
        <v>9.6689417091304648E-3</v>
      </c>
      <c r="H191" s="67">
        <f t="shared" si="150"/>
        <v>9.1909780532831772E-3</v>
      </c>
      <c r="I191" s="67">
        <f t="shared" si="150"/>
        <v>8.7130033993618287E-3</v>
      </c>
      <c r="J191" s="67">
        <f t="shared" si="150"/>
        <v>8.6388363791274694E-3</v>
      </c>
      <c r="K191" s="67">
        <f t="shared" si="150"/>
        <v>8.5640588892867565E-3</v>
      </c>
      <c r="L191" s="67">
        <f t="shared" si="150"/>
        <v>8.4884915741288425E-3</v>
      </c>
      <c r="M191" s="67">
        <f t="shared" si="150"/>
        <v>8.4119355030967055E-3</v>
      </c>
      <c r="N191" s="67">
        <f t="shared" si="150"/>
        <v>8.3342010581086857E-3</v>
      </c>
      <c r="O191" s="67">
        <f t="shared" si="150"/>
        <v>8.2551637850738005E-3</v>
      </c>
      <c r="P191" s="67">
        <f t="shared" si="150"/>
        <v>8.1748490459210808E-3</v>
      </c>
      <c r="Q191" s="67">
        <f t="shared" si="150"/>
        <v>8.093526269882188E-3</v>
      </c>
      <c r="R191" s="67">
        <f t="shared" si="150"/>
        <v>8.0117614365223903E-3</v>
      </c>
      <c r="S191" s="67">
        <f t="shared" si="150"/>
        <v>7.9303610828677807E-3</v>
      </c>
      <c r="T191" s="67">
        <f t="shared" si="150"/>
        <v>7.8501851629544286E-3</v>
      </c>
      <c r="U191" s="67">
        <f t="shared" si="150"/>
        <v>7.7719038561720605E-3</v>
      </c>
      <c r="V191" s="67">
        <f t="shared" si="150"/>
        <v>7.6958329916412722E-3</v>
      </c>
      <c r="W191" s="67">
        <f t="shared" si="150"/>
        <v>7.6219269296840279E-3</v>
      </c>
      <c r="X191" s="67">
        <f t="shared" si="150"/>
        <v>7.5498937812487309E-3</v>
      </c>
      <c r="Y191" s="67">
        <f t="shared" si="150"/>
        <v>7.4793408644101434E-3</v>
      </c>
      <c r="Z191" s="67">
        <f t="shared" si="150"/>
        <v>7.4098832463882769E-3</v>
      </c>
      <c r="AA191" s="67">
        <f t="shared" si="150"/>
        <v>7.3411984638929693E-3</v>
      </c>
      <c r="AB191" s="67">
        <f t="shared" si="150"/>
        <v>7.2730406941607668E-3</v>
      </c>
      <c r="AC191" s="67">
        <f t="shared" si="150"/>
        <v>7.205233586817187E-3</v>
      </c>
    </row>
    <row r="193" spans="2:2" x14ac:dyDescent="0.25">
      <c r="B193" s="40"/>
    </row>
    <row r="215" spans="1:44" s="3" customFormat="1" ht="21" x14ac:dyDescent="0.35">
      <c r="A215" s="2" t="str">
        <f>'Parameter Input'!A235</f>
        <v>Short-sea: Break bulk</v>
      </c>
    </row>
    <row r="216" spans="1:44" s="3" customFormat="1" ht="21" x14ac:dyDescent="0.35">
      <c r="A216" s="2" t="s">
        <v>279</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Input'!$L$212</f>
        <v>15000000</v>
      </c>
      <c r="C225" s="42">
        <f>'Parameter Input'!$M$212</f>
        <v>15000000</v>
      </c>
      <c r="D225" s="1" t="s">
        <v>15</v>
      </c>
      <c r="L225" s="51">
        <f>'Parameter Input'!$O$212</f>
        <v>17</v>
      </c>
      <c r="M225" s="52">
        <v>0</v>
      </c>
      <c r="N225" s="52">
        <v>1</v>
      </c>
      <c r="O225" s="52">
        <f>'Parameter Input'!$P$212</f>
        <v>0.9</v>
      </c>
      <c r="P225" s="53">
        <f>'Parameter Input'!$Q$212</f>
        <v>0.4</v>
      </c>
      <c r="Q225" s="4">
        <f t="shared" ref="Q225:AR234" si="151">$N225+($M225-$N225)*((1/(1+EXP(-$P225*(Q$9-$L225)))^$O225))</f>
        <v>0.99780374543478534</v>
      </c>
      <c r="R225" s="4">
        <f t="shared" si="151"/>
        <v>0.99685359315256394</v>
      </c>
      <c r="S225" s="4">
        <f t="shared" si="151"/>
        <v>0.99549347132349975</v>
      </c>
      <c r="T225" s="4">
        <f t="shared" si="151"/>
        <v>0.99354772139898062</v>
      </c>
      <c r="U225" s="4">
        <f t="shared" si="151"/>
        <v>0.99076681540580536</v>
      </c>
      <c r="V225" s="4">
        <f t="shared" si="151"/>
        <v>0.9867978615748374</v>
      </c>
      <c r="W225" s="4">
        <f t="shared" si="151"/>
        <v>0.98114509762858249</v>
      </c>
      <c r="X225" s="4">
        <f t="shared" si="151"/>
        <v>0.97311898315872036</v>
      </c>
      <c r="Y225" s="4">
        <f t="shared" si="151"/>
        <v>0.96177484161592774</v>
      </c>
      <c r="Z225" s="4">
        <f t="shared" si="151"/>
        <v>0.94584787155511363</v>
      </c>
      <c r="AA225" s="4">
        <f t="shared" si="151"/>
        <v>0.92370360150141495</v>
      </c>
      <c r="AB225" s="4">
        <f t="shared" si="151"/>
        <v>0.89334463567658451</v>
      </c>
      <c r="AC225" s="4">
        <f t="shared" si="151"/>
        <v>0.85254543874327005</v>
      </c>
      <c r="AD225" s="4">
        <f t="shared" si="151"/>
        <v>0.79921300652623883</v>
      </c>
      <c r="AE225" s="4">
        <f t="shared" si="151"/>
        <v>0.73204982249993378</v>
      </c>
      <c r="AF225" s="4">
        <f t="shared" si="151"/>
        <v>0.65145592958786691</v>
      </c>
      <c r="AG225" s="4">
        <f t="shared" si="151"/>
        <v>0.56032247880849573</v>
      </c>
      <c r="AH225" s="4">
        <f t="shared" si="151"/>
        <v>0.46411326873185343</v>
      </c>
      <c r="AI225" s="4">
        <f t="shared" si="151"/>
        <v>0.36979727595523937</v>
      </c>
      <c r="AJ225" s="4">
        <f t="shared" si="151"/>
        <v>0.28393948637231203</v>
      </c>
      <c r="AK225" s="4">
        <f t="shared" si="151"/>
        <v>0.21097259161117732</v>
      </c>
      <c r="AL225" s="4">
        <f t="shared" si="151"/>
        <v>0.15253917653798199</v>
      </c>
      <c r="AM225" s="4">
        <f t="shared" si="151"/>
        <v>0.10795188737709993</v>
      </c>
      <c r="AN225" s="4">
        <f t="shared" si="151"/>
        <v>7.5176653938091809E-2</v>
      </c>
      <c r="AO225" s="4">
        <f t="shared" si="151"/>
        <v>5.1742836177502194E-2</v>
      </c>
      <c r="AP225" s="4">
        <f t="shared" si="151"/>
        <v>3.5319190625345942E-2</v>
      </c>
      <c r="AQ225" s="4">
        <f t="shared" si="151"/>
        <v>2.3969442072658165E-2</v>
      </c>
      <c r="AR225" s="4">
        <f t="shared" si="151"/>
        <v>1.6202243558389728E-2</v>
      </c>
    </row>
    <row r="226" spans="1:44" x14ac:dyDescent="0.25">
      <c r="A226" s="24" t="s">
        <v>28</v>
      </c>
      <c r="B226" s="60">
        <f>'Parameter Input'!$L$213</f>
        <v>-1500000</v>
      </c>
      <c r="C226" s="61">
        <f>'Parameter Input'!$M$213</f>
        <v>-750000</v>
      </c>
      <c r="D226" s="1" t="s">
        <v>15</v>
      </c>
      <c r="L226" s="54">
        <f>'Parameter Input'!$O$213</f>
        <v>17</v>
      </c>
      <c r="M226" s="37">
        <v>0</v>
      </c>
      <c r="N226" s="37">
        <v>1</v>
      </c>
      <c r="O226" s="37">
        <f>'Parameter Input'!$P$213</f>
        <v>0.9</v>
      </c>
      <c r="P226" s="55">
        <f>'Parameter Input'!$Q$213</f>
        <v>0.4</v>
      </c>
      <c r="Q226" s="4">
        <f t="shared" si="151"/>
        <v>0.99780374543478534</v>
      </c>
      <c r="R226" s="4">
        <f t="shared" si="151"/>
        <v>0.99685359315256394</v>
      </c>
      <c r="S226" s="4">
        <f t="shared" si="151"/>
        <v>0.99549347132349975</v>
      </c>
      <c r="T226" s="4">
        <f t="shared" si="151"/>
        <v>0.99354772139898062</v>
      </c>
      <c r="U226" s="4">
        <f t="shared" si="151"/>
        <v>0.99076681540580536</v>
      </c>
      <c r="V226" s="4">
        <f t="shared" si="151"/>
        <v>0.9867978615748374</v>
      </c>
      <c r="W226" s="4">
        <f t="shared" si="151"/>
        <v>0.98114509762858249</v>
      </c>
      <c r="X226" s="4">
        <f t="shared" si="151"/>
        <v>0.97311898315872036</v>
      </c>
      <c r="Y226" s="4">
        <f t="shared" si="151"/>
        <v>0.96177484161592774</v>
      </c>
      <c r="Z226" s="4">
        <f t="shared" si="151"/>
        <v>0.94584787155511363</v>
      </c>
      <c r="AA226" s="4">
        <f t="shared" si="151"/>
        <v>0.92370360150141495</v>
      </c>
      <c r="AB226" s="4">
        <f t="shared" si="151"/>
        <v>0.89334463567658451</v>
      </c>
      <c r="AC226" s="4">
        <f t="shared" si="151"/>
        <v>0.85254543874327005</v>
      </c>
      <c r="AD226" s="4">
        <f t="shared" si="151"/>
        <v>0.79921300652623883</v>
      </c>
      <c r="AE226" s="4">
        <f t="shared" si="151"/>
        <v>0.73204982249993378</v>
      </c>
      <c r="AF226" s="4">
        <f t="shared" si="151"/>
        <v>0.65145592958786691</v>
      </c>
      <c r="AG226" s="4">
        <f t="shared" si="151"/>
        <v>0.56032247880849573</v>
      </c>
      <c r="AH226" s="4">
        <f t="shared" si="151"/>
        <v>0.46411326873185343</v>
      </c>
      <c r="AI226" s="4">
        <f t="shared" si="151"/>
        <v>0.36979727595523937</v>
      </c>
      <c r="AJ226" s="4">
        <f t="shared" si="151"/>
        <v>0.28393948637231203</v>
      </c>
      <c r="AK226" s="4">
        <f t="shared" si="151"/>
        <v>0.21097259161117732</v>
      </c>
      <c r="AL226" s="4">
        <f t="shared" si="151"/>
        <v>0.15253917653798199</v>
      </c>
      <c r="AM226" s="4">
        <f t="shared" si="151"/>
        <v>0.10795188737709993</v>
      </c>
      <c r="AN226" s="4">
        <f t="shared" si="151"/>
        <v>7.5176653938091809E-2</v>
      </c>
      <c r="AO226" s="4">
        <f t="shared" si="151"/>
        <v>5.1742836177502194E-2</v>
      </c>
      <c r="AP226" s="4">
        <f t="shared" si="151"/>
        <v>3.5319190625345942E-2</v>
      </c>
      <c r="AQ226" s="4">
        <f t="shared" si="151"/>
        <v>2.3969442072658165E-2</v>
      </c>
      <c r="AR226" s="4">
        <f t="shared" si="151"/>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1"/>
        <v>0.99780374543478534</v>
      </c>
      <c r="R227" s="4">
        <f t="shared" si="151"/>
        <v>0.99685359315256394</v>
      </c>
      <c r="S227" s="4">
        <f t="shared" si="151"/>
        <v>0.99549347132349975</v>
      </c>
      <c r="T227" s="4">
        <f t="shared" si="151"/>
        <v>0.99354772139898062</v>
      </c>
      <c r="U227" s="4">
        <f t="shared" si="151"/>
        <v>0.99076681540580536</v>
      </c>
      <c r="V227" s="4">
        <f t="shared" si="151"/>
        <v>0.9867978615748374</v>
      </c>
      <c r="W227" s="4">
        <f t="shared" si="151"/>
        <v>0.98114509762858249</v>
      </c>
      <c r="X227" s="4">
        <f t="shared" si="151"/>
        <v>0.97311898315872036</v>
      </c>
      <c r="Y227" s="4">
        <f t="shared" si="151"/>
        <v>0.96177484161592774</v>
      </c>
      <c r="Z227" s="4">
        <f t="shared" si="151"/>
        <v>0.94584787155511363</v>
      </c>
      <c r="AA227" s="4">
        <f t="shared" si="151"/>
        <v>0.92370360150141495</v>
      </c>
      <c r="AB227" s="4">
        <f t="shared" si="151"/>
        <v>0.89334463567658451</v>
      </c>
      <c r="AC227" s="4">
        <f t="shared" si="151"/>
        <v>0.85254543874327005</v>
      </c>
      <c r="AD227" s="4">
        <f t="shared" si="151"/>
        <v>0.79921300652623883</v>
      </c>
      <c r="AE227" s="4">
        <f t="shared" si="151"/>
        <v>0.73204982249993378</v>
      </c>
      <c r="AF227" s="4">
        <f t="shared" si="151"/>
        <v>0.65145592958786691</v>
      </c>
      <c r="AG227" s="4">
        <f t="shared" si="151"/>
        <v>0.56032247880849573</v>
      </c>
      <c r="AH227" s="4">
        <f t="shared" si="151"/>
        <v>0.46411326873185343</v>
      </c>
      <c r="AI227" s="4">
        <f t="shared" si="151"/>
        <v>0.36979727595523937</v>
      </c>
      <c r="AJ227" s="4">
        <f t="shared" si="151"/>
        <v>0.28393948637231203</v>
      </c>
      <c r="AK227" s="4">
        <f t="shared" si="151"/>
        <v>0.21097259161117732</v>
      </c>
      <c r="AL227" s="4">
        <f t="shared" si="151"/>
        <v>0.15253917653798199</v>
      </c>
      <c r="AM227" s="4">
        <f t="shared" si="151"/>
        <v>0.10795188737709993</v>
      </c>
      <c r="AN227" s="4">
        <f t="shared" si="151"/>
        <v>7.5176653938091809E-2</v>
      </c>
      <c r="AO227" s="4">
        <f t="shared" si="151"/>
        <v>5.1742836177502194E-2</v>
      </c>
      <c r="AP227" s="4">
        <f t="shared" si="151"/>
        <v>3.5319190625345942E-2</v>
      </c>
      <c r="AQ227" s="4">
        <f t="shared" si="151"/>
        <v>2.3969442072658165E-2</v>
      </c>
      <c r="AR227" s="4">
        <f t="shared" si="151"/>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1"/>
        <v>0.99780374543478534</v>
      </c>
      <c r="R228" s="4">
        <f t="shared" si="151"/>
        <v>0.99685359315256394</v>
      </c>
      <c r="S228" s="4">
        <f t="shared" si="151"/>
        <v>0.99549347132349975</v>
      </c>
      <c r="T228" s="4">
        <f t="shared" si="151"/>
        <v>0.99354772139898062</v>
      </c>
      <c r="U228" s="4">
        <f t="shared" si="151"/>
        <v>0.99076681540580536</v>
      </c>
      <c r="V228" s="4">
        <f t="shared" si="151"/>
        <v>0.9867978615748374</v>
      </c>
      <c r="W228" s="4">
        <f t="shared" si="151"/>
        <v>0.98114509762858249</v>
      </c>
      <c r="X228" s="4">
        <f t="shared" si="151"/>
        <v>0.97311898315872036</v>
      </c>
      <c r="Y228" s="4">
        <f t="shared" si="151"/>
        <v>0.96177484161592774</v>
      </c>
      <c r="Z228" s="4">
        <f t="shared" si="151"/>
        <v>0.94584787155511363</v>
      </c>
      <c r="AA228" s="4">
        <f t="shared" si="151"/>
        <v>0.92370360150141495</v>
      </c>
      <c r="AB228" s="4">
        <f t="shared" si="151"/>
        <v>0.89334463567658451</v>
      </c>
      <c r="AC228" s="4">
        <f t="shared" si="151"/>
        <v>0.85254543874327005</v>
      </c>
      <c r="AD228" s="4">
        <f t="shared" si="151"/>
        <v>0.79921300652623883</v>
      </c>
      <c r="AE228" s="4">
        <f t="shared" si="151"/>
        <v>0.73204982249993378</v>
      </c>
      <c r="AF228" s="4">
        <f t="shared" si="151"/>
        <v>0.65145592958786691</v>
      </c>
      <c r="AG228" s="4">
        <f t="shared" si="151"/>
        <v>0.56032247880849573</v>
      </c>
      <c r="AH228" s="4">
        <f t="shared" si="151"/>
        <v>0.46411326873185343</v>
      </c>
      <c r="AI228" s="4">
        <f t="shared" si="151"/>
        <v>0.36979727595523937</v>
      </c>
      <c r="AJ228" s="4">
        <f t="shared" si="151"/>
        <v>0.28393948637231203</v>
      </c>
      <c r="AK228" s="4">
        <f t="shared" si="151"/>
        <v>0.21097259161117732</v>
      </c>
      <c r="AL228" s="4">
        <f t="shared" si="151"/>
        <v>0.15253917653798199</v>
      </c>
      <c r="AM228" s="4">
        <f t="shared" si="151"/>
        <v>0.10795188737709993</v>
      </c>
      <c r="AN228" s="4">
        <f t="shared" si="151"/>
        <v>7.5176653938091809E-2</v>
      </c>
      <c r="AO228" s="4">
        <f t="shared" si="151"/>
        <v>5.1742836177502194E-2</v>
      </c>
      <c r="AP228" s="4">
        <f t="shared" si="151"/>
        <v>3.5319190625345942E-2</v>
      </c>
      <c r="AQ228" s="4">
        <f t="shared" si="151"/>
        <v>2.3969442072658165E-2</v>
      </c>
      <c r="AR228" s="4">
        <f t="shared" si="151"/>
        <v>1.6202243558389728E-2</v>
      </c>
    </row>
    <row r="229" spans="1:44" x14ac:dyDescent="0.25">
      <c r="A229" s="24" t="s">
        <v>79</v>
      </c>
      <c r="B229" s="92">
        <f>'Parameter Input'!$L$219</f>
        <v>0.06</v>
      </c>
      <c r="C229" s="91">
        <f>'Parameter Input'!$M$219</f>
        <v>0.06</v>
      </c>
      <c r="D229" s="1" t="s">
        <v>57</v>
      </c>
      <c r="L229" s="54">
        <f>'Parameter Input'!$O$219</f>
        <v>17</v>
      </c>
      <c r="M229" s="37">
        <v>0</v>
      </c>
      <c r="N229" s="37">
        <v>1</v>
      </c>
      <c r="O229" s="37">
        <f>'Parameter Input'!$P$219</f>
        <v>0.9</v>
      </c>
      <c r="P229" s="55">
        <f>'Parameter Input'!$Q$219</f>
        <v>0.4</v>
      </c>
      <c r="Q229" s="4">
        <f t="shared" si="151"/>
        <v>0.99780374543478534</v>
      </c>
      <c r="R229" s="4">
        <f t="shared" si="151"/>
        <v>0.99685359315256394</v>
      </c>
      <c r="S229" s="4">
        <f t="shared" si="151"/>
        <v>0.99549347132349975</v>
      </c>
      <c r="T229" s="4">
        <f t="shared" si="151"/>
        <v>0.99354772139898062</v>
      </c>
      <c r="U229" s="4">
        <f t="shared" si="151"/>
        <v>0.99076681540580536</v>
      </c>
      <c r="V229" s="4">
        <f t="shared" si="151"/>
        <v>0.9867978615748374</v>
      </c>
      <c r="W229" s="4">
        <f t="shared" si="151"/>
        <v>0.98114509762858249</v>
      </c>
      <c r="X229" s="4">
        <f t="shared" si="151"/>
        <v>0.97311898315872036</v>
      </c>
      <c r="Y229" s="4">
        <f t="shared" si="151"/>
        <v>0.96177484161592774</v>
      </c>
      <c r="Z229" s="4">
        <f t="shared" si="151"/>
        <v>0.94584787155511363</v>
      </c>
      <c r="AA229" s="4">
        <f t="shared" si="151"/>
        <v>0.92370360150141495</v>
      </c>
      <c r="AB229" s="4">
        <f t="shared" si="151"/>
        <v>0.89334463567658451</v>
      </c>
      <c r="AC229" s="4">
        <f t="shared" si="151"/>
        <v>0.85254543874327005</v>
      </c>
      <c r="AD229" s="4">
        <f t="shared" si="151"/>
        <v>0.79921300652623883</v>
      </c>
      <c r="AE229" s="4">
        <f t="shared" si="151"/>
        <v>0.73204982249993378</v>
      </c>
      <c r="AF229" s="4">
        <f t="shared" si="151"/>
        <v>0.65145592958786691</v>
      </c>
      <c r="AG229" s="4">
        <f t="shared" si="151"/>
        <v>0.56032247880849573</v>
      </c>
      <c r="AH229" s="4">
        <f t="shared" si="151"/>
        <v>0.46411326873185343</v>
      </c>
      <c r="AI229" s="4">
        <f t="shared" si="151"/>
        <v>0.36979727595523937</v>
      </c>
      <c r="AJ229" s="4">
        <f t="shared" si="151"/>
        <v>0.28393948637231203</v>
      </c>
      <c r="AK229" s="4">
        <f t="shared" si="151"/>
        <v>0.21097259161117732</v>
      </c>
      <c r="AL229" s="4">
        <f t="shared" si="151"/>
        <v>0.15253917653798199</v>
      </c>
      <c r="AM229" s="4">
        <f t="shared" si="151"/>
        <v>0.10795188737709993</v>
      </c>
      <c r="AN229" s="4">
        <f t="shared" si="151"/>
        <v>7.5176653938091809E-2</v>
      </c>
      <c r="AO229" s="4">
        <f t="shared" si="151"/>
        <v>5.1742836177502194E-2</v>
      </c>
      <c r="AP229" s="4">
        <f t="shared" si="151"/>
        <v>3.5319190625345942E-2</v>
      </c>
      <c r="AQ229" s="4">
        <f t="shared" si="151"/>
        <v>2.3969442072658165E-2</v>
      </c>
      <c r="AR229" s="4">
        <f t="shared" si="151"/>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1"/>
        <v>0.99780374543478534</v>
      </c>
      <c r="R230" s="4">
        <f t="shared" si="151"/>
        <v>0.99685359315256394</v>
      </c>
      <c r="S230" s="4">
        <f t="shared" si="151"/>
        <v>0.99549347132349975</v>
      </c>
      <c r="T230" s="4">
        <f t="shared" si="151"/>
        <v>0.99354772139898062</v>
      </c>
      <c r="U230" s="4">
        <f t="shared" si="151"/>
        <v>0.99076681540580536</v>
      </c>
      <c r="V230" s="4">
        <f t="shared" si="151"/>
        <v>0.9867978615748374</v>
      </c>
      <c r="W230" s="4">
        <f t="shared" si="151"/>
        <v>0.98114509762858249</v>
      </c>
      <c r="X230" s="4">
        <f t="shared" si="151"/>
        <v>0.97311898315872036</v>
      </c>
      <c r="Y230" s="4">
        <f t="shared" si="151"/>
        <v>0.96177484161592774</v>
      </c>
      <c r="Z230" s="4">
        <f t="shared" si="151"/>
        <v>0.94584787155511363</v>
      </c>
      <c r="AA230" s="4">
        <f t="shared" si="151"/>
        <v>0.92370360150141495</v>
      </c>
      <c r="AB230" s="4">
        <f t="shared" si="151"/>
        <v>0.89334463567658451</v>
      </c>
      <c r="AC230" s="4">
        <f t="shared" si="151"/>
        <v>0.85254543874327005</v>
      </c>
      <c r="AD230" s="4">
        <f t="shared" si="151"/>
        <v>0.79921300652623883</v>
      </c>
      <c r="AE230" s="4">
        <f t="shared" si="151"/>
        <v>0.73204982249993378</v>
      </c>
      <c r="AF230" s="4">
        <f t="shared" si="151"/>
        <v>0.65145592958786691</v>
      </c>
      <c r="AG230" s="4">
        <f t="shared" si="151"/>
        <v>0.56032247880849573</v>
      </c>
      <c r="AH230" s="4">
        <f t="shared" si="151"/>
        <v>0.46411326873185343</v>
      </c>
      <c r="AI230" s="4">
        <f t="shared" si="151"/>
        <v>0.36979727595523937</v>
      </c>
      <c r="AJ230" s="4">
        <f t="shared" si="151"/>
        <v>0.28393948637231203</v>
      </c>
      <c r="AK230" s="4">
        <f t="shared" si="151"/>
        <v>0.21097259161117732</v>
      </c>
      <c r="AL230" s="4">
        <f t="shared" si="151"/>
        <v>0.15253917653798199</v>
      </c>
      <c r="AM230" s="4">
        <f t="shared" si="151"/>
        <v>0.10795188737709993</v>
      </c>
      <c r="AN230" s="4">
        <f t="shared" si="151"/>
        <v>7.5176653938091809E-2</v>
      </c>
      <c r="AO230" s="4">
        <f t="shared" si="151"/>
        <v>5.1742836177502194E-2</v>
      </c>
      <c r="AP230" s="4">
        <f t="shared" si="151"/>
        <v>3.5319190625345942E-2</v>
      </c>
      <c r="AQ230" s="4">
        <f t="shared" si="151"/>
        <v>2.3969442072658165E-2</v>
      </c>
      <c r="AR230" s="4">
        <f t="shared" si="151"/>
        <v>1.6202243558389728E-2</v>
      </c>
    </row>
    <row r="231" spans="1:44" x14ac:dyDescent="0.25">
      <c r="A231" s="24" t="s">
        <v>52</v>
      </c>
      <c r="B231" s="60">
        <f>'Parameter Input'!$L$215</f>
        <v>488235.29411764705</v>
      </c>
      <c r="C231" s="61">
        <f>'Parameter Input'!$M$215</f>
        <v>488235.29411764705</v>
      </c>
      <c r="D231" s="1" t="s">
        <v>38</v>
      </c>
      <c r="L231" s="54">
        <f>'Parameter Input'!$O$215</f>
        <v>17</v>
      </c>
      <c r="M231" s="37">
        <v>0</v>
      </c>
      <c r="N231" s="37">
        <v>1</v>
      </c>
      <c r="O231" s="37">
        <f>'Parameter Input'!$P$215</f>
        <v>0.9</v>
      </c>
      <c r="P231" s="55">
        <f>'Parameter Input'!$Q$215</f>
        <v>0.4</v>
      </c>
      <c r="Q231" s="4">
        <f t="shared" si="151"/>
        <v>0.99780374543478534</v>
      </c>
      <c r="R231" s="4">
        <f t="shared" si="151"/>
        <v>0.99685359315256394</v>
      </c>
      <c r="S231" s="4">
        <f t="shared" si="151"/>
        <v>0.99549347132349975</v>
      </c>
      <c r="T231" s="4">
        <f t="shared" si="151"/>
        <v>0.99354772139898062</v>
      </c>
      <c r="U231" s="4">
        <f t="shared" si="151"/>
        <v>0.99076681540580536</v>
      </c>
      <c r="V231" s="4">
        <f t="shared" si="151"/>
        <v>0.9867978615748374</v>
      </c>
      <c r="W231" s="4">
        <f t="shared" si="151"/>
        <v>0.98114509762858249</v>
      </c>
      <c r="X231" s="4">
        <f t="shared" si="151"/>
        <v>0.97311898315872036</v>
      </c>
      <c r="Y231" s="4">
        <f t="shared" si="151"/>
        <v>0.96177484161592774</v>
      </c>
      <c r="Z231" s="4">
        <f t="shared" si="151"/>
        <v>0.94584787155511363</v>
      </c>
      <c r="AA231" s="4">
        <f t="shared" si="151"/>
        <v>0.92370360150141495</v>
      </c>
      <c r="AB231" s="4">
        <f t="shared" si="151"/>
        <v>0.89334463567658451</v>
      </c>
      <c r="AC231" s="4">
        <f t="shared" si="151"/>
        <v>0.85254543874327005</v>
      </c>
      <c r="AD231" s="4">
        <f t="shared" si="151"/>
        <v>0.79921300652623883</v>
      </c>
      <c r="AE231" s="4">
        <f t="shared" si="151"/>
        <v>0.73204982249993378</v>
      </c>
      <c r="AF231" s="4">
        <f t="shared" si="151"/>
        <v>0.65145592958786691</v>
      </c>
      <c r="AG231" s="4">
        <f t="shared" si="151"/>
        <v>0.56032247880849573</v>
      </c>
      <c r="AH231" s="4">
        <f t="shared" si="151"/>
        <v>0.46411326873185343</v>
      </c>
      <c r="AI231" s="4">
        <f t="shared" si="151"/>
        <v>0.36979727595523937</v>
      </c>
      <c r="AJ231" s="4">
        <f t="shared" si="151"/>
        <v>0.28393948637231203</v>
      </c>
      <c r="AK231" s="4">
        <f t="shared" si="151"/>
        <v>0.21097259161117732</v>
      </c>
      <c r="AL231" s="4">
        <f t="shared" si="151"/>
        <v>0.15253917653798199</v>
      </c>
      <c r="AM231" s="4">
        <f t="shared" si="151"/>
        <v>0.10795188737709993</v>
      </c>
      <c r="AN231" s="4">
        <f t="shared" si="151"/>
        <v>7.5176653938091809E-2</v>
      </c>
      <c r="AO231" s="4">
        <f t="shared" si="151"/>
        <v>5.1742836177502194E-2</v>
      </c>
      <c r="AP231" s="4">
        <f t="shared" si="151"/>
        <v>3.5319190625345942E-2</v>
      </c>
      <c r="AQ231" s="4">
        <f t="shared" si="151"/>
        <v>2.3969442072658165E-2</v>
      </c>
      <c r="AR231" s="4">
        <f t="shared" si="151"/>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1"/>
        <v>0.99780374543478534</v>
      </c>
      <c r="R232" s="4">
        <f t="shared" si="151"/>
        <v>0.99685359315256394</v>
      </c>
      <c r="S232" s="4">
        <f t="shared" si="151"/>
        <v>0.99549347132349975</v>
      </c>
      <c r="T232" s="4">
        <f t="shared" si="151"/>
        <v>0.99354772139898062</v>
      </c>
      <c r="U232" s="4">
        <f t="shared" si="151"/>
        <v>0.99076681540580536</v>
      </c>
      <c r="V232" s="4">
        <f t="shared" si="151"/>
        <v>0.9867978615748374</v>
      </c>
      <c r="W232" s="4">
        <f t="shared" si="151"/>
        <v>0.98114509762858249</v>
      </c>
      <c r="X232" s="4">
        <f t="shared" si="151"/>
        <v>0.97311898315872036</v>
      </c>
      <c r="Y232" s="4">
        <f t="shared" si="151"/>
        <v>0.96177484161592774</v>
      </c>
      <c r="Z232" s="4">
        <f t="shared" si="151"/>
        <v>0.94584787155511363</v>
      </c>
      <c r="AA232" s="4">
        <f t="shared" si="151"/>
        <v>0.92370360150141495</v>
      </c>
      <c r="AB232" s="4">
        <f t="shared" si="151"/>
        <v>0.89334463567658451</v>
      </c>
      <c r="AC232" s="4">
        <f t="shared" si="151"/>
        <v>0.85254543874327005</v>
      </c>
      <c r="AD232" s="4">
        <f t="shared" si="151"/>
        <v>0.79921300652623883</v>
      </c>
      <c r="AE232" s="4">
        <f t="shared" si="151"/>
        <v>0.73204982249993378</v>
      </c>
      <c r="AF232" s="4">
        <f t="shared" si="151"/>
        <v>0.65145592958786691</v>
      </c>
      <c r="AG232" s="4">
        <f t="shared" si="151"/>
        <v>0.56032247880849573</v>
      </c>
      <c r="AH232" s="4">
        <f t="shared" si="151"/>
        <v>0.46411326873185343</v>
      </c>
      <c r="AI232" s="4">
        <f t="shared" si="151"/>
        <v>0.36979727595523937</v>
      </c>
      <c r="AJ232" s="4">
        <f t="shared" si="151"/>
        <v>0.28393948637231203</v>
      </c>
      <c r="AK232" s="4">
        <f t="shared" si="151"/>
        <v>0.21097259161117732</v>
      </c>
      <c r="AL232" s="4">
        <f t="shared" si="151"/>
        <v>0.15253917653798199</v>
      </c>
      <c r="AM232" s="4">
        <f t="shared" si="151"/>
        <v>0.10795188737709993</v>
      </c>
      <c r="AN232" s="4">
        <f t="shared" si="151"/>
        <v>7.5176653938091809E-2</v>
      </c>
      <c r="AO232" s="4">
        <f t="shared" si="151"/>
        <v>5.1742836177502194E-2</v>
      </c>
      <c r="AP232" s="4">
        <f t="shared" si="151"/>
        <v>3.5319190625345942E-2</v>
      </c>
      <c r="AQ232" s="4">
        <f t="shared" si="151"/>
        <v>2.3969442072658165E-2</v>
      </c>
      <c r="AR232" s="4">
        <f t="shared" si="151"/>
        <v>1.6202243558389728E-2</v>
      </c>
    </row>
    <row r="233" spans="1:44" x14ac:dyDescent="0.25">
      <c r="A233" s="24" t="s">
        <v>59</v>
      </c>
      <c r="B233" s="60">
        <f>'Parameter Input'!$L$216</f>
        <v>647</v>
      </c>
      <c r="C233" s="61">
        <f>'Parameter Input'!$M$216</f>
        <v>600</v>
      </c>
      <c r="D233" s="1" t="s">
        <v>60</v>
      </c>
      <c r="L233" s="54">
        <f>'Parameter Input'!$O$216</f>
        <v>17</v>
      </c>
      <c r="M233" s="37">
        <v>0</v>
      </c>
      <c r="N233" s="37">
        <v>1</v>
      </c>
      <c r="O233" s="37">
        <f>'Parameter Input'!$P$216</f>
        <v>0.9</v>
      </c>
      <c r="P233" s="55">
        <f>'Parameter Input'!$Q$216</f>
        <v>0.4</v>
      </c>
      <c r="Q233" s="4">
        <f t="shared" si="151"/>
        <v>0.99780374543478534</v>
      </c>
      <c r="R233" s="4">
        <f t="shared" si="151"/>
        <v>0.99685359315256394</v>
      </c>
      <c r="S233" s="4">
        <f t="shared" si="151"/>
        <v>0.99549347132349975</v>
      </c>
      <c r="T233" s="4">
        <f t="shared" si="151"/>
        <v>0.99354772139898062</v>
      </c>
      <c r="U233" s="4">
        <f t="shared" si="151"/>
        <v>0.99076681540580536</v>
      </c>
      <c r="V233" s="4">
        <f t="shared" si="151"/>
        <v>0.9867978615748374</v>
      </c>
      <c r="W233" s="4">
        <f t="shared" si="151"/>
        <v>0.98114509762858249</v>
      </c>
      <c r="X233" s="4">
        <f t="shared" si="151"/>
        <v>0.97311898315872036</v>
      </c>
      <c r="Y233" s="4">
        <f t="shared" si="151"/>
        <v>0.96177484161592774</v>
      </c>
      <c r="Z233" s="4">
        <f t="shared" si="151"/>
        <v>0.94584787155511363</v>
      </c>
      <c r="AA233" s="4">
        <f t="shared" si="151"/>
        <v>0.92370360150141495</v>
      </c>
      <c r="AB233" s="4">
        <f t="shared" si="151"/>
        <v>0.89334463567658451</v>
      </c>
      <c r="AC233" s="4">
        <f t="shared" si="151"/>
        <v>0.85254543874327005</v>
      </c>
      <c r="AD233" s="4">
        <f t="shared" si="151"/>
        <v>0.79921300652623883</v>
      </c>
      <c r="AE233" s="4">
        <f t="shared" si="151"/>
        <v>0.73204982249993378</v>
      </c>
      <c r="AF233" s="4">
        <f t="shared" si="151"/>
        <v>0.65145592958786691</v>
      </c>
      <c r="AG233" s="4">
        <f t="shared" si="151"/>
        <v>0.56032247880849573</v>
      </c>
      <c r="AH233" s="4">
        <f t="shared" si="151"/>
        <v>0.46411326873185343</v>
      </c>
      <c r="AI233" s="4">
        <f t="shared" si="151"/>
        <v>0.36979727595523937</v>
      </c>
      <c r="AJ233" s="4">
        <f t="shared" si="151"/>
        <v>0.28393948637231203</v>
      </c>
      <c r="AK233" s="4">
        <f t="shared" si="151"/>
        <v>0.21097259161117732</v>
      </c>
      <c r="AL233" s="4">
        <f t="shared" si="151"/>
        <v>0.15253917653798199</v>
      </c>
      <c r="AM233" s="4">
        <f t="shared" si="151"/>
        <v>0.10795188737709993</v>
      </c>
      <c r="AN233" s="4">
        <f t="shared" si="151"/>
        <v>7.5176653938091809E-2</v>
      </c>
      <c r="AO233" s="4">
        <f t="shared" si="151"/>
        <v>5.1742836177502194E-2</v>
      </c>
      <c r="AP233" s="4">
        <f t="shared" si="151"/>
        <v>3.5319190625345942E-2</v>
      </c>
      <c r="AQ233" s="4">
        <f t="shared" si="151"/>
        <v>2.3969442072658165E-2</v>
      </c>
      <c r="AR233" s="4">
        <f t="shared" si="151"/>
        <v>1.6202243558389728E-2</v>
      </c>
    </row>
    <row r="234" spans="1:44" x14ac:dyDescent="0.25">
      <c r="A234" s="24" t="s">
        <v>67</v>
      </c>
      <c r="B234" s="78">
        <f>'Parameter Input'!$L$217</f>
        <v>0.06</v>
      </c>
      <c r="C234" s="61">
        <f>'Parameter Input'!$M$217</f>
        <v>0.06</v>
      </c>
      <c r="D234" s="1" t="s">
        <v>68</v>
      </c>
      <c r="L234" s="54">
        <f>'Parameter Input'!$O$217</f>
        <v>17</v>
      </c>
      <c r="M234" s="37">
        <v>0</v>
      </c>
      <c r="N234" s="37">
        <v>1</v>
      </c>
      <c r="O234" s="37">
        <f>'Parameter Input'!$P$217</f>
        <v>0.9</v>
      </c>
      <c r="P234" s="55">
        <f>'Parameter Input'!$Q$217</f>
        <v>0.4</v>
      </c>
      <c r="Q234" s="4">
        <f t="shared" si="151"/>
        <v>0.99780374543478534</v>
      </c>
      <c r="R234" s="4">
        <f t="shared" si="151"/>
        <v>0.99685359315256394</v>
      </c>
      <c r="S234" s="4">
        <f t="shared" si="151"/>
        <v>0.99549347132349975</v>
      </c>
      <c r="T234" s="4">
        <f t="shared" ref="T234:AI241" si="152">$N234+($M234-$N234)*((1/(1+EXP(-$P234*(T$9-$L234)))^$O234))</f>
        <v>0.99354772139898062</v>
      </c>
      <c r="U234" s="4">
        <f t="shared" si="152"/>
        <v>0.99076681540580536</v>
      </c>
      <c r="V234" s="4">
        <f t="shared" si="152"/>
        <v>0.9867978615748374</v>
      </c>
      <c r="W234" s="4">
        <f t="shared" si="152"/>
        <v>0.98114509762858249</v>
      </c>
      <c r="X234" s="4">
        <f t="shared" si="152"/>
        <v>0.97311898315872036</v>
      </c>
      <c r="Y234" s="4">
        <f t="shared" si="152"/>
        <v>0.96177484161592774</v>
      </c>
      <c r="Z234" s="4">
        <f t="shared" si="152"/>
        <v>0.94584787155511363</v>
      </c>
      <c r="AA234" s="4">
        <f t="shared" si="152"/>
        <v>0.92370360150141495</v>
      </c>
      <c r="AB234" s="4">
        <f t="shared" si="152"/>
        <v>0.89334463567658451</v>
      </c>
      <c r="AC234" s="4">
        <f t="shared" si="152"/>
        <v>0.85254543874327005</v>
      </c>
      <c r="AD234" s="4">
        <f t="shared" si="152"/>
        <v>0.79921300652623883</v>
      </c>
      <c r="AE234" s="4">
        <f t="shared" si="152"/>
        <v>0.73204982249993378</v>
      </c>
      <c r="AF234" s="4">
        <f t="shared" si="152"/>
        <v>0.65145592958786691</v>
      </c>
      <c r="AG234" s="4">
        <f t="shared" si="152"/>
        <v>0.56032247880849573</v>
      </c>
      <c r="AH234" s="4">
        <f t="shared" si="152"/>
        <v>0.46411326873185343</v>
      </c>
      <c r="AI234" s="4">
        <f t="shared" si="152"/>
        <v>0.36979727595523937</v>
      </c>
      <c r="AJ234" s="4">
        <f t="shared" ref="AJ234:AR241" si="153">$N234+($M234-$N234)*((1/(1+EXP(-$P234*(AJ$9-$L234)))^$O234))</f>
        <v>0.28393948637231203</v>
      </c>
      <c r="AK234" s="4">
        <f t="shared" si="153"/>
        <v>0.21097259161117732</v>
      </c>
      <c r="AL234" s="4">
        <f t="shared" si="153"/>
        <v>0.15253917653798199</v>
      </c>
      <c r="AM234" s="4">
        <f t="shared" si="153"/>
        <v>0.10795188737709993</v>
      </c>
      <c r="AN234" s="4">
        <f t="shared" si="153"/>
        <v>7.5176653938091809E-2</v>
      </c>
      <c r="AO234" s="4">
        <f t="shared" si="153"/>
        <v>5.1742836177502194E-2</v>
      </c>
      <c r="AP234" s="4">
        <f t="shared" si="153"/>
        <v>3.5319190625345942E-2</v>
      </c>
      <c r="AQ234" s="4">
        <f t="shared" si="153"/>
        <v>2.3969442072658165E-2</v>
      </c>
      <c r="AR234" s="4">
        <f t="shared" si="153"/>
        <v>1.6202243558389728E-2</v>
      </c>
    </row>
    <row r="235" spans="1:44" x14ac:dyDescent="0.25">
      <c r="A235" s="24" t="s">
        <v>206</v>
      </c>
      <c r="B235" s="78">
        <f>'Parameter Input'!L220</f>
        <v>0</v>
      </c>
      <c r="C235" s="61">
        <f>'Parameter Input'!M220</f>
        <v>0</v>
      </c>
      <c r="D235" s="1"/>
      <c r="L235" s="54">
        <f>'Parameter Input'!O220</f>
        <v>17</v>
      </c>
      <c r="M235" s="37">
        <v>0</v>
      </c>
      <c r="N235" s="37">
        <v>1</v>
      </c>
      <c r="O235" s="37">
        <f>'Parameter Input'!P220</f>
        <v>0.9</v>
      </c>
      <c r="P235" s="55">
        <f>'Parameter Input'!Q220</f>
        <v>0.4</v>
      </c>
      <c r="Q235" s="4">
        <f t="shared" ref="Q235:AR235" si="154">$N235+($M235-$N235)*((1/(1+EXP(-$P235*(Q$9-$L235)))^$O235))</f>
        <v>0.99780374543478534</v>
      </c>
      <c r="R235" s="4">
        <f t="shared" si="154"/>
        <v>0.99685359315256394</v>
      </c>
      <c r="S235" s="4">
        <f t="shared" si="154"/>
        <v>0.99549347132349975</v>
      </c>
      <c r="T235" s="4">
        <f t="shared" si="154"/>
        <v>0.99354772139898062</v>
      </c>
      <c r="U235" s="4">
        <f t="shared" si="154"/>
        <v>0.99076681540580536</v>
      </c>
      <c r="V235" s="4">
        <f t="shared" si="154"/>
        <v>0.9867978615748374</v>
      </c>
      <c r="W235" s="4">
        <f t="shared" si="154"/>
        <v>0.98114509762858249</v>
      </c>
      <c r="X235" s="4">
        <f t="shared" si="154"/>
        <v>0.97311898315872036</v>
      </c>
      <c r="Y235" s="4">
        <f t="shared" si="154"/>
        <v>0.96177484161592774</v>
      </c>
      <c r="Z235" s="4">
        <f t="shared" si="154"/>
        <v>0.94584787155511363</v>
      </c>
      <c r="AA235" s="4">
        <f t="shared" si="154"/>
        <v>0.92370360150141495</v>
      </c>
      <c r="AB235" s="4">
        <f t="shared" si="154"/>
        <v>0.89334463567658451</v>
      </c>
      <c r="AC235" s="4">
        <f t="shared" si="154"/>
        <v>0.85254543874327005</v>
      </c>
      <c r="AD235" s="4">
        <f t="shared" si="154"/>
        <v>0.79921300652623883</v>
      </c>
      <c r="AE235" s="4">
        <f t="shared" si="154"/>
        <v>0.73204982249993378</v>
      </c>
      <c r="AF235" s="4">
        <f t="shared" si="154"/>
        <v>0.65145592958786691</v>
      </c>
      <c r="AG235" s="4">
        <f t="shared" si="154"/>
        <v>0.56032247880849573</v>
      </c>
      <c r="AH235" s="4">
        <f t="shared" si="154"/>
        <v>0.46411326873185343</v>
      </c>
      <c r="AI235" s="4">
        <f t="shared" si="154"/>
        <v>0.36979727595523937</v>
      </c>
      <c r="AJ235" s="4">
        <f t="shared" si="154"/>
        <v>0.28393948637231203</v>
      </c>
      <c r="AK235" s="4">
        <f t="shared" si="154"/>
        <v>0.21097259161117732</v>
      </c>
      <c r="AL235" s="4">
        <f t="shared" si="154"/>
        <v>0.15253917653798199</v>
      </c>
      <c r="AM235" s="4">
        <f t="shared" si="154"/>
        <v>0.10795188737709993</v>
      </c>
      <c r="AN235" s="4">
        <f t="shared" si="154"/>
        <v>7.5176653938091809E-2</v>
      </c>
      <c r="AO235" s="4">
        <f t="shared" si="154"/>
        <v>5.1742836177502194E-2</v>
      </c>
      <c r="AP235" s="4">
        <f t="shared" si="154"/>
        <v>3.5319190625345942E-2</v>
      </c>
      <c r="AQ235" s="4">
        <f t="shared" si="154"/>
        <v>2.3969442072658165E-2</v>
      </c>
      <c r="AR235" s="4">
        <f t="shared" si="154"/>
        <v>1.6202243558389728E-2</v>
      </c>
    </row>
    <row r="236" spans="1:44" x14ac:dyDescent="0.25">
      <c r="A236" s="24" t="s">
        <v>41</v>
      </c>
      <c r="B236" s="60">
        <f>'Parameter Input'!$L$214</f>
        <v>25</v>
      </c>
      <c r="C236" s="61">
        <f>'Parameter Input'!$M$214</f>
        <v>25</v>
      </c>
      <c r="D236" s="1" t="s">
        <v>42</v>
      </c>
      <c r="L236" s="54">
        <f>'Parameter Input'!$O$214</f>
        <v>17</v>
      </c>
      <c r="M236" s="37">
        <v>0</v>
      </c>
      <c r="N236" s="37">
        <v>1</v>
      </c>
      <c r="O236" s="37">
        <f>'Parameter Input'!$P$214</f>
        <v>0.9</v>
      </c>
      <c r="P236" s="55">
        <f>'Parameter Input'!$Q$214</f>
        <v>0.4</v>
      </c>
      <c r="Q236" s="4">
        <f t="shared" ref="Q236:AF241" si="155">$N236+($M236-$N236)*((1/(1+EXP(-$P236*(Q$9-$L236)))^$O236))</f>
        <v>0.99780374543478534</v>
      </c>
      <c r="R236" s="4">
        <f t="shared" si="155"/>
        <v>0.99685359315256394</v>
      </c>
      <c r="S236" s="4">
        <f t="shared" si="155"/>
        <v>0.99549347132349975</v>
      </c>
      <c r="T236" s="4">
        <f t="shared" si="155"/>
        <v>0.99354772139898062</v>
      </c>
      <c r="U236" s="4">
        <f t="shared" si="155"/>
        <v>0.99076681540580536</v>
      </c>
      <c r="V236" s="4">
        <f t="shared" si="155"/>
        <v>0.9867978615748374</v>
      </c>
      <c r="W236" s="4">
        <f t="shared" si="155"/>
        <v>0.98114509762858249</v>
      </c>
      <c r="X236" s="4">
        <f t="shared" si="155"/>
        <v>0.97311898315872036</v>
      </c>
      <c r="Y236" s="4">
        <f t="shared" si="155"/>
        <v>0.96177484161592774</v>
      </c>
      <c r="Z236" s="4">
        <f t="shared" si="155"/>
        <v>0.94584787155511363</v>
      </c>
      <c r="AA236" s="4">
        <f t="shared" si="155"/>
        <v>0.92370360150141495</v>
      </c>
      <c r="AB236" s="4">
        <f t="shared" si="155"/>
        <v>0.89334463567658451</v>
      </c>
      <c r="AC236" s="4">
        <f t="shared" si="155"/>
        <v>0.85254543874327005</v>
      </c>
      <c r="AD236" s="4">
        <f t="shared" si="155"/>
        <v>0.79921300652623883</v>
      </c>
      <c r="AE236" s="4">
        <f t="shared" si="155"/>
        <v>0.73204982249993378</v>
      </c>
      <c r="AF236" s="4">
        <f t="shared" si="155"/>
        <v>0.65145592958786691</v>
      </c>
      <c r="AG236" s="4">
        <f t="shared" si="152"/>
        <v>0.56032247880849573</v>
      </c>
      <c r="AH236" s="4">
        <f t="shared" si="152"/>
        <v>0.46411326873185343</v>
      </c>
      <c r="AI236" s="4">
        <f t="shared" si="152"/>
        <v>0.36979727595523937</v>
      </c>
      <c r="AJ236" s="4">
        <f t="shared" si="153"/>
        <v>0.28393948637231203</v>
      </c>
      <c r="AK236" s="4">
        <f t="shared" si="153"/>
        <v>0.21097259161117732</v>
      </c>
      <c r="AL236" s="4">
        <f t="shared" si="153"/>
        <v>0.15253917653798199</v>
      </c>
      <c r="AM236" s="4">
        <f t="shared" si="153"/>
        <v>0.10795188737709993</v>
      </c>
      <c r="AN236" s="4">
        <f t="shared" si="153"/>
        <v>7.5176653938091809E-2</v>
      </c>
      <c r="AO236" s="4">
        <f t="shared" si="153"/>
        <v>5.1742836177502194E-2</v>
      </c>
      <c r="AP236" s="4">
        <f t="shared" si="153"/>
        <v>3.5319190625345942E-2</v>
      </c>
      <c r="AQ236" s="4">
        <f t="shared" si="153"/>
        <v>2.3969442072658165E-2</v>
      </c>
      <c r="AR236" s="4">
        <f t="shared" si="153"/>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5"/>
        <v>0.99780374543478534</v>
      </c>
      <c r="R237" s="4">
        <f t="shared" si="155"/>
        <v>0.99685359315256394</v>
      </c>
      <c r="S237" s="4">
        <f t="shared" si="155"/>
        <v>0.99549347132349975</v>
      </c>
      <c r="T237" s="4">
        <f t="shared" si="155"/>
        <v>0.99354772139898062</v>
      </c>
      <c r="U237" s="4">
        <f t="shared" si="155"/>
        <v>0.99076681540580536</v>
      </c>
      <c r="V237" s="4">
        <f t="shared" si="155"/>
        <v>0.9867978615748374</v>
      </c>
      <c r="W237" s="4">
        <f t="shared" si="155"/>
        <v>0.98114509762858249</v>
      </c>
      <c r="X237" s="4">
        <f t="shared" si="155"/>
        <v>0.97311898315872036</v>
      </c>
      <c r="Y237" s="4">
        <f t="shared" si="155"/>
        <v>0.96177484161592774</v>
      </c>
      <c r="Z237" s="4">
        <f t="shared" si="155"/>
        <v>0.94584787155511363</v>
      </c>
      <c r="AA237" s="4">
        <f t="shared" si="155"/>
        <v>0.92370360150141495</v>
      </c>
      <c r="AB237" s="4">
        <f t="shared" si="155"/>
        <v>0.89334463567658451</v>
      </c>
      <c r="AC237" s="4">
        <f t="shared" si="155"/>
        <v>0.85254543874327005</v>
      </c>
      <c r="AD237" s="4">
        <f t="shared" si="155"/>
        <v>0.79921300652623883</v>
      </c>
      <c r="AE237" s="4">
        <f t="shared" si="155"/>
        <v>0.73204982249993378</v>
      </c>
      <c r="AF237" s="4">
        <f t="shared" si="155"/>
        <v>0.65145592958786691</v>
      </c>
      <c r="AG237" s="4">
        <f t="shared" si="152"/>
        <v>0.56032247880849573</v>
      </c>
      <c r="AH237" s="4">
        <f t="shared" si="152"/>
        <v>0.46411326873185343</v>
      </c>
      <c r="AI237" s="4">
        <f t="shared" si="152"/>
        <v>0.36979727595523937</v>
      </c>
      <c r="AJ237" s="4">
        <f t="shared" si="153"/>
        <v>0.28393948637231203</v>
      </c>
      <c r="AK237" s="4">
        <f t="shared" si="153"/>
        <v>0.21097259161117732</v>
      </c>
      <c r="AL237" s="4">
        <f t="shared" si="153"/>
        <v>0.15253917653798199</v>
      </c>
      <c r="AM237" s="4">
        <f t="shared" si="153"/>
        <v>0.10795188737709993</v>
      </c>
      <c r="AN237" s="4">
        <f t="shared" si="153"/>
        <v>7.5176653938091809E-2</v>
      </c>
      <c r="AO237" s="4">
        <f t="shared" si="153"/>
        <v>5.1742836177502194E-2</v>
      </c>
      <c r="AP237" s="4">
        <f t="shared" si="153"/>
        <v>3.5319190625345942E-2</v>
      </c>
      <c r="AQ237" s="4">
        <f t="shared" si="153"/>
        <v>2.3969442072658165E-2</v>
      </c>
      <c r="AR237" s="4">
        <f t="shared" si="153"/>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5"/>
        <v>0.99780374543478534</v>
      </c>
      <c r="R238" s="4">
        <f t="shared" si="155"/>
        <v>0.99685359315256394</v>
      </c>
      <c r="S238" s="4">
        <f t="shared" si="155"/>
        <v>0.99549347132349975</v>
      </c>
      <c r="T238" s="4">
        <f t="shared" si="155"/>
        <v>0.99354772139898062</v>
      </c>
      <c r="U238" s="4">
        <f t="shared" si="155"/>
        <v>0.99076681540580536</v>
      </c>
      <c r="V238" s="4">
        <f t="shared" si="155"/>
        <v>0.9867978615748374</v>
      </c>
      <c r="W238" s="4">
        <f t="shared" si="155"/>
        <v>0.98114509762858249</v>
      </c>
      <c r="X238" s="4">
        <f t="shared" si="155"/>
        <v>0.97311898315872036</v>
      </c>
      <c r="Y238" s="4">
        <f t="shared" si="155"/>
        <v>0.96177484161592774</v>
      </c>
      <c r="Z238" s="4">
        <f t="shared" si="155"/>
        <v>0.94584787155511363</v>
      </c>
      <c r="AA238" s="4">
        <f t="shared" si="155"/>
        <v>0.92370360150141495</v>
      </c>
      <c r="AB238" s="4">
        <f t="shared" si="155"/>
        <v>0.89334463567658451</v>
      </c>
      <c r="AC238" s="4">
        <f t="shared" si="155"/>
        <v>0.85254543874327005</v>
      </c>
      <c r="AD238" s="4">
        <f t="shared" si="155"/>
        <v>0.79921300652623883</v>
      </c>
      <c r="AE238" s="4">
        <f t="shared" si="155"/>
        <v>0.73204982249993378</v>
      </c>
      <c r="AF238" s="4">
        <f t="shared" si="155"/>
        <v>0.65145592958786691</v>
      </c>
      <c r="AG238" s="4">
        <f t="shared" si="152"/>
        <v>0.56032247880849573</v>
      </c>
      <c r="AH238" s="4">
        <f t="shared" si="152"/>
        <v>0.46411326873185343</v>
      </c>
      <c r="AI238" s="4">
        <f t="shared" si="152"/>
        <v>0.36979727595523937</v>
      </c>
      <c r="AJ238" s="4">
        <f t="shared" si="153"/>
        <v>0.28393948637231203</v>
      </c>
      <c r="AK238" s="4">
        <f t="shared" si="153"/>
        <v>0.21097259161117732</v>
      </c>
      <c r="AL238" s="4">
        <f t="shared" si="153"/>
        <v>0.15253917653798199</v>
      </c>
      <c r="AM238" s="4">
        <f t="shared" si="153"/>
        <v>0.10795188737709993</v>
      </c>
      <c r="AN238" s="4">
        <f t="shared" si="153"/>
        <v>7.5176653938091809E-2</v>
      </c>
      <c r="AO238" s="4">
        <f t="shared" si="153"/>
        <v>5.1742836177502194E-2</v>
      </c>
      <c r="AP238" s="4">
        <f t="shared" si="153"/>
        <v>3.5319190625345942E-2</v>
      </c>
      <c r="AQ238" s="4">
        <f t="shared" si="153"/>
        <v>2.3969442072658165E-2</v>
      </c>
      <c r="AR238" s="4">
        <f t="shared" si="153"/>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5"/>
        <v>0.99780374543478534</v>
      </c>
      <c r="R239" s="4">
        <f t="shared" si="155"/>
        <v>0.99685359315256394</v>
      </c>
      <c r="S239" s="4">
        <f t="shared" si="155"/>
        <v>0.99549347132349975</v>
      </c>
      <c r="T239" s="4">
        <f t="shared" si="155"/>
        <v>0.99354772139898062</v>
      </c>
      <c r="U239" s="4">
        <f t="shared" si="155"/>
        <v>0.99076681540580536</v>
      </c>
      <c r="V239" s="4">
        <f t="shared" si="155"/>
        <v>0.9867978615748374</v>
      </c>
      <c r="W239" s="4">
        <f t="shared" si="155"/>
        <v>0.98114509762858249</v>
      </c>
      <c r="X239" s="4">
        <f t="shared" si="155"/>
        <v>0.97311898315872036</v>
      </c>
      <c r="Y239" s="4">
        <f t="shared" si="155"/>
        <v>0.96177484161592774</v>
      </c>
      <c r="Z239" s="4">
        <f t="shared" si="155"/>
        <v>0.94584787155511363</v>
      </c>
      <c r="AA239" s="4">
        <f t="shared" si="155"/>
        <v>0.92370360150141495</v>
      </c>
      <c r="AB239" s="4">
        <f t="shared" si="155"/>
        <v>0.89334463567658451</v>
      </c>
      <c r="AC239" s="4">
        <f t="shared" si="155"/>
        <v>0.85254543874327005</v>
      </c>
      <c r="AD239" s="4">
        <f t="shared" si="155"/>
        <v>0.79921300652623883</v>
      </c>
      <c r="AE239" s="4">
        <f t="shared" si="155"/>
        <v>0.73204982249993378</v>
      </c>
      <c r="AF239" s="4">
        <f t="shared" si="155"/>
        <v>0.65145592958786691</v>
      </c>
      <c r="AG239" s="4">
        <f t="shared" si="152"/>
        <v>0.56032247880849573</v>
      </c>
      <c r="AH239" s="4">
        <f t="shared" si="152"/>
        <v>0.46411326873185343</v>
      </c>
      <c r="AI239" s="4">
        <f t="shared" si="152"/>
        <v>0.36979727595523937</v>
      </c>
      <c r="AJ239" s="4">
        <f t="shared" si="153"/>
        <v>0.28393948637231203</v>
      </c>
      <c r="AK239" s="4">
        <f t="shared" si="153"/>
        <v>0.21097259161117732</v>
      </c>
      <c r="AL239" s="4">
        <f t="shared" si="153"/>
        <v>0.15253917653798199</v>
      </c>
      <c r="AM239" s="4">
        <f t="shared" si="153"/>
        <v>0.10795188737709993</v>
      </c>
      <c r="AN239" s="4">
        <f t="shared" si="153"/>
        <v>7.5176653938091809E-2</v>
      </c>
      <c r="AO239" s="4">
        <f t="shared" si="153"/>
        <v>5.1742836177502194E-2</v>
      </c>
      <c r="AP239" s="4">
        <f t="shared" si="153"/>
        <v>3.5319190625345942E-2</v>
      </c>
      <c r="AQ239" s="4">
        <f t="shared" si="153"/>
        <v>2.3969442072658165E-2</v>
      </c>
      <c r="AR239" s="4">
        <f t="shared" si="153"/>
        <v>1.6202243558389728E-2</v>
      </c>
    </row>
    <row r="240" spans="1:44" x14ac:dyDescent="0.25">
      <c r="A240" s="24" t="s">
        <v>73</v>
      </c>
      <c r="B240" s="45">
        <f>'Parameter Input'!$L$218</f>
        <v>0</v>
      </c>
      <c r="C240" s="46">
        <f>'Parameter Input'!$M$218</f>
        <v>0</v>
      </c>
      <c r="D240" s="1" t="s">
        <v>57</v>
      </c>
      <c r="L240" s="54">
        <f>'Parameter Input'!$O$218</f>
        <v>17</v>
      </c>
      <c r="M240" s="37">
        <v>0</v>
      </c>
      <c r="N240" s="37">
        <v>1</v>
      </c>
      <c r="O240" s="37">
        <f>'Parameter Input'!$P$218</f>
        <v>0.9</v>
      </c>
      <c r="P240" s="55">
        <f>'Parameter Input'!$Q$218</f>
        <v>0.4</v>
      </c>
      <c r="Q240" s="4">
        <f t="shared" si="155"/>
        <v>0.99780374543478534</v>
      </c>
      <c r="R240" s="4">
        <f t="shared" si="155"/>
        <v>0.99685359315256394</v>
      </c>
      <c r="S240" s="4">
        <f t="shared" si="155"/>
        <v>0.99549347132349975</v>
      </c>
      <c r="T240" s="4">
        <f t="shared" si="155"/>
        <v>0.99354772139898062</v>
      </c>
      <c r="U240" s="4">
        <f t="shared" si="155"/>
        <v>0.99076681540580536</v>
      </c>
      <c r="V240" s="4">
        <f t="shared" si="155"/>
        <v>0.9867978615748374</v>
      </c>
      <c r="W240" s="4">
        <f t="shared" si="155"/>
        <v>0.98114509762858249</v>
      </c>
      <c r="X240" s="4">
        <f t="shared" si="155"/>
        <v>0.97311898315872036</v>
      </c>
      <c r="Y240" s="4">
        <f t="shared" si="155"/>
        <v>0.96177484161592774</v>
      </c>
      <c r="Z240" s="4">
        <f t="shared" si="155"/>
        <v>0.94584787155511363</v>
      </c>
      <c r="AA240" s="4">
        <f t="shared" si="155"/>
        <v>0.92370360150141495</v>
      </c>
      <c r="AB240" s="4">
        <f t="shared" si="155"/>
        <v>0.89334463567658451</v>
      </c>
      <c r="AC240" s="4">
        <f t="shared" si="155"/>
        <v>0.85254543874327005</v>
      </c>
      <c r="AD240" s="4">
        <f t="shared" si="155"/>
        <v>0.79921300652623883</v>
      </c>
      <c r="AE240" s="4">
        <f t="shared" si="155"/>
        <v>0.73204982249993378</v>
      </c>
      <c r="AF240" s="4">
        <f t="shared" si="155"/>
        <v>0.65145592958786691</v>
      </c>
      <c r="AG240" s="4">
        <f t="shared" si="152"/>
        <v>0.56032247880849573</v>
      </c>
      <c r="AH240" s="4">
        <f t="shared" si="152"/>
        <v>0.46411326873185343</v>
      </c>
      <c r="AI240" s="4">
        <f t="shared" si="152"/>
        <v>0.36979727595523937</v>
      </c>
      <c r="AJ240" s="4">
        <f t="shared" si="153"/>
        <v>0.28393948637231203</v>
      </c>
      <c r="AK240" s="4">
        <f t="shared" si="153"/>
        <v>0.21097259161117732</v>
      </c>
      <c r="AL240" s="4">
        <f t="shared" si="153"/>
        <v>0.15253917653798199</v>
      </c>
      <c r="AM240" s="4">
        <f t="shared" si="153"/>
        <v>0.10795188737709993</v>
      </c>
      <c r="AN240" s="4">
        <f t="shared" si="153"/>
        <v>7.5176653938091809E-2</v>
      </c>
      <c r="AO240" s="4">
        <f t="shared" si="153"/>
        <v>5.1742836177502194E-2</v>
      </c>
      <c r="AP240" s="4">
        <f t="shared" si="153"/>
        <v>3.5319190625345942E-2</v>
      </c>
      <c r="AQ240" s="4">
        <f t="shared" si="153"/>
        <v>2.3969442072658165E-2</v>
      </c>
      <c r="AR240" s="4">
        <f t="shared" si="153"/>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5"/>
        <v>0.99780374543478534</v>
      </c>
      <c r="R241" s="4">
        <f t="shared" si="155"/>
        <v>0.99685359315256394</v>
      </c>
      <c r="S241" s="4">
        <f t="shared" si="155"/>
        <v>0.99549347132349975</v>
      </c>
      <c r="T241" s="4">
        <f t="shared" si="155"/>
        <v>0.99354772139898062</v>
      </c>
      <c r="U241" s="4">
        <f t="shared" si="155"/>
        <v>0.99076681540580536</v>
      </c>
      <c r="V241" s="4">
        <f t="shared" si="155"/>
        <v>0.9867978615748374</v>
      </c>
      <c r="W241" s="4">
        <f t="shared" si="155"/>
        <v>0.98114509762858249</v>
      </c>
      <c r="X241" s="4">
        <f t="shared" si="155"/>
        <v>0.97311898315872036</v>
      </c>
      <c r="Y241" s="4">
        <f t="shared" si="155"/>
        <v>0.96177484161592774</v>
      </c>
      <c r="Z241" s="4">
        <f t="shared" si="155"/>
        <v>0.94584787155511363</v>
      </c>
      <c r="AA241" s="4">
        <f t="shared" si="155"/>
        <v>0.92370360150141495</v>
      </c>
      <c r="AB241" s="4">
        <f t="shared" si="155"/>
        <v>0.89334463567658451</v>
      </c>
      <c r="AC241" s="4">
        <f t="shared" si="155"/>
        <v>0.85254543874327005</v>
      </c>
      <c r="AD241" s="4">
        <f t="shared" si="155"/>
        <v>0.79921300652623883</v>
      </c>
      <c r="AE241" s="4">
        <f t="shared" si="155"/>
        <v>0.73204982249993378</v>
      </c>
      <c r="AF241" s="4">
        <f t="shared" si="155"/>
        <v>0.65145592958786691</v>
      </c>
      <c r="AG241" s="4">
        <f t="shared" si="152"/>
        <v>0.56032247880849573</v>
      </c>
      <c r="AH241" s="4">
        <f t="shared" si="152"/>
        <v>0.46411326873185343</v>
      </c>
      <c r="AI241" s="4">
        <f t="shared" si="152"/>
        <v>0.36979727595523937</v>
      </c>
      <c r="AJ241" s="4">
        <f t="shared" si="153"/>
        <v>0.28393948637231203</v>
      </c>
      <c r="AK241" s="4">
        <f t="shared" si="153"/>
        <v>0.21097259161117732</v>
      </c>
      <c r="AL241" s="4">
        <f t="shared" si="153"/>
        <v>0.15253917653798199</v>
      </c>
      <c r="AM241" s="4">
        <f t="shared" si="153"/>
        <v>0.10795188737709993</v>
      </c>
      <c r="AN241" s="4">
        <f t="shared" si="153"/>
        <v>7.5176653938091809E-2</v>
      </c>
      <c r="AO241" s="4">
        <f t="shared" si="153"/>
        <v>5.1742836177502194E-2</v>
      </c>
      <c r="AP241" s="4">
        <f t="shared" si="153"/>
        <v>3.5319190625345942E-2</v>
      </c>
      <c r="AQ241" s="4">
        <f t="shared" si="153"/>
        <v>2.3969442072658165E-2</v>
      </c>
      <c r="AR241" s="4">
        <f t="shared" si="153"/>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6">A225</f>
        <v>Capex vehicle</v>
      </c>
      <c r="B245" s="62">
        <f t="shared" ref="B245:B253" si="157">$B225+($C225-$B225)*(1-Q225)</f>
        <v>15000000</v>
      </c>
      <c r="C245" s="62">
        <f t="shared" ref="C245:C253" si="158">$B225+($C225-$B225)*(1-R225)</f>
        <v>15000000</v>
      </c>
      <c r="D245" s="62">
        <f t="shared" ref="D245:D253" si="159">$B225+($C225-$B225)*(1-S225)</f>
        <v>15000000</v>
      </c>
      <c r="E245" s="62">
        <f t="shared" ref="E245:E253" si="160">$B225+($C225-$B225)*(1-T225)</f>
        <v>15000000</v>
      </c>
      <c r="F245" s="62">
        <f t="shared" ref="F245:F253" si="161">$B225+($C225-$B225)*(1-U225)</f>
        <v>15000000</v>
      </c>
      <c r="G245" s="62">
        <f t="shared" ref="G245:G253" si="162">$B225+($C225-$B225)*(1-V225)</f>
        <v>15000000</v>
      </c>
      <c r="H245" s="62">
        <f t="shared" ref="H245:H253" si="163">$B225+($C225-$B225)*(1-W225)</f>
        <v>15000000</v>
      </c>
      <c r="I245" s="62">
        <f t="shared" ref="I245:I253" si="164">$B225+($C225-$B225)*(1-X225)</f>
        <v>15000000</v>
      </c>
      <c r="J245" s="62">
        <f t="shared" ref="J245:J253" si="165">$B225+($C225-$B225)*(1-Y225)</f>
        <v>15000000</v>
      </c>
      <c r="K245" s="62">
        <f t="shared" ref="K245:K253" si="166">$B225+($C225-$B225)*(1-Z225)</f>
        <v>15000000</v>
      </c>
      <c r="L245" s="62">
        <f t="shared" ref="L245:L253" si="167">$B225+($C225-$B225)*(1-AA225)</f>
        <v>15000000</v>
      </c>
      <c r="M245" s="62">
        <f t="shared" ref="M245:M253" si="168">$B225+($C225-$B225)*(1-AB225)</f>
        <v>15000000</v>
      </c>
      <c r="N245" s="62">
        <f t="shared" ref="N245:N253" si="169">$B225+($C225-$B225)*(1-AC225)</f>
        <v>15000000</v>
      </c>
      <c r="O245" s="62">
        <f t="shared" ref="O245:O253" si="170">$B225+($C225-$B225)*(1-AD225)</f>
        <v>15000000</v>
      </c>
      <c r="P245" s="62">
        <f t="shared" ref="P245:P253" si="171">$B225+($C225-$B225)*(1-AE225)</f>
        <v>15000000</v>
      </c>
      <c r="Q245" s="62">
        <f t="shared" ref="Q245:Q253" si="172">$B225+($C225-$B225)*(1-AF225)</f>
        <v>15000000</v>
      </c>
      <c r="R245" s="62">
        <f t="shared" ref="R245:R253" si="173">$B225+($C225-$B225)*(1-AG225)</f>
        <v>15000000</v>
      </c>
      <c r="S245" s="62">
        <f t="shared" ref="S245:S253" si="174">$B225+($C225-$B225)*(1-AH225)</f>
        <v>15000000</v>
      </c>
      <c r="T245" s="62">
        <f t="shared" ref="T245:T253" si="175">$B225+($C225-$B225)*(1-AI225)</f>
        <v>15000000</v>
      </c>
      <c r="U245" s="62">
        <f t="shared" ref="U245:U253" si="176">$B225+($C225-$B225)*(1-AJ225)</f>
        <v>15000000</v>
      </c>
      <c r="V245" s="62">
        <f t="shared" ref="V245:V253" si="177">$B225+($C225-$B225)*(1-AK225)</f>
        <v>15000000</v>
      </c>
      <c r="W245" s="62">
        <f t="shared" ref="W245:W253" si="178">$B225+($C225-$B225)*(1-AL225)</f>
        <v>15000000</v>
      </c>
      <c r="X245" s="62">
        <f t="shared" ref="X245:X253" si="179">$B225+($C225-$B225)*(1-AM225)</f>
        <v>15000000</v>
      </c>
      <c r="Y245" s="62">
        <f t="shared" ref="Y245:Y253" si="180">$B225+($C225-$B225)*(1-AN225)</f>
        <v>15000000</v>
      </c>
      <c r="Z245" s="62">
        <f t="shared" ref="Z245:Z253" si="181">$B225+($C225-$B225)*(1-AO225)</f>
        <v>15000000</v>
      </c>
      <c r="AA245" s="62">
        <f t="shared" ref="AA245:AA253" si="182">$B225+($C225-$B225)*(1-AP225)</f>
        <v>15000000</v>
      </c>
      <c r="AB245" s="62">
        <f t="shared" ref="AB245:AB253" si="183">$B225+($C225-$B225)*(1-AQ225)</f>
        <v>15000000</v>
      </c>
      <c r="AC245" s="62">
        <f t="shared" ref="AC245:AC253" si="184">$B225+($C225-$B225)*(1-AR225)</f>
        <v>15000000</v>
      </c>
    </row>
    <row r="246" spans="1:44" x14ac:dyDescent="0.25">
      <c r="A246" s="30" t="str">
        <f t="shared" si="156"/>
        <v>Residual value (vehicle)</v>
      </c>
      <c r="B246" s="62">
        <f t="shared" si="157"/>
        <v>-1498352.8090760889</v>
      </c>
      <c r="C246" s="62">
        <f t="shared" si="158"/>
        <v>-1497640.194864423</v>
      </c>
      <c r="D246" s="62">
        <f t="shared" si="159"/>
        <v>-1496620.1034926248</v>
      </c>
      <c r="E246" s="62">
        <f t="shared" si="160"/>
        <v>-1495160.7910492355</v>
      </c>
      <c r="F246" s="62">
        <f t="shared" si="161"/>
        <v>-1493075.111554354</v>
      </c>
      <c r="G246" s="62">
        <f t="shared" si="162"/>
        <v>-1490098.396181128</v>
      </c>
      <c r="H246" s="62">
        <f t="shared" si="163"/>
        <v>-1485858.8232214369</v>
      </c>
      <c r="I246" s="62">
        <f t="shared" si="164"/>
        <v>-1479839.2373690403</v>
      </c>
      <c r="J246" s="62">
        <f t="shared" si="165"/>
        <v>-1471331.1312119458</v>
      </c>
      <c r="K246" s="62">
        <f t="shared" si="166"/>
        <v>-1459385.9036663352</v>
      </c>
      <c r="L246" s="62">
        <f t="shared" si="167"/>
        <v>-1442777.7011260611</v>
      </c>
      <c r="M246" s="62">
        <f t="shared" si="168"/>
        <v>-1420008.4767574384</v>
      </c>
      <c r="N246" s="62">
        <f t="shared" si="169"/>
        <v>-1389409.0790574525</v>
      </c>
      <c r="O246" s="62">
        <f t="shared" si="170"/>
        <v>-1349409.7548946792</v>
      </c>
      <c r="P246" s="62">
        <f t="shared" si="171"/>
        <v>-1299037.3668749502</v>
      </c>
      <c r="Q246" s="62">
        <f t="shared" si="172"/>
        <v>-1238591.9471909001</v>
      </c>
      <c r="R246" s="62">
        <f t="shared" si="173"/>
        <v>-1170241.8591063719</v>
      </c>
      <c r="S246" s="62">
        <f t="shared" si="174"/>
        <v>-1098084.9515488902</v>
      </c>
      <c r="T246" s="62">
        <f t="shared" si="175"/>
        <v>-1027347.9569664295</v>
      </c>
      <c r="U246" s="62">
        <f t="shared" si="176"/>
        <v>-962954.61477923405</v>
      </c>
      <c r="V246" s="62">
        <f t="shared" si="177"/>
        <v>-908229.44370838301</v>
      </c>
      <c r="W246" s="62">
        <f t="shared" si="178"/>
        <v>-864404.38240348652</v>
      </c>
      <c r="X246" s="62">
        <f t="shared" si="179"/>
        <v>-830963.91553282493</v>
      </c>
      <c r="Y246" s="62">
        <f t="shared" si="180"/>
        <v>-806382.49045356887</v>
      </c>
      <c r="Z246" s="62">
        <f t="shared" si="181"/>
        <v>-788807.1271331266</v>
      </c>
      <c r="AA246" s="62">
        <f t="shared" si="182"/>
        <v>-776489.39296900947</v>
      </c>
      <c r="AB246" s="62">
        <f t="shared" si="183"/>
        <v>-767977.08155449363</v>
      </c>
      <c r="AC246" s="62">
        <f t="shared" si="184"/>
        <v>-762151.68266879232</v>
      </c>
    </row>
    <row r="247" spans="1:44" x14ac:dyDescent="0.25">
      <c r="A247" s="30" t="str">
        <f t="shared" si="156"/>
        <v>Capex costumization</v>
      </c>
      <c r="B247" s="62">
        <f t="shared" si="157"/>
        <v>1000000</v>
      </c>
      <c r="C247" s="62">
        <f t="shared" si="158"/>
        <v>1000000</v>
      </c>
      <c r="D247" s="62">
        <f t="shared" si="159"/>
        <v>1000000</v>
      </c>
      <c r="E247" s="62">
        <f t="shared" si="160"/>
        <v>1000000</v>
      </c>
      <c r="F247" s="62">
        <f t="shared" si="161"/>
        <v>1000000</v>
      </c>
      <c r="G247" s="62">
        <f t="shared" si="162"/>
        <v>1000000</v>
      </c>
      <c r="H247" s="62">
        <f t="shared" si="163"/>
        <v>1000000</v>
      </c>
      <c r="I247" s="62">
        <f t="shared" si="164"/>
        <v>1000000</v>
      </c>
      <c r="J247" s="62">
        <f t="shared" si="165"/>
        <v>1000000</v>
      </c>
      <c r="K247" s="62">
        <f t="shared" si="166"/>
        <v>1000000</v>
      </c>
      <c r="L247" s="62">
        <f t="shared" si="167"/>
        <v>1000000</v>
      </c>
      <c r="M247" s="62">
        <f t="shared" si="168"/>
        <v>1000000</v>
      </c>
      <c r="N247" s="62">
        <f t="shared" si="169"/>
        <v>1000000</v>
      </c>
      <c r="O247" s="62">
        <f t="shared" si="170"/>
        <v>1000000</v>
      </c>
      <c r="P247" s="62">
        <f t="shared" si="171"/>
        <v>1000000</v>
      </c>
      <c r="Q247" s="62">
        <f t="shared" si="172"/>
        <v>1000000</v>
      </c>
      <c r="R247" s="62">
        <f t="shared" si="173"/>
        <v>1000000</v>
      </c>
      <c r="S247" s="62">
        <f t="shared" si="174"/>
        <v>1000000</v>
      </c>
      <c r="T247" s="62">
        <f t="shared" si="175"/>
        <v>1000000</v>
      </c>
      <c r="U247" s="62">
        <f t="shared" si="176"/>
        <v>1000000</v>
      </c>
      <c r="V247" s="62">
        <f t="shared" si="177"/>
        <v>1000000</v>
      </c>
      <c r="W247" s="62">
        <f t="shared" si="178"/>
        <v>1000000</v>
      </c>
      <c r="X247" s="62">
        <f t="shared" si="179"/>
        <v>1000000</v>
      </c>
      <c r="Y247" s="62">
        <f t="shared" si="180"/>
        <v>1000000</v>
      </c>
      <c r="Z247" s="62">
        <f t="shared" si="181"/>
        <v>1000000</v>
      </c>
      <c r="AA247" s="62">
        <f t="shared" si="182"/>
        <v>1000000</v>
      </c>
      <c r="AB247" s="62">
        <f t="shared" si="183"/>
        <v>1000000</v>
      </c>
      <c r="AC247" s="62">
        <f t="shared" si="184"/>
        <v>1000000</v>
      </c>
    </row>
    <row r="248" spans="1:44" x14ac:dyDescent="0.25">
      <c r="A248" s="30" t="str">
        <f t="shared" si="156"/>
        <v>Residual value (costumization)</v>
      </c>
      <c r="B248" s="62">
        <f t="shared" si="157"/>
        <v>-100000</v>
      </c>
      <c r="C248" s="62">
        <f t="shared" si="158"/>
        <v>-100000</v>
      </c>
      <c r="D248" s="62">
        <f t="shared" si="159"/>
        <v>-100000</v>
      </c>
      <c r="E248" s="62">
        <f t="shared" si="160"/>
        <v>-100000</v>
      </c>
      <c r="F248" s="62">
        <f t="shared" si="161"/>
        <v>-100000</v>
      </c>
      <c r="G248" s="62">
        <f t="shared" si="162"/>
        <v>-100000</v>
      </c>
      <c r="H248" s="62">
        <f t="shared" si="163"/>
        <v>-100000</v>
      </c>
      <c r="I248" s="62">
        <f t="shared" si="164"/>
        <v>-100000</v>
      </c>
      <c r="J248" s="62">
        <f t="shared" si="165"/>
        <v>-100000</v>
      </c>
      <c r="K248" s="62">
        <f t="shared" si="166"/>
        <v>-100000</v>
      </c>
      <c r="L248" s="62">
        <f t="shared" si="167"/>
        <v>-100000</v>
      </c>
      <c r="M248" s="62">
        <f t="shared" si="168"/>
        <v>-100000</v>
      </c>
      <c r="N248" s="62">
        <f t="shared" si="169"/>
        <v>-100000</v>
      </c>
      <c r="O248" s="62">
        <f t="shared" si="170"/>
        <v>-100000</v>
      </c>
      <c r="P248" s="62">
        <f t="shared" si="171"/>
        <v>-100000</v>
      </c>
      <c r="Q248" s="62">
        <f t="shared" si="172"/>
        <v>-100000</v>
      </c>
      <c r="R248" s="62">
        <f t="shared" si="173"/>
        <v>-100000</v>
      </c>
      <c r="S248" s="62">
        <f t="shared" si="174"/>
        <v>-100000</v>
      </c>
      <c r="T248" s="62">
        <f t="shared" si="175"/>
        <v>-100000</v>
      </c>
      <c r="U248" s="62">
        <f t="shared" si="176"/>
        <v>-100000</v>
      </c>
      <c r="V248" s="62">
        <f t="shared" si="177"/>
        <v>-100000</v>
      </c>
      <c r="W248" s="62">
        <f t="shared" si="178"/>
        <v>-100000</v>
      </c>
      <c r="X248" s="62">
        <f t="shared" si="179"/>
        <v>-100000</v>
      </c>
      <c r="Y248" s="62">
        <f t="shared" si="180"/>
        <v>-100000</v>
      </c>
      <c r="Z248" s="62">
        <f t="shared" si="181"/>
        <v>-100000</v>
      </c>
      <c r="AA248" s="62">
        <f t="shared" si="182"/>
        <v>-100000</v>
      </c>
      <c r="AB248" s="62">
        <f t="shared" si="183"/>
        <v>-100000</v>
      </c>
      <c r="AC248" s="62">
        <f t="shared" si="184"/>
        <v>-100000</v>
      </c>
    </row>
    <row r="249" spans="1:44" x14ac:dyDescent="0.25">
      <c r="A249" s="30" t="str">
        <f t="shared" si="156"/>
        <v>WACC</v>
      </c>
      <c r="B249" s="62">
        <f t="shared" si="157"/>
        <v>0.06</v>
      </c>
      <c r="C249" s="62">
        <f t="shared" si="158"/>
        <v>0.06</v>
      </c>
      <c r="D249" s="62">
        <f t="shared" si="159"/>
        <v>0.06</v>
      </c>
      <c r="E249" s="62">
        <f t="shared" si="160"/>
        <v>0.06</v>
      </c>
      <c r="F249" s="62">
        <f t="shared" si="161"/>
        <v>0.06</v>
      </c>
      <c r="G249" s="62">
        <f t="shared" si="162"/>
        <v>0.06</v>
      </c>
      <c r="H249" s="62">
        <f t="shared" si="163"/>
        <v>0.06</v>
      </c>
      <c r="I249" s="62">
        <f t="shared" si="164"/>
        <v>0.06</v>
      </c>
      <c r="J249" s="62">
        <f t="shared" si="165"/>
        <v>0.06</v>
      </c>
      <c r="K249" s="62">
        <f t="shared" si="166"/>
        <v>0.06</v>
      </c>
      <c r="L249" s="62">
        <f t="shared" si="167"/>
        <v>0.06</v>
      </c>
      <c r="M249" s="62">
        <f t="shared" si="168"/>
        <v>0.06</v>
      </c>
      <c r="N249" s="62">
        <f t="shared" si="169"/>
        <v>0.06</v>
      </c>
      <c r="O249" s="62">
        <f t="shared" si="170"/>
        <v>0.06</v>
      </c>
      <c r="P249" s="62">
        <f t="shared" si="171"/>
        <v>0.06</v>
      </c>
      <c r="Q249" s="62">
        <f t="shared" si="172"/>
        <v>0.06</v>
      </c>
      <c r="R249" s="62">
        <f t="shared" si="173"/>
        <v>0.06</v>
      </c>
      <c r="S249" s="62">
        <f t="shared" si="174"/>
        <v>0.06</v>
      </c>
      <c r="T249" s="62">
        <f t="shared" si="175"/>
        <v>0.06</v>
      </c>
      <c r="U249" s="62">
        <f t="shared" si="176"/>
        <v>0.06</v>
      </c>
      <c r="V249" s="62">
        <f t="shared" si="177"/>
        <v>0.06</v>
      </c>
      <c r="W249" s="62">
        <f t="shared" si="178"/>
        <v>0.06</v>
      </c>
      <c r="X249" s="62">
        <f t="shared" si="179"/>
        <v>0.06</v>
      </c>
      <c r="Y249" s="62">
        <f t="shared" si="180"/>
        <v>0.06</v>
      </c>
      <c r="Z249" s="62">
        <f t="shared" si="181"/>
        <v>0.06</v>
      </c>
      <c r="AA249" s="62">
        <f t="shared" si="182"/>
        <v>0.06</v>
      </c>
      <c r="AB249" s="62">
        <f t="shared" si="183"/>
        <v>0.06</v>
      </c>
      <c r="AC249" s="62">
        <f t="shared" si="184"/>
        <v>0.06</v>
      </c>
    </row>
    <row r="250" spans="1:44" x14ac:dyDescent="0.25">
      <c r="A250" s="30" t="str">
        <f t="shared" si="156"/>
        <v>Opex fix (admin, crew, insurance)</v>
      </c>
      <c r="B250" s="62">
        <f t="shared" si="157"/>
        <v>1208235.294117647</v>
      </c>
      <c r="C250" s="62">
        <f t="shared" si="158"/>
        <v>1208235.294117647</v>
      </c>
      <c r="D250" s="62">
        <f t="shared" si="159"/>
        <v>1208235.294117647</v>
      </c>
      <c r="E250" s="62">
        <f t="shared" si="160"/>
        <v>1208235.294117647</v>
      </c>
      <c r="F250" s="62">
        <f t="shared" si="161"/>
        <v>1208235.294117647</v>
      </c>
      <c r="G250" s="62">
        <f t="shared" si="162"/>
        <v>1208235.294117647</v>
      </c>
      <c r="H250" s="62">
        <f t="shared" si="163"/>
        <v>1208235.294117647</v>
      </c>
      <c r="I250" s="62">
        <f t="shared" si="164"/>
        <v>1208235.294117647</v>
      </c>
      <c r="J250" s="62">
        <f t="shared" si="165"/>
        <v>1208235.294117647</v>
      </c>
      <c r="K250" s="62">
        <f t="shared" si="166"/>
        <v>1208235.294117647</v>
      </c>
      <c r="L250" s="62">
        <f t="shared" si="167"/>
        <v>1208235.294117647</v>
      </c>
      <c r="M250" s="62">
        <f t="shared" si="168"/>
        <v>1208235.294117647</v>
      </c>
      <c r="N250" s="62">
        <f t="shared" si="169"/>
        <v>1208235.294117647</v>
      </c>
      <c r="O250" s="62">
        <f t="shared" si="170"/>
        <v>1208235.294117647</v>
      </c>
      <c r="P250" s="62">
        <f t="shared" si="171"/>
        <v>1208235.294117647</v>
      </c>
      <c r="Q250" s="62">
        <f t="shared" si="172"/>
        <v>1208235.294117647</v>
      </c>
      <c r="R250" s="62">
        <f t="shared" si="173"/>
        <v>1208235.294117647</v>
      </c>
      <c r="S250" s="62">
        <f t="shared" si="174"/>
        <v>1208235.294117647</v>
      </c>
      <c r="T250" s="62">
        <f t="shared" si="175"/>
        <v>1208235.294117647</v>
      </c>
      <c r="U250" s="62">
        <f t="shared" si="176"/>
        <v>1208235.294117647</v>
      </c>
      <c r="V250" s="62">
        <f t="shared" si="177"/>
        <v>1208235.294117647</v>
      </c>
      <c r="W250" s="62">
        <f t="shared" si="178"/>
        <v>1208235.294117647</v>
      </c>
      <c r="X250" s="62">
        <f t="shared" si="179"/>
        <v>1208235.294117647</v>
      </c>
      <c r="Y250" s="62">
        <f t="shared" si="180"/>
        <v>1208235.294117647</v>
      </c>
      <c r="Z250" s="62">
        <f t="shared" si="181"/>
        <v>1208235.294117647</v>
      </c>
      <c r="AA250" s="62">
        <f t="shared" si="182"/>
        <v>1208235.294117647</v>
      </c>
      <c r="AB250" s="62">
        <f t="shared" si="183"/>
        <v>1208235.294117647</v>
      </c>
      <c r="AC250" s="62">
        <f t="shared" si="184"/>
        <v>1208235.294117647</v>
      </c>
    </row>
    <row r="251" spans="1:44" x14ac:dyDescent="0.25">
      <c r="A251" s="30" t="str">
        <f t="shared" si="156"/>
        <v>Opex maintenance &amp; repair</v>
      </c>
      <c r="B251" s="62">
        <f t="shared" si="157"/>
        <v>488235.29411764705</v>
      </c>
      <c r="C251" s="62">
        <f t="shared" si="158"/>
        <v>488235.29411764705</v>
      </c>
      <c r="D251" s="62">
        <f t="shared" si="159"/>
        <v>488235.29411764705</v>
      </c>
      <c r="E251" s="62">
        <f t="shared" si="160"/>
        <v>488235.29411764705</v>
      </c>
      <c r="F251" s="62">
        <f t="shared" si="161"/>
        <v>488235.29411764705</v>
      </c>
      <c r="G251" s="62">
        <f t="shared" si="162"/>
        <v>488235.29411764705</v>
      </c>
      <c r="H251" s="62">
        <f t="shared" si="163"/>
        <v>488235.29411764705</v>
      </c>
      <c r="I251" s="62">
        <f t="shared" si="164"/>
        <v>488235.29411764705</v>
      </c>
      <c r="J251" s="62">
        <f t="shared" si="165"/>
        <v>488235.29411764705</v>
      </c>
      <c r="K251" s="62">
        <f t="shared" si="166"/>
        <v>488235.29411764705</v>
      </c>
      <c r="L251" s="62">
        <f t="shared" si="167"/>
        <v>488235.29411764705</v>
      </c>
      <c r="M251" s="62">
        <f t="shared" si="168"/>
        <v>488235.29411764705</v>
      </c>
      <c r="N251" s="62">
        <f t="shared" si="169"/>
        <v>488235.29411764705</v>
      </c>
      <c r="O251" s="62">
        <f t="shared" si="170"/>
        <v>488235.29411764705</v>
      </c>
      <c r="P251" s="62">
        <f t="shared" si="171"/>
        <v>488235.29411764705</v>
      </c>
      <c r="Q251" s="62">
        <f t="shared" si="172"/>
        <v>488235.29411764705</v>
      </c>
      <c r="R251" s="62">
        <f t="shared" si="173"/>
        <v>488235.29411764705</v>
      </c>
      <c r="S251" s="62">
        <f t="shared" si="174"/>
        <v>488235.29411764705</v>
      </c>
      <c r="T251" s="62">
        <f t="shared" si="175"/>
        <v>488235.29411764705</v>
      </c>
      <c r="U251" s="62">
        <f t="shared" si="176"/>
        <v>488235.29411764705</v>
      </c>
      <c r="V251" s="62">
        <f t="shared" si="177"/>
        <v>488235.29411764705</v>
      </c>
      <c r="W251" s="62">
        <f t="shared" si="178"/>
        <v>488235.29411764705</v>
      </c>
      <c r="X251" s="62">
        <f t="shared" si="179"/>
        <v>488235.29411764705</v>
      </c>
      <c r="Y251" s="62">
        <f t="shared" si="180"/>
        <v>488235.29411764705</v>
      </c>
      <c r="Z251" s="62">
        <f t="shared" si="181"/>
        <v>488235.29411764705</v>
      </c>
      <c r="AA251" s="62">
        <f t="shared" si="182"/>
        <v>488235.29411764705</v>
      </c>
      <c r="AB251" s="62">
        <f t="shared" si="183"/>
        <v>488235.29411764705</v>
      </c>
      <c r="AC251" s="62">
        <f t="shared" si="184"/>
        <v>488235.29411764705</v>
      </c>
    </row>
    <row r="252" spans="1:44" x14ac:dyDescent="0.25">
      <c r="A252" s="30" t="str">
        <f t="shared" si="156"/>
        <v>Opex var (mode-fees)</v>
      </c>
      <c r="B252" s="62">
        <f t="shared" si="157"/>
        <v>0.81280569096848254</v>
      </c>
      <c r="C252" s="62">
        <f t="shared" si="158"/>
        <v>0.81280569096848254</v>
      </c>
      <c r="D252" s="62">
        <f t="shared" si="159"/>
        <v>0.81280569096848254</v>
      </c>
      <c r="E252" s="62">
        <f t="shared" si="160"/>
        <v>0.81280569096848254</v>
      </c>
      <c r="F252" s="62">
        <f t="shared" si="161"/>
        <v>0.81280569096848254</v>
      </c>
      <c r="G252" s="62">
        <f t="shared" si="162"/>
        <v>0.81280569096848254</v>
      </c>
      <c r="H252" s="62">
        <f t="shared" si="163"/>
        <v>0.81280569096848254</v>
      </c>
      <c r="I252" s="62">
        <f t="shared" si="164"/>
        <v>0.81280569096848254</v>
      </c>
      <c r="J252" s="62">
        <f t="shared" si="165"/>
        <v>0.81280569096848254</v>
      </c>
      <c r="K252" s="62">
        <f t="shared" si="166"/>
        <v>0.81280569096848254</v>
      </c>
      <c r="L252" s="62">
        <f t="shared" si="167"/>
        <v>0.81280569096848254</v>
      </c>
      <c r="M252" s="62">
        <f t="shared" si="168"/>
        <v>0.81280569096848254</v>
      </c>
      <c r="N252" s="62">
        <f t="shared" si="169"/>
        <v>0.81280569096848254</v>
      </c>
      <c r="O252" s="62">
        <f t="shared" si="170"/>
        <v>0.81280569096848254</v>
      </c>
      <c r="P252" s="62">
        <f t="shared" si="171"/>
        <v>0.81280569096848254</v>
      </c>
      <c r="Q252" s="62">
        <f t="shared" si="172"/>
        <v>0.81280569096848254</v>
      </c>
      <c r="R252" s="62">
        <f t="shared" si="173"/>
        <v>0.81280569096848254</v>
      </c>
      <c r="S252" s="62">
        <f t="shared" si="174"/>
        <v>0.81280569096848254</v>
      </c>
      <c r="T252" s="62">
        <f t="shared" si="175"/>
        <v>0.81280569096848254</v>
      </c>
      <c r="U252" s="62">
        <f t="shared" si="176"/>
        <v>0.81280569096848254</v>
      </c>
      <c r="V252" s="62">
        <f t="shared" si="177"/>
        <v>0.81280569096848254</v>
      </c>
      <c r="W252" s="62">
        <f t="shared" si="178"/>
        <v>0.81280569096848254</v>
      </c>
      <c r="X252" s="62">
        <f t="shared" si="179"/>
        <v>0.81280569096848254</v>
      </c>
      <c r="Y252" s="62">
        <f t="shared" si="180"/>
        <v>0.81280569096848254</v>
      </c>
      <c r="Z252" s="62">
        <f t="shared" si="181"/>
        <v>0.81280569096848254</v>
      </c>
      <c r="AA252" s="62">
        <f t="shared" si="182"/>
        <v>0.81280569096848254</v>
      </c>
      <c r="AB252" s="62">
        <f t="shared" si="183"/>
        <v>0.81280569096848254</v>
      </c>
      <c r="AC252" s="62">
        <f t="shared" si="184"/>
        <v>0.81280569096848254</v>
      </c>
    </row>
    <row r="253" spans="1:44" x14ac:dyDescent="0.25">
      <c r="A253" s="30" t="str">
        <f t="shared" si="156"/>
        <v>Fuel Economy</v>
      </c>
      <c r="B253" s="62">
        <f t="shared" si="157"/>
        <v>646.89677603543487</v>
      </c>
      <c r="C253" s="62">
        <f t="shared" si="158"/>
        <v>646.85211887817047</v>
      </c>
      <c r="D253" s="62">
        <f t="shared" si="159"/>
        <v>646.78819315220449</v>
      </c>
      <c r="E253" s="62">
        <f t="shared" si="160"/>
        <v>646.6967429057521</v>
      </c>
      <c r="F253" s="62">
        <f t="shared" si="161"/>
        <v>646.5660403240729</v>
      </c>
      <c r="G253" s="62">
        <f t="shared" si="162"/>
        <v>646.37949949401741</v>
      </c>
      <c r="H253" s="62">
        <f t="shared" si="163"/>
        <v>646.11381958854338</v>
      </c>
      <c r="I253" s="62">
        <f t="shared" si="164"/>
        <v>645.73659220845991</v>
      </c>
      <c r="J253" s="62">
        <f t="shared" si="165"/>
        <v>645.20341755594859</v>
      </c>
      <c r="K253" s="62">
        <f t="shared" si="166"/>
        <v>644.4548499630904</v>
      </c>
      <c r="L253" s="62">
        <f t="shared" si="167"/>
        <v>643.41406927056653</v>
      </c>
      <c r="M253" s="62">
        <f t="shared" si="168"/>
        <v>641.98719787679943</v>
      </c>
      <c r="N253" s="62">
        <f t="shared" si="169"/>
        <v>640.0696356209337</v>
      </c>
      <c r="O253" s="62">
        <f t="shared" si="170"/>
        <v>637.56301130673319</v>
      </c>
      <c r="P253" s="62">
        <f t="shared" si="171"/>
        <v>634.40634165749691</v>
      </c>
      <c r="Q253" s="62">
        <f t="shared" si="172"/>
        <v>630.6184286906298</v>
      </c>
      <c r="R253" s="62">
        <f t="shared" si="173"/>
        <v>626.33515650399931</v>
      </c>
      <c r="S253" s="62">
        <f t="shared" si="174"/>
        <v>621.81332363039712</v>
      </c>
      <c r="T253" s="62">
        <f t="shared" si="175"/>
        <v>617.38047196989623</v>
      </c>
      <c r="U253" s="62">
        <f t="shared" si="176"/>
        <v>613.34515585949862</v>
      </c>
      <c r="V253" s="62">
        <f t="shared" si="177"/>
        <v>609.91571180572532</v>
      </c>
      <c r="W253" s="62">
        <f t="shared" si="178"/>
        <v>607.1693412972852</v>
      </c>
      <c r="X253" s="62">
        <f t="shared" si="179"/>
        <v>605.0737387067237</v>
      </c>
      <c r="Y253" s="62">
        <f t="shared" si="180"/>
        <v>603.53330273509027</v>
      </c>
      <c r="Z253" s="62">
        <f t="shared" si="181"/>
        <v>602.43191330034256</v>
      </c>
      <c r="AA253" s="62">
        <f t="shared" si="182"/>
        <v>601.66000195939125</v>
      </c>
      <c r="AB253" s="62">
        <f t="shared" si="183"/>
        <v>601.12656377741496</v>
      </c>
      <c r="AC253" s="62">
        <f t="shared" si="184"/>
        <v>600.7615054472443</v>
      </c>
    </row>
    <row r="254" spans="1:44" x14ac:dyDescent="0.25">
      <c r="A254" s="30" t="str">
        <f t="shared" si="156"/>
        <v>Fuel Cost</v>
      </c>
      <c r="B254" s="62">
        <f>'Parameter Input'!J9</f>
        <v>5.7951260504201685E-2</v>
      </c>
      <c r="C254" s="62">
        <f>'Parameter Input'!K9</f>
        <v>5.3954621848739497E-2</v>
      </c>
      <c r="D254" s="62">
        <f>'Parameter Input'!L9</f>
        <v>4.9957983193277315E-2</v>
      </c>
      <c r="E254" s="62">
        <f>'Parameter Input'!M9</f>
        <v>4.5961344537815127E-2</v>
      </c>
      <c r="F254" s="62">
        <f>'Parameter Input'!N9</f>
        <v>4.1964705882352946E-2</v>
      </c>
      <c r="G254" s="62">
        <f>'Parameter Input'!O9</f>
        <v>3.7968067226890764E-2</v>
      </c>
      <c r="H254" s="62">
        <f>'Parameter Input'!P9</f>
        <v>3.3971428571428583E-2</v>
      </c>
      <c r="I254" s="62">
        <f>'Parameter Input'!Q9</f>
        <v>2.9974789915966391E-2</v>
      </c>
      <c r="J254" s="62">
        <f>'Parameter Input'!R9</f>
        <v>2.9368157262905165E-2</v>
      </c>
      <c r="K254" s="62">
        <f>'Parameter Input'!S9</f>
        <v>2.8761524609843939E-2</v>
      </c>
      <c r="L254" s="62">
        <f>'Parameter Input'!T9</f>
        <v>2.8154891956782713E-2</v>
      </c>
      <c r="M254" s="62">
        <f>'Parameter Input'!U9</f>
        <v>2.7548259303721487E-2</v>
      </c>
      <c r="N254" s="62">
        <f>'Parameter Input'!V9</f>
        <v>2.6941626650660268E-2</v>
      </c>
      <c r="O254" s="62">
        <f>'Parameter Input'!W9</f>
        <v>2.6334993997599043E-2</v>
      </c>
      <c r="P254" s="62">
        <f>'Parameter Input'!X9</f>
        <v>2.5728361344537817E-2</v>
      </c>
      <c r="Q254" s="62">
        <f>'Parameter Input'!Y9</f>
        <v>2.5121728691476591E-2</v>
      </c>
      <c r="R254" s="62">
        <f>'Parameter Input'!Z9</f>
        <v>2.4515096038415365E-2</v>
      </c>
      <c r="S254" s="62">
        <f>'Parameter Input'!AA9</f>
        <v>2.3908463385354146E-2</v>
      </c>
      <c r="T254" s="62">
        <f>'Parameter Input'!AB9</f>
        <v>2.330183073229292E-2</v>
      </c>
      <c r="U254" s="62">
        <f>'Parameter Input'!AC9</f>
        <v>2.2695198079231694E-2</v>
      </c>
      <c r="V254" s="62">
        <f>'Parameter Input'!AD9</f>
        <v>2.2088565426170468E-2</v>
      </c>
      <c r="W254" s="62">
        <f>'Parameter Input'!AE9</f>
        <v>2.1481932773109242E-2</v>
      </c>
      <c r="X254" s="62">
        <f>'Parameter Input'!AF9</f>
        <v>2.0875300120048023E-2</v>
      </c>
      <c r="Y254" s="62">
        <f>'Parameter Input'!AG9</f>
        <v>2.0268667466986797E-2</v>
      </c>
      <c r="Z254" s="62">
        <f>'Parameter Input'!AH9</f>
        <v>1.9662034813925571E-2</v>
      </c>
      <c r="AA254" s="62">
        <f>'Parameter Input'!AI9</f>
        <v>1.9055402160864345E-2</v>
      </c>
      <c r="AB254" s="62">
        <f>'Parameter Input'!AJ9</f>
        <v>1.8448769507803119E-2</v>
      </c>
      <c r="AC254" s="62">
        <f>'Parameter Input'!AK9</f>
        <v>1.78421368547419E-2</v>
      </c>
    </row>
    <row r="255" spans="1:44" x14ac:dyDescent="0.25">
      <c r="A255" s="30" t="str">
        <f t="shared" si="156"/>
        <v>Emission Cost</v>
      </c>
      <c r="B255" s="62">
        <f>$B235+($C235-$B235)*(1-Q235)</f>
        <v>0</v>
      </c>
      <c r="C255" s="62">
        <f t="shared" ref="C255:AC255" si="185">$B235+($C235-$B235)*(1-R235)</f>
        <v>0</v>
      </c>
      <c r="D255" s="62">
        <f t="shared" si="185"/>
        <v>0</v>
      </c>
      <c r="E255" s="62">
        <f t="shared" si="185"/>
        <v>0</v>
      </c>
      <c r="F255" s="62">
        <f t="shared" si="185"/>
        <v>0</v>
      </c>
      <c r="G255" s="62">
        <f t="shared" si="185"/>
        <v>0</v>
      </c>
      <c r="H255" s="62">
        <f t="shared" si="185"/>
        <v>0</v>
      </c>
      <c r="I255" s="62">
        <f t="shared" si="185"/>
        <v>0</v>
      </c>
      <c r="J255" s="62">
        <f t="shared" si="185"/>
        <v>0</v>
      </c>
      <c r="K255" s="62">
        <f t="shared" si="185"/>
        <v>0</v>
      </c>
      <c r="L255" s="62">
        <f t="shared" si="185"/>
        <v>0</v>
      </c>
      <c r="M255" s="62">
        <f t="shared" si="185"/>
        <v>0</v>
      </c>
      <c r="N255" s="62">
        <f t="shared" si="185"/>
        <v>0</v>
      </c>
      <c r="O255" s="62">
        <f t="shared" si="185"/>
        <v>0</v>
      </c>
      <c r="P255" s="62">
        <f t="shared" si="185"/>
        <v>0</v>
      </c>
      <c r="Q255" s="62">
        <f t="shared" si="185"/>
        <v>0</v>
      </c>
      <c r="R255" s="62">
        <f t="shared" si="185"/>
        <v>0</v>
      </c>
      <c r="S255" s="62">
        <f t="shared" si="185"/>
        <v>0</v>
      </c>
      <c r="T255" s="62">
        <f t="shared" si="185"/>
        <v>0</v>
      </c>
      <c r="U255" s="62">
        <f t="shared" si="185"/>
        <v>0</v>
      </c>
      <c r="V255" s="62">
        <f t="shared" si="185"/>
        <v>0</v>
      </c>
      <c r="W255" s="62">
        <f t="shared" si="185"/>
        <v>0</v>
      </c>
      <c r="X255" s="62">
        <f t="shared" si="185"/>
        <v>0</v>
      </c>
      <c r="Y255" s="62">
        <f t="shared" si="185"/>
        <v>0</v>
      </c>
      <c r="Z255" s="62">
        <f t="shared" si="185"/>
        <v>0</v>
      </c>
      <c r="AA255" s="62">
        <f t="shared" si="185"/>
        <v>0</v>
      </c>
      <c r="AB255" s="62">
        <f t="shared" si="185"/>
        <v>0</v>
      </c>
      <c r="AC255" s="62">
        <f t="shared" si="185"/>
        <v>0</v>
      </c>
    </row>
    <row r="256" spans="1:44" x14ac:dyDescent="0.25">
      <c r="A256" s="30" t="str">
        <f t="shared" si="156"/>
        <v>Lifetime vehicle</v>
      </c>
      <c r="B256" s="62">
        <f>$B236+($C236-$B236)*(1-Q236)</f>
        <v>25</v>
      </c>
      <c r="C256" s="62">
        <f t="shared" ref="C256:L258" si="186">$B236+($C236-$B236)*(1-R236)</f>
        <v>25</v>
      </c>
      <c r="D256" s="62">
        <f t="shared" si="186"/>
        <v>25</v>
      </c>
      <c r="E256" s="62">
        <f t="shared" si="186"/>
        <v>25</v>
      </c>
      <c r="F256" s="62">
        <f t="shared" si="186"/>
        <v>25</v>
      </c>
      <c r="G256" s="62">
        <f t="shared" si="186"/>
        <v>25</v>
      </c>
      <c r="H256" s="62">
        <f t="shared" si="186"/>
        <v>25</v>
      </c>
      <c r="I256" s="62">
        <f t="shared" si="186"/>
        <v>25</v>
      </c>
      <c r="J256" s="62">
        <f t="shared" si="186"/>
        <v>25</v>
      </c>
      <c r="K256" s="62">
        <f t="shared" si="186"/>
        <v>25</v>
      </c>
      <c r="L256" s="62">
        <f t="shared" si="186"/>
        <v>25</v>
      </c>
      <c r="M256" s="62">
        <f t="shared" ref="M256:V258" si="187">$B236+($C236-$B236)*(1-AB236)</f>
        <v>25</v>
      </c>
      <c r="N256" s="62">
        <f t="shared" si="187"/>
        <v>25</v>
      </c>
      <c r="O256" s="62">
        <f t="shared" si="187"/>
        <v>25</v>
      </c>
      <c r="P256" s="62">
        <f t="shared" si="187"/>
        <v>25</v>
      </c>
      <c r="Q256" s="62">
        <f t="shared" si="187"/>
        <v>25</v>
      </c>
      <c r="R256" s="62">
        <f t="shared" si="187"/>
        <v>25</v>
      </c>
      <c r="S256" s="62">
        <f t="shared" si="187"/>
        <v>25</v>
      </c>
      <c r="T256" s="62">
        <f t="shared" si="187"/>
        <v>25</v>
      </c>
      <c r="U256" s="62">
        <f t="shared" si="187"/>
        <v>25</v>
      </c>
      <c r="V256" s="62">
        <f t="shared" si="187"/>
        <v>25</v>
      </c>
      <c r="W256" s="62">
        <f t="shared" ref="W256:AC258" si="188">$B236+($C236-$B236)*(1-AL236)</f>
        <v>25</v>
      </c>
      <c r="X256" s="62">
        <f t="shared" si="188"/>
        <v>25</v>
      </c>
      <c r="Y256" s="62">
        <f t="shared" si="188"/>
        <v>25</v>
      </c>
      <c r="Z256" s="62">
        <f t="shared" si="188"/>
        <v>25</v>
      </c>
      <c r="AA256" s="62">
        <f t="shared" si="188"/>
        <v>25</v>
      </c>
      <c r="AB256" s="62">
        <f t="shared" si="188"/>
        <v>25</v>
      </c>
      <c r="AC256" s="62">
        <f t="shared" si="188"/>
        <v>25</v>
      </c>
    </row>
    <row r="257" spans="1:29" x14ac:dyDescent="0.25">
      <c r="A257" s="30" t="str">
        <f t="shared" si="156"/>
        <v>Lifetime costumization</v>
      </c>
      <c r="B257" s="62">
        <f>$B237+($C237-$B237)*(1-Q237)</f>
        <v>25</v>
      </c>
      <c r="C257" s="62">
        <f t="shared" si="186"/>
        <v>25</v>
      </c>
      <c r="D257" s="62">
        <f t="shared" si="186"/>
        <v>25</v>
      </c>
      <c r="E257" s="62">
        <f t="shared" si="186"/>
        <v>25</v>
      </c>
      <c r="F257" s="62">
        <f t="shared" si="186"/>
        <v>25</v>
      </c>
      <c r="G257" s="62">
        <f t="shared" si="186"/>
        <v>25</v>
      </c>
      <c r="H257" s="62">
        <f t="shared" si="186"/>
        <v>25</v>
      </c>
      <c r="I257" s="62">
        <f t="shared" si="186"/>
        <v>25</v>
      </c>
      <c r="J257" s="62">
        <f t="shared" si="186"/>
        <v>25</v>
      </c>
      <c r="K257" s="62">
        <f t="shared" si="186"/>
        <v>25</v>
      </c>
      <c r="L257" s="62">
        <f t="shared" si="186"/>
        <v>25</v>
      </c>
      <c r="M257" s="62">
        <f t="shared" si="187"/>
        <v>25</v>
      </c>
      <c r="N257" s="62">
        <f t="shared" si="187"/>
        <v>25</v>
      </c>
      <c r="O257" s="62">
        <f t="shared" si="187"/>
        <v>25</v>
      </c>
      <c r="P257" s="62">
        <f t="shared" si="187"/>
        <v>25</v>
      </c>
      <c r="Q257" s="62">
        <f t="shared" si="187"/>
        <v>25</v>
      </c>
      <c r="R257" s="62">
        <f t="shared" si="187"/>
        <v>25</v>
      </c>
      <c r="S257" s="62">
        <f t="shared" si="187"/>
        <v>25</v>
      </c>
      <c r="T257" s="62">
        <f t="shared" si="187"/>
        <v>25</v>
      </c>
      <c r="U257" s="62">
        <f t="shared" si="187"/>
        <v>25</v>
      </c>
      <c r="V257" s="62">
        <f t="shared" si="187"/>
        <v>25</v>
      </c>
      <c r="W257" s="62">
        <f t="shared" si="188"/>
        <v>25</v>
      </c>
      <c r="X257" s="62">
        <f t="shared" si="188"/>
        <v>25</v>
      </c>
      <c r="Y257" s="62">
        <f t="shared" si="188"/>
        <v>25</v>
      </c>
      <c r="Z257" s="62">
        <f t="shared" si="188"/>
        <v>25</v>
      </c>
      <c r="AA257" s="62">
        <f t="shared" si="188"/>
        <v>25</v>
      </c>
      <c r="AB257" s="62">
        <f t="shared" si="188"/>
        <v>25</v>
      </c>
      <c r="AC257" s="62">
        <f t="shared" si="188"/>
        <v>25</v>
      </c>
    </row>
    <row r="258" spans="1:29" x14ac:dyDescent="0.25">
      <c r="A258" s="30" t="str">
        <f t="shared" si="156"/>
        <v>Tonnage .</v>
      </c>
      <c r="B258" s="62">
        <f>$B238+($C238-$B238)*(1-Q238)</f>
        <v>9450</v>
      </c>
      <c r="C258" s="62">
        <f t="shared" si="186"/>
        <v>9450</v>
      </c>
      <c r="D258" s="62">
        <f t="shared" si="186"/>
        <v>9450</v>
      </c>
      <c r="E258" s="62">
        <f t="shared" si="186"/>
        <v>9450</v>
      </c>
      <c r="F258" s="62">
        <f t="shared" si="186"/>
        <v>9450</v>
      </c>
      <c r="G258" s="62">
        <f t="shared" si="186"/>
        <v>9450</v>
      </c>
      <c r="H258" s="62">
        <f t="shared" si="186"/>
        <v>9450</v>
      </c>
      <c r="I258" s="62">
        <f t="shared" si="186"/>
        <v>9450</v>
      </c>
      <c r="J258" s="62">
        <f t="shared" si="186"/>
        <v>9450</v>
      </c>
      <c r="K258" s="62">
        <f t="shared" si="186"/>
        <v>9450</v>
      </c>
      <c r="L258" s="62">
        <f t="shared" si="186"/>
        <v>9450</v>
      </c>
      <c r="M258" s="62">
        <f t="shared" si="187"/>
        <v>9450</v>
      </c>
      <c r="N258" s="62">
        <f t="shared" si="187"/>
        <v>9450</v>
      </c>
      <c r="O258" s="62">
        <f t="shared" si="187"/>
        <v>9450</v>
      </c>
      <c r="P258" s="62">
        <f t="shared" si="187"/>
        <v>9450</v>
      </c>
      <c r="Q258" s="62">
        <f t="shared" si="187"/>
        <v>9450</v>
      </c>
      <c r="R258" s="62">
        <f t="shared" si="187"/>
        <v>9450</v>
      </c>
      <c r="S258" s="62">
        <f t="shared" si="187"/>
        <v>9450</v>
      </c>
      <c r="T258" s="62">
        <f t="shared" si="187"/>
        <v>9450</v>
      </c>
      <c r="U258" s="62">
        <f t="shared" si="187"/>
        <v>9450</v>
      </c>
      <c r="V258" s="62">
        <f t="shared" si="187"/>
        <v>9450</v>
      </c>
      <c r="W258" s="62">
        <f t="shared" si="188"/>
        <v>9450</v>
      </c>
      <c r="X258" s="62">
        <f t="shared" si="188"/>
        <v>9450</v>
      </c>
      <c r="Y258" s="62">
        <f t="shared" si="188"/>
        <v>9450</v>
      </c>
      <c r="Z258" s="62">
        <f t="shared" si="188"/>
        <v>9450</v>
      </c>
      <c r="AA258" s="62">
        <f t="shared" si="188"/>
        <v>9450</v>
      </c>
      <c r="AB258" s="62">
        <f t="shared" si="188"/>
        <v>9450</v>
      </c>
      <c r="AC258" s="62">
        <f t="shared" si="188"/>
        <v>9450</v>
      </c>
    </row>
    <row r="259" spans="1:29" x14ac:dyDescent="0.25">
      <c r="A259" s="30" t="str">
        <f t="shared" si="156"/>
        <v>Market failure (av. utilization)</v>
      </c>
      <c r="B259" s="62">
        <f t="shared" ref="B259:K260" si="189">($B239+($C239-$B239)*(1-Q239))*B$44</f>
        <v>4914</v>
      </c>
      <c r="C259" s="62">
        <f t="shared" si="189"/>
        <v>4914</v>
      </c>
      <c r="D259" s="62">
        <f t="shared" si="189"/>
        <v>4914</v>
      </c>
      <c r="E259" s="62">
        <f t="shared" si="189"/>
        <v>4914</v>
      </c>
      <c r="F259" s="62">
        <f t="shared" si="189"/>
        <v>4914</v>
      </c>
      <c r="G259" s="62">
        <f t="shared" si="189"/>
        <v>4914</v>
      </c>
      <c r="H259" s="62">
        <f t="shared" si="189"/>
        <v>4914</v>
      </c>
      <c r="I259" s="62">
        <f t="shared" si="189"/>
        <v>4914</v>
      </c>
      <c r="J259" s="62">
        <f t="shared" si="189"/>
        <v>4914</v>
      </c>
      <c r="K259" s="62">
        <f t="shared" si="189"/>
        <v>4914</v>
      </c>
      <c r="L259" s="62">
        <f t="shared" ref="L259:U260" si="190">($B239+($C239-$B239)*(1-AA239))*L$44</f>
        <v>4914</v>
      </c>
      <c r="M259" s="62">
        <f t="shared" si="190"/>
        <v>4914</v>
      </c>
      <c r="N259" s="62">
        <f t="shared" si="190"/>
        <v>4914</v>
      </c>
      <c r="O259" s="62">
        <f t="shared" si="190"/>
        <v>4914</v>
      </c>
      <c r="P259" s="62">
        <f t="shared" si="190"/>
        <v>4914</v>
      </c>
      <c r="Q259" s="62">
        <f t="shared" si="190"/>
        <v>4914</v>
      </c>
      <c r="R259" s="62">
        <f t="shared" si="190"/>
        <v>4914</v>
      </c>
      <c r="S259" s="62">
        <f t="shared" si="190"/>
        <v>4914</v>
      </c>
      <c r="T259" s="62">
        <f t="shared" si="190"/>
        <v>4914</v>
      </c>
      <c r="U259" s="62">
        <f t="shared" si="190"/>
        <v>4914</v>
      </c>
      <c r="V259" s="62">
        <f t="shared" ref="V259:AC260" si="191">($B239+($C239-$B239)*(1-AK239))*V$44</f>
        <v>4914</v>
      </c>
      <c r="W259" s="62">
        <f t="shared" si="191"/>
        <v>4914</v>
      </c>
      <c r="X259" s="62">
        <f t="shared" si="191"/>
        <v>4914</v>
      </c>
      <c r="Y259" s="62">
        <f t="shared" si="191"/>
        <v>4914</v>
      </c>
      <c r="Z259" s="62">
        <f t="shared" si="191"/>
        <v>4914</v>
      </c>
      <c r="AA259" s="62">
        <f t="shared" si="191"/>
        <v>4914</v>
      </c>
      <c r="AB259" s="62">
        <f t="shared" si="191"/>
        <v>4914</v>
      </c>
      <c r="AC259" s="62">
        <f t="shared" si="191"/>
        <v>4914</v>
      </c>
    </row>
    <row r="260" spans="1:29" x14ac:dyDescent="0.25">
      <c r="A260" s="30" t="s">
        <v>73</v>
      </c>
      <c r="B260" s="62">
        <f t="shared" si="189"/>
        <v>0</v>
      </c>
      <c r="C260" s="62">
        <f t="shared" si="189"/>
        <v>0</v>
      </c>
      <c r="D260" s="62">
        <f t="shared" si="189"/>
        <v>0</v>
      </c>
      <c r="E260" s="62">
        <f t="shared" si="189"/>
        <v>0</v>
      </c>
      <c r="F260" s="62">
        <f t="shared" si="189"/>
        <v>0</v>
      </c>
      <c r="G260" s="62">
        <f t="shared" si="189"/>
        <v>0</v>
      </c>
      <c r="H260" s="62">
        <f t="shared" si="189"/>
        <v>0</v>
      </c>
      <c r="I260" s="62">
        <f t="shared" si="189"/>
        <v>0</v>
      </c>
      <c r="J260" s="62">
        <f t="shared" si="189"/>
        <v>0</v>
      </c>
      <c r="K260" s="62">
        <f t="shared" si="189"/>
        <v>0</v>
      </c>
      <c r="L260" s="62">
        <f t="shared" si="190"/>
        <v>0</v>
      </c>
      <c r="M260" s="62">
        <f t="shared" si="190"/>
        <v>0</v>
      </c>
      <c r="N260" s="62">
        <f t="shared" si="190"/>
        <v>0</v>
      </c>
      <c r="O260" s="62">
        <f t="shared" si="190"/>
        <v>0</v>
      </c>
      <c r="P260" s="62">
        <f t="shared" si="190"/>
        <v>0</v>
      </c>
      <c r="Q260" s="62">
        <f t="shared" si="190"/>
        <v>0</v>
      </c>
      <c r="R260" s="62">
        <f t="shared" si="190"/>
        <v>0</v>
      </c>
      <c r="S260" s="62">
        <f t="shared" si="190"/>
        <v>0</v>
      </c>
      <c r="T260" s="62">
        <f t="shared" si="190"/>
        <v>0</v>
      </c>
      <c r="U260" s="62">
        <f t="shared" si="190"/>
        <v>0</v>
      </c>
      <c r="V260" s="62">
        <f t="shared" si="191"/>
        <v>0</v>
      </c>
      <c r="W260" s="62">
        <f t="shared" si="191"/>
        <v>0</v>
      </c>
      <c r="X260" s="62">
        <f t="shared" si="191"/>
        <v>0</v>
      </c>
      <c r="Y260" s="62">
        <f t="shared" si="191"/>
        <v>0</v>
      </c>
      <c r="Z260" s="62">
        <f t="shared" si="191"/>
        <v>0</v>
      </c>
      <c r="AA260" s="62">
        <f t="shared" si="191"/>
        <v>0</v>
      </c>
      <c r="AB260" s="62">
        <f t="shared" si="191"/>
        <v>0</v>
      </c>
      <c r="AC260" s="62">
        <f t="shared" si="191"/>
        <v>0</v>
      </c>
    </row>
    <row r="261" spans="1:29" x14ac:dyDescent="0.25">
      <c r="A261" s="30" t="str">
        <f>A241</f>
        <v>Annual Mileage</v>
      </c>
      <c r="B261" s="62">
        <f t="shared" ref="B261:AC261" si="192">$B241+($C241-$B241)*(1-Q241)</f>
        <v>120000</v>
      </c>
      <c r="C261" s="62">
        <f t="shared" si="192"/>
        <v>120000</v>
      </c>
      <c r="D261" s="62">
        <f t="shared" si="192"/>
        <v>120000</v>
      </c>
      <c r="E261" s="62">
        <f t="shared" si="192"/>
        <v>120000</v>
      </c>
      <c r="F261" s="62">
        <f t="shared" si="192"/>
        <v>120000</v>
      </c>
      <c r="G261" s="62">
        <f t="shared" si="192"/>
        <v>120000</v>
      </c>
      <c r="H261" s="62">
        <f t="shared" si="192"/>
        <v>120000</v>
      </c>
      <c r="I261" s="62">
        <f t="shared" si="192"/>
        <v>120000</v>
      </c>
      <c r="J261" s="62">
        <f t="shared" si="192"/>
        <v>120000</v>
      </c>
      <c r="K261" s="62">
        <f t="shared" si="192"/>
        <v>120000</v>
      </c>
      <c r="L261" s="62">
        <f t="shared" si="192"/>
        <v>120000</v>
      </c>
      <c r="M261" s="62">
        <f t="shared" si="192"/>
        <v>120000</v>
      </c>
      <c r="N261" s="62">
        <f t="shared" si="192"/>
        <v>120000</v>
      </c>
      <c r="O261" s="62">
        <f t="shared" si="192"/>
        <v>120000</v>
      </c>
      <c r="P261" s="62">
        <f t="shared" si="192"/>
        <v>120000</v>
      </c>
      <c r="Q261" s="62">
        <f t="shared" si="192"/>
        <v>120000</v>
      </c>
      <c r="R261" s="62">
        <f t="shared" si="192"/>
        <v>120000</v>
      </c>
      <c r="S261" s="62">
        <f t="shared" si="192"/>
        <v>120000</v>
      </c>
      <c r="T261" s="62">
        <f t="shared" si="192"/>
        <v>120000</v>
      </c>
      <c r="U261" s="62">
        <f t="shared" si="192"/>
        <v>120000</v>
      </c>
      <c r="V261" s="62">
        <f t="shared" si="192"/>
        <v>120000</v>
      </c>
      <c r="W261" s="62">
        <f t="shared" si="192"/>
        <v>120000</v>
      </c>
      <c r="X261" s="62">
        <f t="shared" si="192"/>
        <v>120000</v>
      </c>
      <c r="Y261" s="62">
        <f t="shared" si="192"/>
        <v>120000</v>
      </c>
      <c r="Z261" s="62">
        <f t="shared" si="192"/>
        <v>120000</v>
      </c>
      <c r="AA261" s="62">
        <f t="shared" si="192"/>
        <v>120000</v>
      </c>
      <c r="AB261" s="62">
        <f t="shared" si="192"/>
        <v>120000</v>
      </c>
      <c r="AC261" s="62">
        <f t="shared" si="192"/>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3">((1+C249)^C256)*C249/(((1+C249)^C256)-1)*(C245)</f>
        <v>1173400.7731841092</v>
      </c>
      <c r="D264" s="63">
        <f t="shared" si="193"/>
        <v>1173400.7731841092</v>
      </c>
      <c r="E264" s="63">
        <f t="shared" si="193"/>
        <v>1173400.7731841092</v>
      </c>
      <c r="F264" s="63">
        <f t="shared" si="193"/>
        <v>1173400.7731841092</v>
      </c>
      <c r="G264" s="63">
        <f t="shared" si="193"/>
        <v>1173400.7731841092</v>
      </c>
      <c r="H264" s="63">
        <f t="shared" si="193"/>
        <v>1173400.7731841092</v>
      </c>
      <c r="I264" s="63">
        <f t="shared" si="193"/>
        <v>1173400.7731841092</v>
      </c>
      <c r="J264" s="63">
        <f t="shared" si="193"/>
        <v>1173400.7731841092</v>
      </c>
      <c r="K264" s="63">
        <f t="shared" si="193"/>
        <v>1173400.7731841092</v>
      </c>
      <c r="L264" s="63">
        <f t="shared" si="193"/>
        <v>1173400.7731841092</v>
      </c>
      <c r="M264" s="63">
        <f t="shared" si="193"/>
        <v>1173400.7731841092</v>
      </c>
      <c r="N264" s="63">
        <f t="shared" si="193"/>
        <v>1173400.7731841092</v>
      </c>
      <c r="O264" s="63">
        <f t="shared" si="193"/>
        <v>1173400.7731841092</v>
      </c>
      <c r="P264" s="63">
        <f t="shared" si="193"/>
        <v>1173400.7731841092</v>
      </c>
      <c r="Q264" s="63">
        <f t="shared" si="193"/>
        <v>1173400.7731841092</v>
      </c>
      <c r="R264" s="63">
        <f t="shared" si="193"/>
        <v>1173400.7731841092</v>
      </c>
      <c r="S264" s="63">
        <f t="shared" si="193"/>
        <v>1173400.7731841092</v>
      </c>
      <c r="T264" s="63">
        <f t="shared" si="193"/>
        <v>1173400.7731841092</v>
      </c>
      <c r="U264" s="63">
        <f t="shared" si="193"/>
        <v>1173400.7731841092</v>
      </c>
      <c r="V264" s="63">
        <f t="shared" si="193"/>
        <v>1173400.7731841092</v>
      </c>
      <c r="W264" s="63">
        <f t="shared" si="193"/>
        <v>1173400.7731841092</v>
      </c>
      <c r="X264" s="63">
        <f t="shared" si="193"/>
        <v>1173400.7731841092</v>
      </c>
      <c r="Y264" s="63">
        <f t="shared" si="193"/>
        <v>1173400.7731841092</v>
      </c>
      <c r="Z264" s="63">
        <f t="shared" si="193"/>
        <v>1173400.7731841092</v>
      </c>
      <c r="AA264" s="63">
        <f t="shared" si="193"/>
        <v>1173400.7731841092</v>
      </c>
      <c r="AB264" s="63">
        <f t="shared" si="193"/>
        <v>1173400.7731841092</v>
      </c>
      <c r="AC264" s="63">
        <f t="shared" si="193"/>
        <v>1173400.7731841092</v>
      </c>
    </row>
    <row r="265" spans="1:29" x14ac:dyDescent="0.25">
      <c r="A265" s="30" t="str">
        <f>A246</f>
        <v>Residual value (vehicle)</v>
      </c>
      <c r="B265" s="62">
        <f>((1+B249)^B256)*B249/(((1+B249)^B256)-1)*(B246)</f>
        <v>-117211.22297816433</v>
      </c>
      <c r="C265" s="62">
        <f t="shared" ref="C265:AC265" si="194">((1+C249)^C256)*C249/(((1+C249)^C256)-1)*(C246)</f>
        <v>-117155.47750703427</v>
      </c>
      <c r="D265" s="62">
        <f t="shared" si="194"/>
        <v>-117075.67910674184</v>
      </c>
      <c r="E265" s="62">
        <f t="shared" si="194"/>
        <v>-116961.52188344915</v>
      </c>
      <c r="F265" s="62">
        <f t="shared" si="194"/>
        <v>-116798.36602132194</v>
      </c>
      <c r="G265" s="62">
        <f t="shared" si="194"/>
        <v>-116565.50734662244</v>
      </c>
      <c r="H265" s="62">
        <f t="shared" si="194"/>
        <v>-116233.85946736432</v>
      </c>
      <c r="I265" s="62">
        <f t="shared" si="194"/>
        <v>-115762.96702113429</v>
      </c>
      <c r="J265" s="62">
        <f t="shared" si="194"/>
        <v>-115097.40579826315</v>
      </c>
      <c r="K265" s="62">
        <f t="shared" si="194"/>
        <v>-114162.96984907117</v>
      </c>
      <c r="L265" s="62">
        <f t="shared" si="194"/>
        <v>-112863.76466894078</v>
      </c>
      <c r="M265" s="62">
        <f t="shared" si="194"/>
        <v>-111082.60297034449</v>
      </c>
      <c r="N265" s="62">
        <f t="shared" si="194"/>
        <v>-108688.91250900239</v>
      </c>
      <c r="O265" s="62">
        <f t="shared" si="194"/>
        <v>-105559.89664903973</v>
      </c>
      <c r="P265" s="62">
        <f t="shared" si="194"/>
        <v>-101619.43004574107</v>
      </c>
      <c r="Q265" s="62">
        <f t="shared" si="194"/>
        <v>-96890.983232894243</v>
      </c>
      <c r="R265" s="62">
        <f t="shared" si="194"/>
        <v>-91544.180152521745</v>
      </c>
      <c r="S265" s="62">
        <f t="shared" si="194"/>
        <v>-85899.582077953528</v>
      </c>
      <c r="T265" s="62">
        <f t="shared" si="194"/>
        <v>-80366.059135568226</v>
      </c>
      <c r="U265" s="62">
        <f t="shared" si="194"/>
        <v>-75328.779301543953</v>
      </c>
      <c r="V265" s="62">
        <f t="shared" si="194"/>
        <v>-71047.808765066002</v>
      </c>
      <c r="W265" s="62">
        <f t="shared" si="194"/>
        <v>-67619.518043732241</v>
      </c>
      <c r="X265" s="62">
        <f t="shared" si="194"/>
        <v>-65003.580064954105</v>
      </c>
      <c r="Y265" s="62">
        <f t="shared" si="194"/>
        <v>-63080.655852023017</v>
      </c>
      <c r="Z265" s="62">
        <f t="shared" si="194"/>
        <v>-61705.792858076449</v>
      </c>
      <c r="AA265" s="62">
        <f t="shared" si="194"/>
        <v>-60742.216938606354</v>
      </c>
      <c r="AB265" s="62">
        <f t="shared" si="194"/>
        <v>-60076.3267522479</v>
      </c>
      <c r="AC265" s="62">
        <f t="shared" si="194"/>
        <v>-59620.624915142049</v>
      </c>
    </row>
    <row r="266" spans="1:29" x14ac:dyDescent="0.25">
      <c r="A266" s="30" t="str">
        <f>A247</f>
        <v>Capex costumization</v>
      </c>
      <c r="B266" s="62">
        <f>((1+B249)^B257)*B249/(((1+B249)^B257)-1)*(B247)</f>
        <v>78226.718212273947</v>
      </c>
      <c r="C266" s="62">
        <f t="shared" ref="C266:AC266" si="195">((1+C249)^C257)*C249/(((1+C249)^C257)-1)*(C247)</f>
        <v>78226.718212273947</v>
      </c>
      <c r="D266" s="62">
        <f t="shared" si="195"/>
        <v>78226.718212273947</v>
      </c>
      <c r="E266" s="62">
        <f t="shared" si="195"/>
        <v>78226.718212273947</v>
      </c>
      <c r="F266" s="62">
        <f t="shared" si="195"/>
        <v>78226.718212273947</v>
      </c>
      <c r="G266" s="62">
        <f t="shared" si="195"/>
        <v>78226.718212273947</v>
      </c>
      <c r="H266" s="62">
        <f t="shared" si="195"/>
        <v>78226.718212273947</v>
      </c>
      <c r="I266" s="62">
        <f t="shared" si="195"/>
        <v>78226.718212273947</v>
      </c>
      <c r="J266" s="62">
        <f t="shared" si="195"/>
        <v>78226.718212273947</v>
      </c>
      <c r="K266" s="62">
        <f t="shared" si="195"/>
        <v>78226.718212273947</v>
      </c>
      <c r="L266" s="62">
        <f t="shared" si="195"/>
        <v>78226.718212273947</v>
      </c>
      <c r="M266" s="62">
        <f t="shared" si="195"/>
        <v>78226.718212273947</v>
      </c>
      <c r="N266" s="62">
        <f t="shared" si="195"/>
        <v>78226.718212273947</v>
      </c>
      <c r="O266" s="62">
        <f t="shared" si="195"/>
        <v>78226.718212273947</v>
      </c>
      <c r="P266" s="62">
        <f t="shared" si="195"/>
        <v>78226.718212273947</v>
      </c>
      <c r="Q266" s="62">
        <f t="shared" si="195"/>
        <v>78226.718212273947</v>
      </c>
      <c r="R266" s="62">
        <f t="shared" si="195"/>
        <v>78226.718212273947</v>
      </c>
      <c r="S266" s="62">
        <f t="shared" si="195"/>
        <v>78226.718212273947</v>
      </c>
      <c r="T266" s="62">
        <f t="shared" si="195"/>
        <v>78226.718212273947</v>
      </c>
      <c r="U266" s="62">
        <f t="shared" si="195"/>
        <v>78226.718212273947</v>
      </c>
      <c r="V266" s="62">
        <f t="shared" si="195"/>
        <v>78226.718212273947</v>
      </c>
      <c r="W266" s="62">
        <f t="shared" si="195"/>
        <v>78226.718212273947</v>
      </c>
      <c r="X266" s="62">
        <f t="shared" si="195"/>
        <v>78226.718212273947</v>
      </c>
      <c r="Y266" s="62">
        <f t="shared" si="195"/>
        <v>78226.718212273947</v>
      </c>
      <c r="Z266" s="62">
        <f t="shared" si="195"/>
        <v>78226.718212273947</v>
      </c>
      <c r="AA266" s="62">
        <f t="shared" si="195"/>
        <v>78226.718212273947</v>
      </c>
      <c r="AB266" s="62">
        <f t="shared" si="195"/>
        <v>78226.718212273947</v>
      </c>
      <c r="AC266" s="62">
        <f t="shared" si="195"/>
        <v>78226.718212273947</v>
      </c>
    </row>
    <row r="267" spans="1:29" x14ac:dyDescent="0.25">
      <c r="A267" s="30" t="str">
        <f>A248</f>
        <v>Residual value (costumization)</v>
      </c>
      <c r="B267" s="62">
        <f>((1+B249)^B257)*B249/(((1+B249)^B257)-1)*(B248)</f>
        <v>-7822.6718212273945</v>
      </c>
      <c r="C267" s="62">
        <f t="shared" ref="C267:AC267" si="196">((1+C249)^C257)*C249/(((1+C249)^C257)-1)*(C248)</f>
        <v>-7822.6718212273945</v>
      </c>
      <c r="D267" s="62">
        <f t="shared" si="196"/>
        <v>-7822.6718212273945</v>
      </c>
      <c r="E267" s="62">
        <f t="shared" si="196"/>
        <v>-7822.6718212273945</v>
      </c>
      <c r="F267" s="62">
        <f t="shared" si="196"/>
        <v>-7822.6718212273945</v>
      </c>
      <c r="G267" s="62">
        <f t="shared" si="196"/>
        <v>-7822.6718212273945</v>
      </c>
      <c r="H267" s="62">
        <f t="shared" si="196"/>
        <v>-7822.6718212273945</v>
      </c>
      <c r="I267" s="62">
        <f t="shared" si="196"/>
        <v>-7822.6718212273945</v>
      </c>
      <c r="J267" s="62">
        <f t="shared" si="196"/>
        <v>-7822.6718212273945</v>
      </c>
      <c r="K267" s="62">
        <f t="shared" si="196"/>
        <v>-7822.6718212273945</v>
      </c>
      <c r="L267" s="62">
        <f t="shared" si="196"/>
        <v>-7822.6718212273945</v>
      </c>
      <c r="M267" s="62">
        <f t="shared" si="196"/>
        <v>-7822.6718212273945</v>
      </c>
      <c r="N267" s="62">
        <f t="shared" si="196"/>
        <v>-7822.6718212273945</v>
      </c>
      <c r="O267" s="62">
        <f t="shared" si="196"/>
        <v>-7822.6718212273945</v>
      </c>
      <c r="P267" s="62">
        <f t="shared" si="196"/>
        <v>-7822.6718212273945</v>
      </c>
      <c r="Q267" s="62">
        <f t="shared" si="196"/>
        <v>-7822.6718212273945</v>
      </c>
      <c r="R267" s="62">
        <f t="shared" si="196"/>
        <v>-7822.6718212273945</v>
      </c>
      <c r="S267" s="62">
        <f t="shared" si="196"/>
        <v>-7822.6718212273945</v>
      </c>
      <c r="T267" s="62">
        <f t="shared" si="196"/>
        <v>-7822.6718212273945</v>
      </c>
      <c r="U267" s="62">
        <f t="shared" si="196"/>
        <v>-7822.6718212273945</v>
      </c>
      <c r="V267" s="62">
        <f t="shared" si="196"/>
        <v>-7822.6718212273945</v>
      </c>
      <c r="W267" s="62">
        <f t="shared" si="196"/>
        <v>-7822.6718212273945</v>
      </c>
      <c r="X267" s="62">
        <f t="shared" si="196"/>
        <v>-7822.6718212273945</v>
      </c>
      <c r="Y267" s="62">
        <f t="shared" si="196"/>
        <v>-7822.6718212273945</v>
      </c>
      <c r="Z267" s="62">
        <f t="shared" si="196"/>
        <v>-7822.6718212273945</v>
      </c>
      <c r="AA267" s="62">
        <f t="shared" si="196"/>
        <v>-7822.6718212273945</v>
      </c>
      <c r="AB267" s="62">
        <f t="shared" si="196"/>
        <v>-7822.6718212273945</v>
      </c>
      <c r="AC267" s="62">
        <f t="shared" si="196"/>
        <v>-7822.6718212273945</v>
      </c>
    </row>
    <row r="268" spans="1:29" x14ac:dyDescent="0.25">
      <c r="A268" s="30" t="str">
        <f t="shared" ref="A268:AC268" si="197">A250</f>
        <v>Opex fix (admin, crew, insurance)</v>
      </c>
      <c r="B268" s="62">
        <f t="shared" si="197"/>
        <v>1208235.294117647</v>
      </c>
      <c r="C268" s="62">
        <f t="shared" si="197"/>
        <v>1208235.294117647</v>
      </c>
      <c r="D268" s="62">
        <f t="shared" si="197"/>
        <v>1208235.294117647</v>
      </c>
      <c r="E268" s="62">
        <f t="shared" si="197"/>
        <v>1208235.294117647</v>
      </c>
      <c r="F268" s="62">
        <f t="shared" si="197"/>
        <v>1208235.294117647</v>
      </c>
      <c r="G268" s="62">
        <f t="shared" si="197"/>
        <v>1208235.294117647</v>
      </c>
      <c r="H268" s="62">
        <f t="shared" si="197"/>
        <v>1208235.294117647</v>
      </c>
      <c r="I268" s="62">
        <f t="shared" si="197"/>
        <v>1208235.294117647</v>
      </c>
      <c r="J268" s="62">
        <f t="shared" si="197"/>
        <v>1208235.294117647</v>
      </c>
      <c r="K268" s="62">
        <f t="shared" si="197"/>
        <v>1208235.294117647</v>
      </c>
      <c r="L268" s="62">
        <f t="shared" si="197"/>
        <v>1208235.294117647</v>
      </c>
      <c r="M268" s="62">
        <f t="shared" si="197"/>
        <v>1208235.294117647</v>
      </c>
      <c r="N268" s="62">
        <f t="shared" si="197"/>
        <v>1208235.294117647</v>
      </c>
      <c r="O268" s="62">
        <f t="shared" si="197"/>
        <v>1208235.294117647</v>
      </c>
      <c r="P268" s="62">
        <f t="shared" si="197"/>
        <v>1208235.294117647</v>
      </c>
      <c r="Q268" s="62">
        <f t="shared" si="197"/>
        <v>1208235.294117647</v>
      </c>
      <c r="R268" s="62">
        <f t="shared" si="197"/>
        <v>1208235.294117647</v>
      </c>
      <c r="S268" s="62">
        <f t="shared" si="197"/>
        <v>1208235.294117647</v>
      </c>
      <c r="T268" s="62">
        <f t="shared" si="197"/>
        <v>1208235.294117647</v>
      </c>
      <c r="U268" s="62">
        <f t="shared" si="197"/>
        <v>1208235.294117647</v>
      </c>
      <c r="V268" s="62">
        <f t="shared" si="197"/>
        <v>1208235.294117647</v>
      </c>
      <c r="W268" s="62">
        <f t="shared" si="197"/>
        <v>1208235.294117647</v>
      </c>
      <c r="X268" s="62">
        <f t="shared" si="197"/>
        <v>1208235.294117647</v>
      </c>
      <c r="Y268" s="62">
        <f t="shared" si="197"/>
        <v>1208235.294117647</v>
      </c>
      <c r="Z268" s="62">
        <f t="shared" si="197"/>
        <v>1208235.294117647</v>
      </c>
      <c r="AA268" s="62">
        <f t="shared" si="197"/>
        <v>1208235.294117647</v>
      </c>
      <c r="AB268" s="62">
        <f t="shared" si="197"/>
        <v>1208235.294117647</v>
      </c>
      <c r="AC268" s="62">
        <f t="shared" si="197"/>
        <v>1208235.294117647</v>
      </c>
    </row>
    <row r="269" spans="1:29" x14ac:dyDescent="0.25">
      <c r="A269" s="30" t="str">
        <f t="shared" ref="A269:AC269" si="198">A251</f>
        <v>Opex maintenance &amp; repair</v>
      </c>
      <c r="B269" s="62">
        <f t="shared" si="198"/>
        <v>488235.29411764705</v>
      </c>
      <c r="C269" s="62">
        <f t="shared" si="198"/>
        <v>488235.29411764705</v>
      </c>
      <c r="D269" s="62">
        <f t="shared" si="198"/>
        <v>488235.29411764705</v>
      </c>
      <c r="E269" s="62">
        <f t="shared" si="198"/>
        <v>488235.29411764705</v>
      </c>
      <c r="F269" s="62">
        <f t="shared" si="198"/>
        <v>488235.29411764705</v>
      </c>
      <c r="G269" s="62">
        <f t="shared" si="198"/>
        <v>488235.29411764705</v>
      </c>
      <c r="H269" s="62">
        <f t="shared" si="198"/>
        <v>488235.29411764705</v>
      </c>
      <c r="I269" s="62">
        <f t="shared" si="198"/>
        <v>488235.29411764705</v>
      </c>
      <c r="J269" s="62">
        <f t="shared" si="198"/>
        <v>488235.29411764705</v>
      </c>
      <c r="K269" s="62">
        <f t="shared" si="198"/>
        <v>488235.29411764705</v>
      </c>
      <c r="L269" s="62">
        <f t="shared" si="198"/>
        <v>488235.29411764705</v>
      </c>
      <c r="M269" s="62">
        <f t="shared" si="198"/>
        <v>488235.29411764705</v>
      </c>
      <c r="N269" s="62">
        <f t="shared" si="198"/>
        <v>488235.29411764705</v>
      </c>
      <c r="O269" s="62">
        <f t="shared" si="198"/>
        <v>488235.29411764705</v>
      </c>
      <c r="P269" s="62">
        <f t="shared" si="198"/>
        <v>488235.29411764705</v>
      </c>
      <c r="Q269" s="62">
        <f t="shared" si="198"/>
        <v>488235.29411764705</v>
      </c>
      <c r="R269" s="62">
        <f t="shared" si="198"/>
        <v>488235.29411764705</v>
      </c>
      <c r="S269" s="62">
        <f t="shared" si="198"/>
        <v>488235.29411764705</v>
      </c>
      <c r="T269" s="62">
        <f t="shared" si="198"/>
        <v>488235.29411764705</v>
      </c>
      <c r="U269" s="62">
        <f t="shared" si="198"/>
        <v>488235.29411764705</v>
      </c>
      <c r="V269" s="62">
        <f t="shared" si="198"/>
        <v>488235.29411764705</v>
      </c>
      <c r="W269" s="62">
        <f t="shared" si="198"/>
        <v>488235.29411764705</v>
      </c>
      <c r="X269" s="62">
        <f t="shared" si="198"/>
        <v>488235.29411764705</v>
      </c>
      <c r="Y269" s="62">
        <f t="shared" si="198"/>
        <v>488235.29411764705</v>
      </c>
      <c r="Z269" s="62">
        <f t="shared" si="198"/>
        <v>488235.29411764705</v>
      </c>
      <c r="AA269" s="62">
        <f t="shared" si="198"/>
        <v>488235.29411764705</v>
      </c>
      <c r="AB269" s="62">
        <f t="shared" si="198"/>
        <v>488235.29411764705</v>
      </c>
      <c r="AC269" s="62">
        <f t="shared" si="198"/>
        <v>488235.29411764705</v>
      </c>
    </row>
    <row r="270" spans="1:29" x14ac:dyDescent="0.25">
      <c r="A270" s="30" t="str">
        <f>A252</f>
        <v>Opex var (mode-fees)</v>
      </c>
      <c r="B270" s="62">
        <f>B252*B261</f>
        <v>97536.682916217906</v>
      </c>
      <c r="C270" s="62">
        <f t="shared" ref="C270:AC270" si="199">C252*C261</f>
        <v>97536.682916217906</v>
      </c>
      <c r="D270" s="62">
        <f t="shared" si="199"/>
        <v>97536.682916217906</v>
      </c>
      <c r="E270" s="62">
        <f t="shared" si="199"/>
        <v>97536.682916217906</v>
      </c>
      <c r="F270" s="62">
        <f t="shared" si="199"/>
        <v>97536.682916217906</v>
      </c>
      <c r="G270" s="62">
        <f t="shared" si="199"/>
        <v>97536.682916217906</v>
      </c>
      <c r="H270" s="62">
        <f t="shared" si="199"/>
        <v>97536.682916217906</v>
      </c>
      <c r="I270" s="62">
        <f t="shared" si="199"/>
        <v>97536.682916217906</v>
      </c>
      <c r="J270" s="62">
        <f t="shared" si="199"/>
        <v>97536.682916217906</v>
      </c>
      <c r="K270" s="62">
        <f t="shared" si="199"/>
        <v>97536.682916217906</v>
      </c>
      <c r="L270" s="62">
        <f t="shared" si="199"/>
        <v>97536.682916217906</v>
      </c>
      <c r="M270" s="62">
        <f t="shared" si="199"/>
        <v>97536.682916217906</v>
      </c>
      <c r="N270" s="62">
        <f t="shared" si="199"/>
        <v>97536.682916217906</v>
      </c>
      <c r="O270" s="62">
        <f t="shared" si="199"/>
        <v>97536.682916217906</v>
      </c>
      <c r="P270" s="62">
        <f t="shared" si="199"/>
        <v>97536.682916217906</v>
      </c>
      <c r="Q270" s="62">
        <f t="shared" si="199"/>
        <v>97536.682916217906</v>
      </c>
      <c r="R270" s="62">
        <f t="shared" si="199"/>
        <v>97536.682916217906</v>
      </c>
      <c r="S270" s="62">
        <f t="shared" si="199"/>
        <v>97536.682916217906</v>
      </c>
      <c r="T270" s="62">
        <f t="shared" si="199"/>
        <v>97536.682916217906</v>
      </c>
      <c r="U270" s="62">
        <f t="shared" si="199"/>
        <v>97536.682916217906</v>
      </c>
      <c r="V270" s="62">
        <f t="shared" si="199"/>
        <v>97536.682916217906</v>
      </c>
      <c r="W270" s="62">
        <f t="shared" si="199"/>
        <v>97536.682916217906</v>
      </c>
      <c r="X270" s="62">
        <f t="shared" si="199"/>
        <v>97536.682916217906</v>
      </c>
      <c r="Y270" s="62">
        <f t="shared" si="199"/>
        <v>97536.682916217906</v>
      </c>
      <c r="Z270" s="62">
        <f t="shared" si="199"/>
        <v>97536.682916217906</v>
      </c>
      <c r="AA270" s="62">
        <f t="shared" si="199"/>
        <v>97536.682916217906</v>
      </c>
      <c r="AB270" s="62">
        <f t="shared" si="199"/>
        <v>97536.682916217906</v>
      </c>
      <c r="AC270" s="62">
        <f t="shared" si="199"/>
        <v>97536.682916217906</v>
      </c>
    </row>
    <row r="271" spans="1:29" x14ac:dyDescent="0.25">
      <c r="A271" s="30" t="str">
        <f>A254</f>
        <v>Fuel Cost</v>
      </c>
      <c r="B271" s="62">
        <f>B253*B254*B261</f>
        <v>4498618.0304829236</v>
      </c>
      <c r="C271" s="62">
        <f t="shared" ref="C271:AC271" si="200">C253*C254*C261</f>
        <v>4188079.3759353086</v>
      </c>
      <c r="D271" s="62">
        <f t="shared" si="200"/>
        <v>3877468.0419729641</v>
      </c>
      <c r="E271" s="62">
        <f t="shared" si="200"/>
        <v>3566766.217460895</v>
      </c>
      <c r="F271" s="62">
        <f t="shared" si="200"/>
        <v>3255954.4458860727</v>
      </c>
      <c r="G271" s="62">
        <f t="shared" si="200"/>
        <v>2945013.6349047427</v>
      </c>
      <c r="H271" s="62">
        <f t="shared" si="200"/>
        <v>2633929.1365398113</v>
      </c>
      <c r="I271" s="62">
        <f t="shared" si="200"/>
        <v>2322698.2431000774</v>
      </c>
      <c r="J271" s="62">
        <f t="shared" si="200"/>
        <v>2273812.2520016357</v>
      </c>
      <c r="K271" s="62">
        <f t="shared" si="200"/>
        <v>2224260.4832576048</v>
      </c>
      <c r="L271" s="62">
        <f t="shared" si="200"/>
        <v>2173830.4324544049</v>
      </c>
      <c r="M271" s="62">
        <f t="shared" si="200"/>
        <v>2122275.575613555</v>
      </c>
      <c r="N271" s="62">
        <f t="shared" si="200"/>
        <v>2069342.0583988025</v>
      </c>
      <c r="O271" s="62">
        <f t="shared" si="200"/>
        <v>2014826.1691024788</v>
      </c>
      <c r="P271" s="62">
        <f t="shared" si="200"/>
        <v>1958668.2716916476</v>
      </c>
      <c r="Q271" s="62">
        <f t="shared" si="200"/>
        <v>1901067.0088093535</v>
      </c>
      <c r="R271" s="62">
        <f t="shared" si="200"/>
        <v>1842559.9816717752</v>
      </c>
      <c r="S271" s="62">
        <f t="shared" si="200"/>
        <v>1783992.1296651261</v>
      </c>
      <c r="T271" s="62">
        <f t="shared" si="200"/>
        <v>1726331.4306318762</v>
      </c>
      <c r="U271" s="62">
        <f t="shared" si="200"/>
        <v>1670398.7763802267</v>
      </c>
      <c r="V271" s="62">
        <f t="shared" si="200"/>
        <v>1616659.5725604114</v>
      </c>
      <c r="W271" s="62">
        <f t="shared" si="200"/>
        <v>1565180.5165969562</v>
      </c>
      <c r="X271" s="62">
        <f t="shared" si="200"/>
        <v>1515731.5068314851</v>
      </c>
      <c r="Y271" s="62">
        <f t="shared" si="200"/>
        <v>1467937.8982067783</v>
      </c>
      <c r="Z271" s="62">
        <f t="shared" si="200"/>
        <v>1421404.470279735</v>
      </c>
      <c r="AA271" s="62">
        <f t="shared" si="200"/>
        <v>1375784.7961731155</v>
      </c>
      <c r="AB271" s="62">
        <f t="shared" si="200"/>
        <v>1330805.4504176688</v>
      </c>
      <c r="AC271" s="62">
        <f t="shared" si="200"/>
        <v>1286264.2796700606</v>
      </c>
    </row>
    <row r="272" spans="1:29" ht="15.75" thickBot="1" x14ac:dyDescent="0.3">
      <c r="A272" s="59" t="str">
        <f>A235</f>
        <v>Emission Cost</v>
      </c>
      <c r="B272" s="62">
        <f>B255*B261</f>
        <v>0</v>
      </c>
      <c r="C272" s="62">
        <f t="shared" ref="C272:AC272" si="201">C255*C261</f>
        <v>0</v>
      </c>
      <c r="D272" s="62">
        <f t="shared" si="201"/>
        <v>0</v>
      </c>
      <c r="E272" s="62">
        <f t="shared" si="201"/>
        <v>0</v>
      </c>
      <c r="F272" s="62">
        <f t="shared" si="201"/>
        <v>0</v>
      </c>
      <c r="G272" s="62">
        <f t="shared" si="201"/>
        <v>0</v>
      </c>
      <c r="H272" s="62">
        <f t="shared" si="201"/>
        <v>0</v>
      </c>
      <c r="I272" s="62">
        <f t="shared" si="201"/>
        <v>0</v>
      </c>
      <c r="J272" s="62">
        <f t="shared" si="201"/>
        <v>0</v>
      </c>
      <c r="K272" s="62">
        <f t="shared" si="201"/>
        <v>0</v>
      </c>
      <c r="L272" s="62">
        <f t="shared" si="201"/>
        <v>0</v>
      </c>
      <c r="M272" s="62">
        <f t="shared" si="201"/>
        <v>0</v>
      </c>
      <c r="N272" s="62">
        <f t="shared" si="201"/>
        <v>0</v>
      </c>
      <c r="O272" s="62">
        <f t="shared" si="201"/>
        <v>0</v>
      </c>
      <c r="P272" s="62">
        <f t="shared" si="201"/>
        <v>0</v>
      </c>
      <c r="Q272" s="62">
        <f t="shared" si="201"/>
        <v>0</v>
      </c>
      <c r="R272" s="62">
        <f t="shared" si="201"/>
        <v>0</v>
      </c>
      <c r="S272" s="62">
        <f t="shared" si="201"/>
        <v>0</v>
      </c>
      <c r="T272" s="62">
        <f t="shared" si="201"/>
        <v>0</v>
      </c>
      <c r="U272" s="62">
        <f t="shared" si="201"/>
        <v>0</v>
      </c>
      <c r="V272" s="62">
        <f t="shared" si="201"/>
        <v>0</v>
      </c>
      <c r="W272" s="62">
        <f t="shared" si="201"/>
        <v>0</v>
      </c>
      <c r="X272" s="62">
        <f t="shared" si="201"/>
        <v>0</v>
      </c>
      <c r="Y272" s="62">
        <f t="shared" si="201"/>
        <v>0</v>
      </c>
      <c r="Z272" s="62">
        <f t="shared" si="201"/>
        <v>0</v>
      </c>
      <c r="AA272" s="62">
        <f t="shared" si="201"/>
        <v>0</v>
      </c>
      <c r="AB272" s="62">
        <f t="shared" si="201"/>
        <v>0</v>
      </c>
      <c r="AC272" s="62">
        <f t="shared" si="201"/>
        <v>0</v>
      </c>
    </row>
    <row r="273" spans="1:29" ht="15.75" thickBot="1" x14ac:dyDescent="0.3">
      <c r="A273" s="31" t="s">
        <v>209</v>
      </c>
      <c r="B273" s="64">
        <f>B264+B265+B266+B267+B268+B269+B270+B271+B272</f>
        <v>7419218.8982314281</v>
      </c>
      <c r="C273" s="64">
        <f t="shared" ref="C273:AC273" si="202">C264+C265+C266+C267+C268+C269+C270+C271+C272</f>
        <v>7108735.9891549423</v>
      </c>
      <c r="D273" s="64">
        <f t="shared" si="202"/>
        <v>6798204.4535928909</v>
      </c>
      <c r="E273" s="64">
        <f t="shared" si="202"/>
        <v>6487616.7863041144</v>
      </c>
      <c r="F273" s="64">
        <f t="shared" si="202"/>
        <v>6176968.1705914196</v>
      </c>
      <c r="G273" s="64">
        <f t="shared" si="202"/>
        <v>5866260.2182847885</v>
      </c>
      <c r="H273" s="64">
        <f t="shared" si="202"/>
        <v>5555507.3677991144</v>
      </c>
      <c r="I273" s="64">
        <f t="shared" si="202"/>
        <v>5244747.3668056112</v>
      </c>
      <c r="J273" s="64">
        <f t="shared" si="202"/>
        <v>5196526.9369300399</v>
      </c>
      <c r="K273" s="64">
        <f t="shared" si="202"/>
        <v>5147909.6041352022</v>
      </c>
      <c r="L273" s="64">
        <f t="shared" si="202"/>
        <v>5098778.7585121319</v>
      </c>
      <c r="M273" s="64">
        <f t="shared" si="202"/>
        <v>5049005.0633698786</v>
      </c>
      <c r="N273" s="64">
        <f t="shared" si="202"/>
        <v>4998465.2366164681</v>
      </c>
      <c r="O273" s="64">
        <f t="shared" si="202"/>
        <v>4947078.3631801065</v>
      </c>
      <c r="P273" s="64">
        <f t="shared" si="202"/>
        <v>4894860.9323725747</v>
      </c>
      <c r="Q273" s="64">
        <f t="shared" si="202"/>
        <v>4841988.1163031273</v>
      </c>
      <c r="R273" s="64">
        <f t="shared" si="202"/>
        <v>4788827.8922459213</v>
      </c>
      <c r="S273" s="64">
        <f t="shared" si="202"/>
        <v>4735904.6383138411</v>
      </c>
      <c r="T273" s="64">
        <f t="shared" si="202"/>
        <v>4683777.4622229757</v>
      </c>
      <c r="U273" s="64">
        <f t="shared" si="202"/>
        <v>4632882.0878053503</v>
      </c>
      <c r="V273" s="64">
        <f t="shared" si="202"/>
        <v>4583423.8545220131</v>
      </c>
      <c r="W273" s="64">
        <f t="shared" si="202"/>
        <v>4535373.0892798919</v>
      </c>
      <c r="X273" s="64">
        <f t="shared" si="202"/>
        <v>4488540.0174931996</v>
      </c>
      <c r="Y273" s="64">
        <f t="shared" si="202"/>
        <v>4442669.3330814233</v>
      </c>
      <c r="Z273" s="64">
        <f t="shared" si="202"/>
        <v>4397510.7681483263</v>
      </c>
      <c r="AA273" s="64">
        <f t="shared" si="202"/>
        <v>4352854.6699611768</v>
      </c>
      <c r="AB273" s="64">
        <f t="shared" si="202"/>
        <v>4308541.2143920893</v>
      </c>
      <c r="AC273" s="64">
        <f t="shared" si="202"/>
        <v>4264455.7454815861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3">A264</f>
        <v>Capex vehicle</v>
      </c>
      <c r="B276" s="65">
        <f>((1+B249)^B256)*B249/(((1+B249)^B256)-1)*(B245)/B261</f>
        <v>9.7783397765342439</v>
      </c>
      <c r="C276" s="65">
        <f t="shared" ref="C276:AC276" si="204">((1+C249)^C256)*C249/(((1+C249)^C256)-1)*(C245)/C261</f>
        <v>9.7783397765342439</v>
      </c>
      <c r="D276" s="65">
        <f t="shared" si="204"/>
        <v>9.7783397765342439</v>
      </c>
      <c r="E276" s="65">
        <f t="shared" si="204"/>
        <v>9.7783397765342439</v>
      </c>
      <c r="F276" s="65">
        <f t="shared" si="204"/>
        <v>9.7783397765342439</v>
      </c>
      <c r="G276" s="65">
        <f t="shared" si="204"/>
        <v>9.7783397765342439</v>
      </c>
      <c r="H276" s="65">
        <f t="shared" si="204"/>
        <v>9.7783397765342439</v>
      </c>
      <c r="I276" s="65">
        <f t="shared" si="204"/>
        <v>9.7783397765342439</v>
      </c>
      <c r="J276" s="65">
        <f t="shared" si="204"/>
        <v>9.7783397765342439</v>
      </c>
      <c r="K276" s="65">
        <f t="shared" si="204"/>
        <v>9.7783397765342439</v>
      </c>
      <c r="L276" s="65">
        <f t="shared" si="204"/>
        <v>9.7783397765342439</v>
      </c>
      <c r="M276" s="65">
        <f t="shared" si="204"/>
        <v>9.7783397765342439</v>
      </c>
      <c r="N276" s="65">
        <f t="shared" si="204"/>
        <v>9.7783397765342439</v>
      </c>
      <c r="O276" s="65">
        <f t="shared" si="204"/>
        <v>9.7783397765342439</v>
      </c>
      <c r="P276" s="65">
        <f t="shared" si="204"/>
        <v>9.7783397765342439</v>
      </c>
      <c r="Q276" s="65">
        <f t="shared" si="204"/>
        <v>9.7783397765342439</v>
      </c>
      <c r="R276" s="65">
        <f t="shared" si="204"/>
        <v>9.7783397765342439</v>
      </c>
      <c r="S276" s="65">
        <f t="shared" si="204"/>
        <v>9.7783397765342439</v>
      </c>
      <c r="T276" s="65">
        <f t="shared" si="204"/>
        <v>9.7783397765342439</v>
      </c>
      <c r="U276" s="65">
        <f t="shared" si="204"/>
        <v>9.7783397765342439</v>
      </c>
      <c r="V276" s="65">
        <f t="shared" si="204"/>
        <v>9.7783397765342439</v>
      </c>
      <c r="W276" s="65">
        <f t="shared" si="204"/>
        <v>9.7783397765342439</v>
      </c>
      <c r="X276" s="65">
        <f t="shared" si="204"/>
        <v>9.7783397765342439</v>
      </c>
      <c r="Y276" s="65">
        <f t="shared" si="204"/>
        <v>9.7783397765342439</v>
      </c>
      <c r="Z276" s="65">
        <f t="shared" si="204"/>
        <v>9.7783397765342439</v>
      </c>
      <c r="AA276" s="65">
        <f t="shared" si="204"/>
        <v>9.7783397765342439</v>
      </c>
      <c r="AB276" s="65">
        <f t="shared" si="204"/>
        <v>9.7783397765342439</v>
      </c>
      <c r="AC276" s="65">
        <f t="shared" si="204"/>
        <v>9.7783397765342439</v>
      </c>
    </row>
    <row r="277" spans="1:29" x14ac:dyDescent="0.25">
      <c r="A277" s="30" t="str">
        <f t="shared" si="203"/>
        <v>Residual value (vehicle)</v>
      </c>
      <c r="B277" s="66">
        <f>((1+B249)^B256)*B249/(((1+B249)^B256)-1)*(B246)/B261</f>
        <v>-0.97676019148470272</v>
      </c>
      <c r="C277" s="66">
        <f t="shared" ref="C277:AC277" si="205">((1+C249)^C256)*C249/(((1+C249)^C256)-1)*(C246)/C261</f>
        <v>-0.97629564589195228</v>
      </c>
      <c r="D277" s="66">
        <f t="shared" si="205"/>
        <v>-0.97563065922284864</v>
      </c>
      <c r="E277" s="66">
        <f t="shared" si="205"/>
        <v>-0.97467934902874298</v>
      </c>
      <c r="F277" s="66">
        <f t="shared" si="205"/>
        <v>-0.97331971684434948</v>
      </c>
      <c r="G277" s="66">
        <f t="shared" si="205"/>
        <v>-0.97137922788852038</v>
      </c>
      <c r="H277" s="66">
        <f t="shared" si="205"/>
        <v>-0.96861549556136939</v>
      </c>
      <c r="I277" s="66">
        <f t="shared" si="205"/>
        <v>-0.96469139184278574</v>
      </c>
      <c r="J277" s="66">
        <f t="shared" si="205"/>
        <v>-0.95914504831885961</v>
      </c>
      <c r="K277" s="66">
        <f t="shared" si="205"/>
        <v>-0.95135808207559314</v>
      </c>
      <c r="L277" s="66">
        <f t="shared" si="205"/>
        <v>-0.94053137224117322</v>
      </c>
      <c r="M277" s="66">
        <f t="shared" si="205"/>
        <v>-0.92568835808620409</v>
      </c>
      <c r="N277" s="66">
        <f t="shared" si="205"/>
        <v>-0.90574093757501994</v>
      </c>
      <c r="O277" s="66">
        <f t="shared" si="205"/>
        <v>-0.87966580540866446</v>
      </c>
      <c r="P277" s="66">
        <f t="shared" si="205"/>
        <v>-0.84682858371450898</v>
      </c>
      <c r="Q277" s="66">
        <f t="shared" si="205"/>
        <v>-0.80742486027411864</v>
      </c>
      <c r="R277" s="66">
        <f t="shared" si="205"/>
        <v>-0.7628681679376812</v>
      </c>
      <c r="S277" s="66">
        <f t="shared" si="205"/>
        <v>-0.71582985064961269</v>
      </c>
      <c r="T277" s="66">
        <f t="shared" si="205"/>
        <v>-0.66971715946306853</v>
      </c>
      <c r="U277" s="66">
        <f t="shared" si="205"/>
        <v>-0.62773982751286628</v>
      </c>
      <c r="V277" s="66">
        <f t="shared" si="205"/>
        <v>-0.59206507304221667</v>
      </c>
      <c r="W277" s="66">
        <f t="shared" si="205"/>
        <v>-0.56349598369776865</v>
      </c>
      <c r="X277" s="66">
        <f t="shared" si="205"/>
        <v>-0.54169650054128426</v>
      </c>
      <c r="Y277" s="66">
        <f t="shared" si="205"/>
        <v>-0.52567213210019181</v>
      </c>
      <c r="Z277" s="66">
        <f t="shared" si="205"/>
        <v>-0.51421494048397043</v>
      </c>
      <c r="AA277" s="66">
        <f t="shared" si="205"/>
        <v>-0.50618514115505298</v>
      </c>
      <c r="AB277" s="66">
        <f t="shared" si="205"/>
        <v>-0.50063605626873253</v>
      </c>
      <c r="AC277" s="66">
        <f t="shared" si="205"/>
        <v>-0.49683854095951707</v>
      </c>
    </row>
    <row r="278" spans="1:29" x14ac:dyDescent="0.25">
      <c r="A278" s="30" t="str">
        <f t="shared" si="203"/>
        <v>Capex costumization</v>
      </c>
      <c r="B278" s="66">
        <f>((1+B249)^B257)*B249/(((1+B249)^B257)-1)*(B247)/B261</f>
        <v>0.65188931843561626</v>
      </c>
      <c r="C278" s="66">
        <f t="shared" ref="C278:AC278" si="206">((1+C249)^C257)*C249/(((1+C249)^C257)-1)*(C247)/C261</f>
        <v>0.65188931843561626</v>
      </c>
      <c r="D278" s="66">
        <f t="shared" si="206"/>
        <v>0.65188931843561626</v>
      </c>
      <c r="E278" s="66">
        <f t="shared" si="206"/>
        <v>0.65188931843561626</v>
      </c>
      <c r="F278" s="66">
        <f t="shared" si="206"/>
        <v>0.65188931843561626</v>
      </c>
      <c r="G278" s="66">
        <f t="shared" si="206"/>
        <v>0.65188931843561626</v>
      </c>
      <c r="H278" s="66">
        <f t="shared" si="206"/>
        <v>0.65188931843561626</v>
      </c>
      <c r="I278" s="66">
        <f t="shared" si="206"/>
        <v>0.65188931843561626</v>
      </c>
      <c r="J278" s="66">
        <f t="shared" si="206"/>
        <v>0.65188931843561626</v>
      </c>
      <c r="K278" s="66">
        <f t="shared" si="206"/>
        <v>0.65188931843561626</v>
      </c>
      <c r="L278" s="66">
        <f t="shared" si="206"/>
        <v>0.65188931843561626</v>
      </c>
      <c r="M278" s="66">
        <f t="shared" si="206"/>
        <v>0.65188931843561626</v>
      </c>
      <c r="N278" s="66">
        <f t="shared" si="206"/>
        <v>0.65188931843561626</v>
      </c>
      <c r="O278" s="66">
        <f t="shared" si="206"/>
        <v>0.65188931843561626</v>
      </c>
      <c r="P278" s="66">
        <f t="shared" si="206"/>
        <v>0.65188931843561626</v>
      </c>
      <c r="Q278" s="66">
        <f t="shared" si="206"/>
        <v>0.65188931843561626</v>
      </c>
      <c r="R278" s="66">
        <f t="shared" si="206"/>
        <v>0.65188931843561626</v>
      </c>
      <c r="S278" s="66">
        <f t="shared" si="206"/>
        <v>0.65188931843561626</v>
      </c>
      <c r="T278" s="66">
        <f t="shared" si="206"/>
        <v>0.65188931843561626</v>
      </c>
      <c r="U278" s="66">
        <f t="shared" si="206"/>
        <v>0.65188931843561626</v>
      </c>
      <c r="V278" s="66">
        <f t="shared" si="206"/>
        <v>0.65188931843561626</v>
      </c>
      <c r="W278" s="66">
        <f t="shared" si="206"/>
        <v>0.65188931843561626</v>
      </c>
      <c r="X278" s="66">
        <f t="shared" si="206"/>
        <v>0.65188931843561626</v>
      </c>
      <c r="Y278" s="66">
        <f t="shared" si="206"/>
        <v>0.65188931843561626</v>
      </c>
      <c r="Z278" s="66">
        <f t="shared" si="206"/>
        <v>0.65188931843561626</v>
      </c>
      <c r="AA278" s="66">
        <f t="shared" si="206"/>
        <v>0.65188931843561626</v>
      </c>
      <c r="AB278" s="66">
        <f t="shared" si="206"/>
        <v>0.65188931843561626</v>
      </c>
      <c r="AC278" s="66">
        <f t="shared" si="206"/>
        <v>0.65188931843561626</v>
      </c>
    </row>
    <row r="279" spans="1:29" x14ac:dyDescent="0.25">
      <c r="A279" s="30" t="str">
        <f t="shared" si="203"/>
        <v>Residual value (costumization)</v>
      </c>
      <c r="B279" s="66">
        <f>((1+B249)^B257)*B249/(((1+B249)^B257)-1)*(B248)/B261</f>
        <v>-6.5188931843561615E-2</v>
      </c>
      <c r="C279" s="66">
        <f t="shared" ref="C279:AC279" si="207">((1+C249)^C257)*C249/(((1+C249)^C257)-1)*(C248)/C261</f>
        <v>-6.5188931843561615E-2</v>
      </c>
      <c r="D279" s="66">
        <f t="shared" si="207"/>
        <v>-6.5188931843561615E-2</v>
      </c>
      <c r="E279" s="66">
        <f t="shared" si="207"/>
        <v>-6.5188931843561615E-2</v>
      </c>
      <c r="F279" s="66">
        <f t="shared" si="207"/>
        <v>-6.5188931843561615E-2</v>
      </c>
      <c r="G279" s="66">
        <f t="shared" si="207"/>
        <v>-6.5188931843561615E-2</v>
      </c>
      <c r="H279" s="66">
        <f t="shared" si="207"/>
        <v>-6.5188931843561615E-2</v>
      </c>
      <c r="I279" s="66">
        <f t="shared" si="207"/>
        <v>-6.5188931843561615E-2</v>
      </c>
      <c r="J279" s="66">
        <f t="shared" si="207"/>
        <v>-6.5188931843561615E-2</v>
      </c>
      <c r="K279" s="66">
        <f t="shared" si="207"/>
        <v>-6.5188931843561615E-2</v>
      </c>
      <c r="L279" s="66">
        <f t="shared" si="207"/>
        <v>-6.5188931843561615E-2</v>
      </c>
      <c r="M279" s="66">
        <f t="shared" si="207"/>
        <v>-6.5188931843561615E-2</v>
      </c>
      <c r="N279" s="66">
        <f t="shared" si="207"/>
        <v>-6.5188931843561615E-2</v>
      </c>
      <c r="O279" s="66">
        <f t="shared" si="207"/>
        <v>-6.5188931843561615E-2</v>
      </c>
      <c r="P279" s="66">
        <f t="shared" si="207"/>
        <v>-6.5188931843561615E-2</v>
      </c>
      <c r="Q279" s="66">
        <f t="shared" si="207"/>
        <v>-6.5188931843561615E-2</v>
      </c>
      <c r="R279" s="66">
        <f t="shared" si="207"/>
        <v>-6.5188931843561615E-2</v>
      </c>
      <c r="S279" s="66">
        <f t="shared" si="207"/>
        <v>-6.5188931843561615E-2</v>
      </c>
      <c r="T279" s="66">
        <f t="shared" si="207"/>
        <v>-6.5188931843561615E-2</v>
      </c>
      <c r="U279" s="66">
        <f t="shared" si="207"/>
        <v>-6.5188931843561615E-2</v>
      </c>
      <c r="V279" s="66">
        <f t="shared" si="207"/>
        <v>-6.5188931843561615E-2</v>
      </c>
      <c r="W279" s="66">
        <f t="shared" si="207"/>
        <v>-6.5188931843561615E-2</v>
      </c>
      <c r="X279" s="66">
        <f t="shared" si="207"/>
        <v>-6.5188931843561615E-2</v>
      </c>
      <c r="Y279" s="66">
        <f t="shared" si="207"/>
        <v>-6.5188931843561615E-2</v>
      </c>
      <c r="Z279" s="66">
        <f t="shared" si="207"/>
        <v>-6.5188931843561615E-2</v>
      </c>
      <c r="AA279" s="66">
        <f t="shared" si="207"/>
        <v>-6.5188931843561615E-2</v>
      </c>
      <c r="AB279" s="66">
        <f t="shared" si="207"/>
        <v>-6.5188931843561615E-2</v>
      </c>
      <c r="AC279" s="66">
        <f t="shared" si="207"/>
        <v>-6.5188931843561615E-2</v>
      </c>
    </row>
    <row r="280" spans="1:29" x14ac:dyDescent="0.25">
      <c r="A280" s="30" t="str">
        <f t="shared" si="203"/>
        <v>Opex fix (admin, crew, insurance)</v>
      </c>
      <c r="B280" s="66">
        <f>B250/B261</f>
        <v>10.068627450980392</v>
      </c>
      <c r="C280" s="66">
        <f t="shared" ref="C280:AC280" si="208">C250/C261</f>
        <v>10.068627450980392</v>
      </c>
      <c r="D280" s="66">
        <f t="shared" si="208"/>
        <v>10.068627450980392</v>
      </c>
      <c r="E280" s="66">
        <f t="shared" si="208"/>
        <v>10.068627450980392</v>
      </c>
      <c r="F280" s="66">
        <f t="shared" si="208"/>
        <v>10.068627450980392</v>
      </c>
      <c r="G280" s="66">
        <f t="shared" si="208"/>
        <v>10.068627450980392</v>
      </c>
      <c r="H280" s="66">
        <f t="shared" si="208"/>
        <v>10.068627450980392</v>
      </c>
      <c r="I280" s="66">
        <f t="shared" si="208"/>
        <v>10.068627450980392</v>
      </c>
      <c r="J280" s="66">
        <f t="shared" si="208"/>
        <v>10.068627450980392</v>
      </c>
      <c r="K280" s="66">
        <f t="shared" si="208"/>
        <v>10.068627450980392</v>
      </c>
      <c r="L280" s="66">
        <f t="shared" si="208"/>
        <v>10.068627450980392</v>
      </c>
      <c r="M280" s="66">
        <f t="shared" si="208"/>
        <v>10.068627450980392</v>
      </c>
      <c r="N280" s="66">
        <f t="shared" si="208"/>
        <v>10.068627450980392</v>
      </c>
      <c r="O280" s="66">
        <f t="shared" si="208"/>
        <v>10.068627450980392</v>
      </c>
      <c r="P280" s="66">
        <f t="shared" si="208"/>
        <v>10.068627450980392</v>
      </c>
      <c r="Q280" s="66">
        <f t="shared" si="208"/>
        <v>10.068627450980392</v>
      </c>
      <c r="R280" s="66">
        <f t="shared" si="208"/>
        <v>10.068627450980392</v>
      </c>
      <c r="S280" s="66">
        <f t="shared" si="208"/>
        <v>10.068627450980392</v>
      </c>
      <c r="T280" s="66">
        <f t="shared" si="208"/>
        <v>10.068627450980392</v>
      </c>
      <c r="U280" s="66">
        <f t="shared" si="208"/>
        <v>10.068627450980392</v>
      </c>
      <c r="V280" s="66">
        <f t="shared" si="208"/>
        <v>10.068627450980392</v>
      </c>
      <c r="W280" s="66">
        <f t="shared" si="208"/>
        <v>10.068627450980392</v>
      </c>
      <c r="X280" s="66">
        <f t="shared" si="208"/>
        <v>10.068627450980392</v>
      </c>
      <c r="Y280" s="66">
        <f t="shared" si="208"/>
        <v>10.068627450980392</v>
      </c>
      <c r="Z280" s="66">
        <f t="shared" si="208"/>
        <v>10.068627450980392</v>
      </c>
      <c r="AA280" s="66">
        <f t="shared" si="208"/>
        <v>10.068627450980392</v>
      </c>
      <c r="AB280" s="66">
        <f t="shared" si="208"/>
        <v>10.068627450980392</v>
      </c>
      <c r="AC280" s="66">
        <f t="shared" si="208"/>
        <v>10.068627450980392</v>
      </c>
    </row>
    <row r="281" spans="1:29" x14ac:dyDescent="0.25">
      <c r="A281" s="30" t="str">
        <f t="shared" si="203"/>
        <v>Opex maintenance &amp; repair</v>
      </c>
      <c r="B281" s="66">
        <f>B251/B261</f>
        <v>4.0686274509803919</v>
      </c>
      <c r="C281" s="66">
        <f t="shared" ref="C281:AC281" si="209">C251/C261</f>
        <v>4.0686274509803919</v>
      </c>
      <c r="D281" s="66">
        <f t="shared" si="209"/>
        <v>4.0686274509803919</v>
      </c>
      <c r="E281" s="66">
        <f t="shared" si="209"/>
        <v>4.0686274509803919</v>
      </c>
      <c r="F281" s="66">
        <f t="shared" si="209"/>
        <v>4.0686274509803919</v>
      </c>
      <c r="G281" s="66">
        <f t="shared" si="209"/>
        <v>4.0686274509803919</v>
      </c>
      <c r="H281" s="66">
        <f t="shared" si="209"/>
        <v>4.0686274509803919</v>
      </c>
      <c r="I281" s="66">
        <f t="shared" si="209"/>
        <v>4.0686274509803919</v>
      </c>
      <c r="J281" s="66">
        <f t="shared" si="209"/>
        <v>4.0686274509803919</v>
      </c>
      <c r="K281" s="66">
        <f t="shared" si="209"/>
        <v>4.0686274509803919</v>
      </c>
      <c r="L281" s="66">
        <f t="shared" si="209"/>
        <v>4.0686274509803919</v>
      </c>
      <c r="M281" s="66">
        <f t="shared" si="209"/>
        <v>4.0686274509803919</v>
      </c>
      <c r="N281" s="66">
        <f t="shared" si="209"/>
        <v>4.0686274509803919</v>
      </c>
      <c r="O281" s="66">
        <f t="shared" si="209"/>
        <v>4.0686274509803919</v>
      </c>
      <c r="P281" s="66">
        <f t="shared" si="209"/>
        <v>4.0686274509803919</v>
      </c>
      <c r="Q281" s="66">
        <f t="shared" si="209"/>
        <v>4.0686274509803919</v>
      </c>
      <c r="R281" s="66">
        <f t="shared" si="209"/>
        <v>4.0686274509803919</v>
      </c>
      <c r="S281" s="66">
        <f t="shared" si="209"/>
        <v>4.0686274509803919</v>
      </c>
      <c r="T281" s="66">
        <f t="shared" si="209"/>
        <v>4.0686274509803919</v>
      </c>
      <c r="U281" s="66">
        <f t="shared" si="209"/>
        <v>4.0686274509803919</v>
      </c>
      <c r="V281" s="66">
        <f t="shared" si="209"/>
        <v>4.0686274509803919</v>
      </c>
      <c r="W281" s="66">
        <f t="shared" si="209"/>
        <v>4.0686274509803919</v>
      </c>
      <c r="X281" s="66">
        <f t="shared" si="209"/>
        <v>4.0686274509803919</v>
      </c>
      <c r="Y281" s="66">
        <f t="shared" si="209"/>
        <v>4.0686274509803919</v>
      </c>
      <c r="Z281" s="66">
        <f t="shared" si="209"/>
        <v>4.0686274509803919</v>
      </c>
      <c r="AA281" s="66">
        <f t="shared" si="209"/>
        <v>4.0686274509803919</v>
      </c>
      <c r="AB281" s="66">
        <f t="shared" si="209"/>
        <v>4.0686274509803919</v>
      </c>
      <c r="AC281" s="66">
        <f t="shared" si="209"/>
        <v>4.0686274509803919</v>
      </c>
    </row>
    <row r="282" spans="1:29" x14ac:dyDescent="0.25">
      <c r="A282" s="30" t="str">
        <f t="shared" si="203"/>
        <v>Opex var (mode-fees)</v>
      </c>
      <c r="B282" s="66">
        <f>B252*B261/B261</f>
        <v>0.81280569096848254</v>
      </c>
      <c r="C282" s="66">
        <f t="shared" ref="C282:AC282" si="210">C252*C261/C261</f>
        <v>0.81280569096848254</v>
      </c>
      <c r="D282" s="66">
        <f t="shared" si="210"/>
        <v>0.81280569096848254</v>
      </c>
      <c r="E282" s="66">
        <f t="shared" si="210"/>
        <v>0.81280569096848254</v>
      </c>
      <c r="F282" s="66">
        <f t="shared" si="210"/>
        <v>0.81280569096848254</v>
      </c>
      <c r="G282" s="66">
        <f t="shared" si="210"/>
        <v>0.81280569096848254</v>
      </c>
      <c r="H282" s="66">
        <f t="shared" si="210"/>
        <v>0.81280569096848254</v>
      </c>
      <c r="I282" s="66">
        <f t="shared" si="210"/>
        <v>0.81280569096848254</v>
      </c>
      <c r="J282" s="66">
        <f t="shared" si="210"/>
        <v>0.81280569096848254</v>
      </c>
      <c r="K282" s="66">
        <f t="shared" si="210"/>
        <v>0.81280569096848254</v>
      </c>
      <c r="L282" s="66">
        <f t="shared" si="210"/>
        <v>0.81280569096848254</v>
      </c>
      <c r="M282" s="66">
        <f t="shared" si="210"/>
        <v>0.81280569096848254</v>
      </c>
      <c r="N282" s="66">
        <f t="shared" si="210"/>
        <v>0.81280569096848254</v>
      </c>
      <c r="O282" s="66">
        <f t="shared" si="210"/>
        <v>0.81280569096848254</v>
      </c>
      <c r="P282" s="66">
        <f t="shared" si="210"/>
        <v>0.81280569096848254</v>
      </c>
      <c r="Q282" s="66">
        <f t="shared" si="210"/>
        <v>0.81280569096848254</v>
      </c>
      <c r="R282" s="66">
        <f t="shared" si="210"/>
        <v>0.81280569096848254</v>
      </c>
      <c r="S282" s="66">
        <f t="shared" si="210"/>
        <v>0.81280569096848254</v>
      </c>
      <c r="T282" s="66">
        <f t="shared" si="210"/>
        <v>0.81280569096848254</v>
      </c>
      <c r="U282" s="66">
        <f t="shared" si="210"/>
        <v>0.81280569096848254</v>
      </c>
      <c r="V282" s="66">
        <f t="shared" si="210"/>
        <v>0.81280569096848254</v>
      </c>
      <c r="W282" s="66">
        <f t="shared" si="210"/>
        <v>0.81280569096848254</v>
      </c>
      <c r="X282" s="66">
        <f t="shared" si="210"/>
        <v>0.81280569096848254</v>
      </c>
      <c r="Y282" s="66">
        <f t="shared" si="210"/>
        <v>0.81280569096848254</v>
      </c>
      <c r="Z282" s="66">
        <f t="shared" si="210"/>
        <v>0.81280569096848254</v>
      </c>
      <c r="AA282" s="66">
        <f t="shared" si="210"/>
        <v>0.81280569096848254</v>
      </c>
      <c r="AB282" s="66">
        <f t="shared" si="210"/>
        <v>0.81280569096848254</v>
      </c>
      <c r="AC282" s="66">
        <f t="shared" si="210"/>
        <v>0.81280569096848254</v>
      </c>
    </row>
    <row r="283" spans="1:29" x14ac:dyDescent="0.25">
      <c r="A283" s="30" t="str">
        <f t="shared" si="203"/>
        <v>Fuel Cost</v>
      </c>
      <c r="B283" s="66">
        <f>B253*B254*B261/B261</f>
        <v>37.488483587357699</v>
      </c>
      <c r="C283" s="66">
        <f t="shared" ref="C283:AC283" si="211">C253*C254*C261/C261</f>
        <v>34.900661466127573</v>
      </c>
      <c r="D283" s="66">
        <f t="shared" si="211"/>
        <v>32.312233683108033</v>
      </c>
      <c r="E283" s="66">
        <f t="shared" si="211"/>
        <v>29.723051812174123</v>
      </c>
      <c r="F283" s="66">
        <f t="shared" si="211"/>
        <v>27.132953715717271</v>
      </c>
      <c r="G283" s="66">
        <f t="shared" si="211"/>
        <v>24.541780290872858</v>
      </c>
      <c r="H283" s="66">
        <f t="shared" si="211"/>
        <v>21.949409471165094</v>
      </c>
      <c r="I283" s="66">
        <f t="shared" si="211"/>
        <v>19.355818692500645</v>
      </c>
      <c r="J283" s="66">
        <f t="shared" si="211"/>
        <v>18.948435433346965</v>
      </c>
      <c r="K283" s="66">
        <f t="shared" si="211"/>
        <v>18.535504027146708</v>
      </c>
      <c r="L283" s="66">
        <f t="shared" si="211"/>
        <v>18.115253603786709</v>
      </c>
      <c r="M283" s="66">
        <f t="shared" si="211"/>
        <v>17.685629796779626</v>
      </c>
      <c r="N283" s="66">
        <f t="shared" si="211"/>
        <v>17.244517153323354</v>
      </c>
      <c r="O283" s="66">
        <f t="shared" si="211"/>
        <v>16.790218075853989</v>
      </c>
      <c r="P283" s="66">
        <f t="shared" si="211"/>
        <v>16.322235597430396</v>
      </c>
      <c r="Q283" s="66">
        <f t="shared" si="211"/>
        <v>15.842225073411278</v>
      </c>
      <c r="R283" s="66">
        <f t="shared" si="211"/>
        <v>15.354666513931461</v>
      </c>
      <c r="S283" s="66">
        <f t="shared" si="211"/>
        <v>14.866601080542717</v>
      </c>
      <c r="T283" s="66">
        <f t="shared" si="211"/>
        <v>14.386095255265635</v>
      </c>
      <c r="U283" s="66">
        <f t="shared" si="211"/>
        <v>13.919989803168557</v>
      </c>
      <c r="V283" s="66">
        <f t="shared" si="211"/>
        <v>13.472163104670095</v>
      </c>
      <c r="W283" s="66">
        <f t="shared" si="211"/>
        <v>13.043170971641301</v>
      </c>
      <c r="X283" s="66">
        <f t="shared" si="211"/>
        <v>12.631095890262376</v>
      </c>
      <c r="Y283" s="66">
        <f t="shared" si="211"/>
        <v>12.23281581838982</v>
      </c>
      <c r="Z283" s="66">
        <f t="shared" si="211"/>
        <v>11.845037252331126</v>
      </c>
      <c r="AA283" s="66">
        <f t="shared" si="211"/>
        <v>11.46487330144263</v>
      </c>
      <c r="AB283" s="66">
        <f t="shared" si="211"/>
        <v>11.09004542014724</v>
      </c>
      <c r="AC283" s="66">
        <f t="shared" si="211"/>
        <v>10.718868997250505</v>
      </c>
    </row>
    <row r="284" spans="1:29" ht="15.75" thickBot="1" x14ac:dyDescent="0.3">
      <c r="A284" s="59" t="str">
        <f>A235</f>
        <v>Emission Cost</v>
      </c>
      <c r="B284" s="66">
        <f>B255</f>
        <v>0</v>
      </c>
      <c r="C284" s="66">
        <f t="shared" ref="C284:AC284" si="212">C255</f>
        <v>0</v>
      </c>
      <c r="D284" s="66">
        <f t="shared" si="212"/>
        <v>0</v>
      </c>
      <c r="E284" s="66">
        <f t="shared" si="212"/>
        <v>0</v>
      </c>
      <c r="F284" s="66">
        <f t="shared" si="212"/>
        <v>0</v>
      </c>
      <c r="G284" s="66">
        <f t="shared" si="212"/>
        <v>0</v>
      </c>
      <c r="H284" s="66">
        <f t="shared" si="212"/>
        <v>0</v>
      </c>
      <c r="I284" s="66">
        <f t="shared" si="212"/>
        <v>0</v>
      </c>
      <c r="J284" s="66">
        <f t="shared" si="212"/>
        <v>0</v>
      </c>
      <c r="K284" s="66">
        <f t="shared" si="212"/>
        <v>0</v>
      </c>
      <c r="L284" s="66">
        <f t="shared" si="212"/>
        <v>0</v>
      </c>
      <c r="M284" s="66">
        <f t="shared" si="212"/>
        <v>0</v>
      </c>
      <c r="N284" s="66">
        <f t="shared" si="212"/>
        <v>0</v>
      </c>
      <c r="O284" s="66">
        <f t="shared" si="212"/>
        <v>0</v>
      </c>
      <c r="P284" s="66">
        <f t="shared" si="212"/>
        <v>0</v>
      </c>
      <c r="Q284" s="66">
        <f t="shared" si="212"/>
        <v>0</v>
      </c>
      <c r="R284" s="66">
        <f t="shared" si="212"/>
        <v>0</v>
      </c>
      <c r="S284" s="66">
        <f t="shared" si="212"/>
        <v>0</v>
      </c>
      <c r="T284" s="66">
        <f t="shared" si="212"/>
        <v>0</v>
      </c>
      <c r="U284" s="66">
        <f t="shared" si="212"/>
        <v>0</v>
      </c>
      <c r="V284" s="66">
        <f t="shared" si="212"/>
        <v>0</v>
      </c>
      <c r="W284" s="66">
        <f t="shared" si="212"/>
        <v>0</v>
      </c>
      <c r="X284" s="66">
        <f t="shared" si="212"/>
        <v>0</v>
      </c>
      <c r="Y284" s="66">
        <f t="shared" si="212"/>
        <v>0</v>
      </c>
      <c r="Z284" s="66">
        <f t="shared" si="212"/>
        <v>0</v>
      </c>
      <c r="AA284" s="66">
        <f t="shared" si="212"/>
        <v>0</v>
      </c>
      <c r="AB284" s="66">
        <f t="shared" si="212"/>
        <v>0</v>
      </c>
      <c r="AC284" s="66">
        <f t="shared" si="212"/>
        <v>0</v>
      </c>
    </row>
    <row r="285" spans="1:29" ht="15.75" thickBot="1" x14ac:dyDescent="0.3">
      <c r="A285" s="31" t="s">
        <v>63</v>
      </c>
      <c r="B285" s="76">
        <f>B276+B277+B278-B279+B280+B281+B282+B283+B284</f>
        <v>61.957202015615685</v>
      </c>
      <c r="C285" s="76">
        <f t="shared" ref="C285:AC285" si="213">C276+C277+C278-C279+C280+C281+C282+C283+C284</f>
        <v>59.369844439978309</v>
      </c>
      <c r="D285" s="76">
        <f t="shared" si="213"/>
        <v>56.782081643627869</v>
      </c>
      <c r="E285" s="76">
        <f t="shared" si="213"/>
        <v>54.193851082888074</v>
      </c>
      <c r="F285" s="76">
        <f t="shared" si="213"/>
        <v>51.605112618615607</v>
      </c>
      <c r="G285" s="76">
        <f t="shared" si="213"/>
        <v>49.015879682727025</v>
      </c>
      <c r="H285" s="76">
        <f t="shared" si="213"/>
        <v>46.426272595346418</v>
      </c>
      <c r="I285" s="76">
        <f t="shared" si="213"/>
        <v>43.836605920400544</v>
      </c>
      <c r="J285" s="76">
        <f t="shared" si="213"/>
        <v>43.434769004770793</v>
      </c>
      <c r="K285" s="76">
        <f t="shared" si="213"/>
        <v>43.029624564813801</v>
      </c>
      <c r="L285" s="76">
        <f t="shared" si="213"/>
        <v>42.620200851288217</v>
      </c>
      <c r="M285" s="76">
        <f t="shared" si="213"/>
        <v>42.205420058436104</v>
      </c>
      <c r="N285" s="76">
        <f t="shared" si="213"/>
        <v>41.784254835491026</v>
      </c>
      <c r="O285" s="76">
        <f t="shared" si="213"/>
        <v>41.356030890188009</v>
      </c>
      <c r="P285" s="76">
        <f t="shared" si="213"/>
        <v>40.920885633458582</v>
      </c>
      <c r="Q285" s="76">
        <f t="shared" si="213"/>
        <v>40.480278832879847</v>
      </c>
      <c r="R285" s="76">
        <f t="shared" si="213"/>
        <v>40.037276965736467</v>
      </c>
      <c r="S285" s="76">
        <f t="shared" si="213"/>
        <v>39.59624984963579</v>
      </c>
      <c r="T285" s="76">
        <f t="shared" si="213"/>
        <v>39.161856715545255</v>
      </c>
      <c r="U285" s="76">
        <f t="shared" si="213"/>
        <v>38.737728595398373</v>
      </c>
      <c r="V285" s="76">
        <f t="shared" si="213"/>
        <v>38.325576651370568</v>
      </c>
      <c r="W285" s="76">
        <f t="shared" si="213"/>
        <v>37.925153607686219</v>
      </c>
      <c r="X285" s="76">
        <f t="shared" si="213"/>
        <v>37.534878009463782</v>
      </c>
      <c r="Y285" s="76">
        <f t="shared" si="213"/>
        <v>37.152622306032313</v>
      </c>
      <c r="Z285" s="76">
        <f t="shared" si="213"/>
        <v>36.776300931589844</v>
      </c>
      <c r="AA285" s="76">
        <f t="shared" si="213"/>
        <v>36.404166780030266</v>
      </c>
      <c r="AB285" s="76">
        <f t="shared" si="213"/>
        <v>36.034887983621196</v>
      </c>
      <c r="AC285" s="76">
        <f t="shared" si="213"/>
        <v>35.667509076033674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4">A264</f>
        <v>Capex vehicle</v>
      </c>
      <c r="B288" s="65">
        <f>((1+B249)^B256)*B249/(((1+B249)^B256)-1)*(B245)/B261/(B258)</f>
        <v>1.0347449498978036E-3</v>
      </c>
      <c r="C288" s="65">
        <f t="shared" ref="C288:AC288" si="215">((1+C249)^C256)*C249/(((1+C249)^C256)-1)*(C245)/C261/(C258)</f>
        <v>1.0347449498978036E-3</v>
      </c>
      <c r="D288" s="65">
        <f t="shared" si="215"/>
        <v>1.0347449498978036E-3</v>
      </c>
      <c r="E288" s="65">
        <f t="shared" si="215"/>
        <v>1.0347449498978036E-3</v>
      </c>
      <c r="F288" s="65">
        <f t="shared" si="215"/>
        <v>1.0347449498978036E-3</v>
      </c>
      <c r="G288" s="65">
        <f t="shared" si="215"/>
        <v>1.0347449498978036E-3</v>
      </c>
      <c r="H288" s="65">
        <f t="shared" si="215"/>
        <v>1.0347449498978036E-3</v>
      </c>
      <c r="I288" s="65">
        <f t="shared" si="215"/>
        <v>1.0347449498978036E-3</v>
      </c>
      <c r="J288" s="65">
        <f t="shared" si="215"/>
        <v>1.0347449498978036E-3</v>
      </c>
      <c r="K288" s="65">
        <f t="shared" si="215"/>
        <v>1.0347449498978036E-3</v>
      </c>
      <c r="L288" s="65">
        <f t="shared" si="215"/>
        <v>1.0347449498978036E-3</v>
      </c>
      <c r="M288" s="65">
        <f t="shared" si="215"/>
        <v>1.0347449498978036E-3</v>
      </c>
      <c r="N288" s="65">
        <f t="shared" si="215"/>
        <v>1.0347449498978036E-3</v>
      </c>
      <c r="O288" s="65">
        <f t="shared" si="215"/>
        <v>1.0347449498978036E-3</v>
      </c>
      <c r="P288" s="65">
        <f t="shared" si="215"/>
        <v>1.0347449498978036E-3</v>
      </c>
      <c r="Q288" s="65">
        <f t="shared" si="215"/>
        <v>1.0347449498978036E-3</v>
      </c>
      <c r="R288" s="65">
        <f t="shared" si="215"/>
        <v>1.0347449498978036E-3</v>
      </c>
      <c r="S288" s="65">
        <f t="shared" si="215"/>
        <v>1.0347449498978036E-3</v>
      </c>
      <c r="T288" s="65">
        <f t="shared" si="215"/>
        <v>1.0347449498978036E-3</v>
      </c>
      <c r="U288" s="65">
        <f t="shared" si="215"/>
        <v>1.0347449498978036E-3</v>
      </c>
      <c r="V288" s="65">
        <f t="shared" si="215"/>
        <v>1.0347449498978036E-3</v>
      </c>
      <c r="W288" s="65">
        <f t="shared" si="215"/>
        <v>1.0347449498978036E-3</v>
      </c>
      <c r="X288" s="65">
        <f t="shared" si="215"/>
        <v>1.0347449498978036E-3</v>
      </c>
      <c r="Y288" s="65">
        <f t="shared" si="215"/>
        <v>1.0347449498978036E-3</v>
      </c>
      <c r="Z288" s="65">
        <f t="shared" si="215"/>
        <v>1.0347449498978036E-3</v>
      </c>
      <c r="AA288" s="65">
        <f t="shared" si="215"/>
        <v>1.0347449498978036E-3</v>
      </c>
      <c r="AB288" s="65">
        <f t="shared" si="215"/>
        <v>1.0347449498978036E-3</v>
      </c>
      <c r="AC288" s="65">
        <f t="shared" si="215"/>
        <v>1.0347449498978036E-3</v>
      </c>
    </row>
    <row r="289" spans="1:29" x14ac:dyDescent="0.25">
      <c r="A289" s="30" t="str">
        <f t="shared" si="214"/>
        <v>Residual value (vehicle)</v>
      </c>
      <c r="B289" s="68">
        <f>((1+B249)^B256)*B249/(((1+B249)^B256)-1)*(B246)/B261/(B258)</f>
        <v>-1.0336086682377807E-4</v>
      </c>
      <c r="C289" s="68">
        <f t="shared" ref="C289:AC289" si="216">((1+C249)^C256)*C249/(((1+C249)^C256)-1)*(C246)/C261/(C258)</f>
        <v>-1.0331170855999495E-4</v>
      </c>
      <c r="D289" s="68">
        <f t="shared" si="216"/>
        <v>-1.0324133960030145E-4</v>
      </c>
      <c r="E289" s="68">
        <f t="shared" si="216"/>
        <v>-1.0314067185489343E-4</v>
      </c>
      <c r="F289" s="68">
        <f t="shared" si="216"/>
        <v>-1.0299679543326449E-4</v>
      </c>
      <c r="G289" s="68">
        <f t="shared" si="216"/>
        <v>-1.0279145268661591E-4</v>
      </c>
      <c r="H289" s="68">
        <f t="shared" si="216"/>
        <v>-1.0249899423929835E-4</v>
      </c>
      <c r="I289" s="68">
        <f t="shared" si="216"/>
        <v>-1.0208374516854875E-4</v>
      </c>
      <c r="J289" s="68">
        <f t="shared" si="216"/>
        <v>-1.0149683050993223E-4</v>
      </c>
      <c r="K289" s="68">
        <f t="shared" si="216"/>
        <v>-1.0067281291805218E-4</v>
      </c>
      <c r="L289" s="68">
        <f t="shared" si="216"/>
        <v>-9.9527129337690295E-5</v>
      </c>
      <c r="M289" s="68">
        <f t="shared" si="216"/>
        <v>-9.7956440009122124E-5</v>
      </c>
      <c r="N289" s="68">
        <f t="shared" si="216"/>
        <v>-9.5845601859790468E-5</v>
      </c>
      <c r="O289" s="68">
        <f t="shared" si="216"/>
        <v>-9.3086328614673487E-5</v>
      </c>
      <c r="P289" s="68">
        <f t="shared" si="216"/>
        <v>-8.9611490340159677E-5</v>
      </c>
      <c r="Q289" s="68">
        <f t="shared" si="216"/>
        <v>-8.5441784155991385E-5</v>
      </c>
      <c r="R289" s="68">
        <f t="shared" si="216"/>
        <v>-8.0726790257955685E-5</v>
      </c>
      <c r="S289" s="68">
        <f t="shared" si="216"/>
        <v>-7.5749190544932557E-5</v>
      </c>
      <c r="T289" s="68">
        <f t="shared" si="216"/>
        <v>-7.086954068392259E-5</v>
      </c>
      <c r="U289" s="68">
        <f t="shared" si="216"/>
        <v>-6.6427494974906487E-5</v>
      </c>
      <c r="V289" s="68">
        <f t="shared" si="216"/>
        <v>-6.2652388681716054E-5</v>
      </c>
      <c r="W289" s="68">
        <f t="shared" si="216"/>
        <v>-5.9629204624102501E-5</v>
      </c>
      <c r="X289" s="68">
        <f t="shared" si="216"/>
        <v>-5.7322381009659713E-5</v>
      </c>
      <c r="Y289" s="68">
        <f t="shared" si="216"/>
        <v>-5.5626680645522941E-5</v>
      </c>
      <c r="Z289" s="68">
        <f t="shared" si="216"/>
        <v>-5.4414279416293167E-5</v>
      </c>
      <c r="AA289" s="68">
        <f t="shared" si="216"/>
        <v>-5.3564565201592909E-5</v>
      </c>
      <c r="AB289" s="68">
        <f t="shared" si="216"/>
        <v>-5.2977360451717727E-5</v>
      </c>
      <c r="AC289" s="68">
        <f t="shared" si="216"/>
        <v>-5.2575506979843073E-5</v>
      </c>
    </row>
    <row r="290" spans="1:29" x14ac:dyDescent="0.25">
      <c r="A290" s="30" t="str">
        <f t="shared" si="214"/>
        <v>Capex costumization</v>
      </c>
      <c r="B290" s="66">
        <f>((1+B249)^B257)*B249/(((1+B249)^B257)-1)*(B247)/B261/(B258)</f>
        <v>6.8982996659853576E-5</v>
      </c>
      <c r="C290" s="66">
        <f t="shared" ref="C290:AC290" si="217">((1+C249)^C257)*C249/(((1+C249)^C257)-1)*(C247)/C261/(C258)</f>
        <v>6.8982996659853576E-5</v>
      </c>
      <c r="D290" s="66">
        <f t="shared" si="217"/>
        <v>6.8982996659853576E-5</v>
      </c>
      <c r="E290" s="66">
        <f t="shared" si="217"/>
        <v>6.8982996659853576E-5</v>
      </c>
      <c r="F290" s="66">
        <f t="shared" si="217"/>
        <v>6.8982996659853576E-5</v>
      </c>
      <c r="G290" s="66">
        <f t="shared" si="217"/>
        <v>6.8982996659853576E-5</v>
      </c>
      <c r="H290" s="66">
        <f t="shared" si="217"/>
        <v>6.8982996659853576E-5</v>
      </c>
      <c r="I290" s="66">
        <f t="shared" si="217"/>
        <v>6.8982996659853576E-5</v>
      </c>
      <c r="J290" s="66">
        <f t="shared" si="217"/>
        <v>6.8982996659853576E-5</v>
      </c>
      <c r="K290" s="66">
        <f t="shared" si="217"/>
        <v>6.8982996659853576E-5</v>
      </c>
      <c r="L290" s="66">
        <f t="shared" si="217"/>
        <v>6.8982996659853576E-5</v>
      </c>
      <c r="M290" s="66">
        <f t="shared" si="217"/>
        <v>6.8982996659853576E-5</v>
      </c>
      <c r="N290" s="66">
        <f t="shared" si="217"/>
        <v>6.8982996659853576E-5</v>
      </c>
      <c r="O290" s="66">
        <f t="shared" si="217"/>
        <v>6.8982996659853576E-5</v>
      </c>
      <c r="P290" s="66">
        <f t="shared" si="217"/>
        <v>6.8982996659853576E-5</v>
      </c>
      <c r="Q290" s="66">
        <f t="shared" si="217"/>
        <v>6.8982996659853576E-5</v>
      </c>
      <c r="R290" s="66">
        <f t="shared" si="217"/>
        <v>6.8982996659853576E-5</v>
      </c>
      <c r="S290" s="66">
        <f t="shared" si="217"/>
        <v>6.8982996659853576E-5</v>
      </c>
      <c r="T290" s="66">
        <f t="shared" si="217"/>
        <v>6.8982996659853576E-5</v>
      </c>
      <c r="U290" s="66">
        <f t="shared" si="217"/>
        <v>6.8982996659853576E-5</v>
      </c>
      <c r="V290" s="66">
        <f t="shared" si="217"/>
        <v>6.8982996659853576E-5</v>
      </c>
      <c r="W290" s="66">
        <f t="shared" si="217"/>
        <v>6.8982996659853576E-5</v>
      </c>
      <c r="X290" s="66">
        <f t="shared" si="217"/>
        <v>6.8982996659853576E-5</v>
      </c>
      <c r="Y290" s="66">
        <f t="shared" si="217"/>
        <v>6.8982996659853576E-5</v>
      </c>
      <c r="Z290" s="66">
        <f t="shared" si="217"/>
        <v>6.8982996659853576E-5</v>
      </c>
      <c r="AA290" s="66">
        <f t="shared" si="217"/>
        <v>6.8982996659853576E-5</v>
      </c>
      <c r="AB290" s="66">
        <f t="shared" si="217"/>
        <v>6.8982996659853576E-5</v>
      </c>
      <c r="AC290" s="66">
        <f t="shared" si="217"/>
        <v>6.8982996659853576E-5</v>
      </c>
    </row>
    <row r="291" spans="1:29" x14ac:dyDescent="0.25">
      <c r="A291" s="30" t="str">
        <f t="shared" si="214"/>
        <v>Residual value (costumization)</v>
      </c>
      <c r="B291" s="69">
        <f>((1+B249)^B257)*B249/(((1+B249)^B257)-1)*(B248)/B261/(B258)</f>
        <v>-6.8982996659853564E-6</v>
      </c>
      <c r="C291" s="69">
        <f t="shared" ref="C291:AC291" si="218">((1+C249)^C257)*C249/(((1+C249)^C257)-1)*(C248)/C261/(C258)</f>
        <v>-6.8982996659853564E-6</v>
      </c>
      <c r="D291" s="69">
        <f t="shared" si="218"/>
        <v>-6.8982996659853564E-6</v>
      </c>
      <c r="E291" s="69">
        <f t="shared" si="218"/>
        <v>-6.8982996659853564E-6</v>
      </c>
      <c r="F291" s="69">
        <f t="shared" si="218"/>
        <v>-6.8982996659853564E-6</v>
      </c>
      <c r="G291" s="69">
        <f t="shared" si="218"/>
        <v>-6.8982996659853564E-6</v>
      </c>
      <c r="H291" s="69">
        <f t="shared" si="218"/>
        <v>-6.8982996659853564E-6</v>
      </c>
      <c r="I291" s="69">
        <f t="shared" si="218"/>
        <v>-6.8982996659853564E-6</v>
      </c>
      <c r="J291" s="69">
        <f t="shared" si="218"/>
        <v>-6.8982996659853564E-6</v>
      </c>
      <c r="K291" s="69">
        <f t="shared" si="218"/>
        <v>-6.8982996659853564E-6</v>
      </c>
      <c r="L291" s="69">
        <f t="shared" si="218"/>
        <v>-6.8982996659853564E-6</v>
      </c>
      <c r="M291" s="69">
        <f t="shared" si="218"/>
        <v>-6.8982996659853564E-6</v>
      </c>
      <c r="N291" s="69">
        <f t="shared" si="218"/>
        <v>-6.8982996659853564E-6</v>
      </c>
      <c r="O291" s="69">
        <f t="shared" si="218"/>
        <v>-6.8982996659853564E-6</v>
      </c>
      <c r="P291" s="69">
        <f t="shared" si="218"/>
        <v>-6.8982996659853564E-6</v>
      </c>
      <c r="Q291" s="69">
        <f t="shared" si="218"/>
        <v>-6.8982996659853564E-6</v>
      </c>
      <c r="R291" s="69">
        <f t="shared" si="218"/>
        <v>-6.8982996659853564E-6</v>
      </c>
      <c r="S291" s="69">
        <f t="shared" si="218"/>
        <v>-6.8982996659853564E-6</v>
      </c>
      <c r="T291" s="69">
        <f t="shared" si="218"/>
        <v>-6.8982996659853564E-6</v>
      </c>
      <c r="U291" s="69">
        <f t="shared" si="218"/>
        <v>-6.8982996659853564E-6</v>
      </c>
      <c r="V291" s="69">
        <f t="shared" si="218"/>
        <v>-6.8982996659853564E-6</v>
      </c>
      <c r="W291" s="69">
        <f t="shared" si="218"/>
        <v>-6.8982996659853564E-6</v>
      </c>
      <c r="X291" s="69">
        <f t="shared" si="218"/>
        <v>-6.8982996659853564E-6</v>
      </c>
      <c r="Y291" s="69">
        <f t="shared" si="218"/>
        <v>-6.8982996659853564E-6</v>
      </c>
      <c r="Z291" s="69">
        <f t="shared" si="218"/>
        <v>-6.8982996659853564E-6</v>
      </c>
      <c r="AA291" s="69">
        <f t="shared" si="218"/>
        <v>-6.8982996659853564E-6</v>
      </c>
      <c r="AB291" s="69">
        <f t="shared" si="218"/>
        <v>-6.8982996659853564E-6</v>
      </c>
      <c r="AC291" s="69">
        <f t="shared" si="218"/>
        <v>-6.8982996659853564E-6</v>
      </c>
    </row>
    <row r="292" spans="1:29" x14ac:dyDescent="0.25">
      <c r="A292" s="30" t="str">
        <f t="shared" si="214"/>
        <v>Opex fix (admin, crew, insurance)</v>
      </c>
      <c r="B292" s="66">
        <f>B250/B261/(B258)</f>
        <v>1.0654632223259673E-3</v>
      </c>
      <c r="C292" s="66">
        <f t="shared" ref="C292:AC292" si="219">C250/C261/(C258)</f>
        <v>1.0654632223259673E-3</v>
      </c>
      <c r="D292" s="66">
        <f t="shared" si="219"/>
        <v>1.0654632223259673E-3</v>
      </c>
      <c r="E292" s="66">
        <f t="shared" si="219"/>
        <v>1.0654632223259673E-3</v>
      </c>
      <c r="F292" s="66">
        <f t="shared" si="219"/>
        <v>1.0654632223259673E-3</v>
      </c>
      <c r="G292" s="66">
        <f t="shared" si="219"/>
        <v>1.0654632223259673E-3</v>
      </c>
      <c r="H292" s="66">
        <f t="shared" si="219"/>
        <v>1.0654632223259673E-3</v>
      </c>
      <c r="I292" s="66">
        <f t="shared" si="219"/>
        <v>1.0654632223259673E-3</v>
      </c>
      <c r="J292" s="66">
        <f t="shared" si="219"/>
        <v>1.0654632223259673E-3</v>
      </c>
      <c r="K292" s="66">
        <f t="shared" si="219"/>
        <v>1.0654632223259673E-3</v>
      </c>
      <c r="L292" s="66">
        <f t="shared" si="219"/>
        <v>1.0654632223259673E-3</v>
      </c>
      <c r="M292" s="66">
        <f t="shared" si="219"/>
        <v>1.0654632223259673E-3</v>
      </c>
      <c r="N292" s="66">
        <f t="shared" si="219"/>
        <v>1.0654632223259673E-3</v>
      </c>
      <c r="O292" s="66">
        <f t="shared" si="219"/>
        <v>1.0654632223259673E-3</v>
      </c>
      <c r="P292" s="66">
        <f t="shared" si="219"/>
        <v>1.0654632223259673E-3</v>
      </c>
      <c r="Q292" s="66">
        <f t="shared" si="219"/>
        <v>1.0654632223259673E-3</v>
      </c>
      <c r="R292" s="66">
        <f t="shared" si="219"/>
        <v>1.0654632223259673E-3</v>
      </c>
      <c r="S292" s="66">
        <f t="shared" si="219"/>
        <v>1.0654632223259673E-3</v>
      </c>
      <c r="T292" s="66">
        <f t="shared" si="219"/>
        <v>1.0654632223259673E-3</v>
      </c>
      <c r="U292" s="66">
        <f t="shared" si="219"/>
        <v>1.0654632223259673E-3</v>
      </c>
      <c r="V292" s="66">
        <f t="shared" si="219"/>
        <v>1.0654632223259673E-3</v>
      </c>
      <c r="W292" s="66">
        <f t="shared" si="219"/>
        <v>1.0654632223259673E-3</v>
      </c>
      <c r="X292" s="66">
        <f t="shared" si="219"/>
        <v>1.0654632223259673E-3</v>
      </c>
      <c r="Y292" s="66">
        <f t="shared" si="219"/>
        <v>1.0654632223259673E-3</v>
      </c>
      <c r="Z292" s="66">
        <f t="shared" si="219"/>
        <v>1.0654632223259673E-3</v>
      </c>
      <c r="AA292" s="66">
        <f t="shared" si="219"/>
        <v>1.0654632223259673E-3</v>
      </c>
      <c r="AB292" s="66">
        <f t="shared" si="219"/>
        <v>1.0654632223259673E-3</v>
      </c>
      <c r="AC292" s="66">
        <f t="shared" si="219"/>
        <v>1.0654632223259673E-3</v>
      </c>
    </row>
    <row r="293" spans="1:29" x14ac:dyDescent="0.25">
      <c r="A293" s="30" t="str">
        <f t="shared" si="214"/>
        <v>Opex maintenance &amp; repair</v>
      </c>
      <c r="B293" s="66">
        <f>B251/B261/(B258)</f>
        <v>4.305425874053325E-4</v>
      </c>
      <c r="C293" s="66">
        <f t="shared" ref="C293:AC293" si="220">C251/C261/(C258)</f>
        <v>4.305425874053325E-4</v>
      </c>
      <c r="D293" s="66">
        <f t="shared" si="220"/>
        <v>4.305425874053325E-4</v>
      </c>
      <c r="E293" s="66">
        <f t="shared" si="220"/>
        <v>4.305425874053325E-4</v>
      </c>
      <c r="F293" s="66">
        <f t="shared" si="220"/>
        <v>4.305425874053325E-4</v>
      </c>
      <c r="G293" s="66">
        <f t="shared" si="220"/>
        <v>4.305425874053325E-4</v>
      </c>
      <c r="H293" s="66">
        <f t="shared" si="220"/>
        <v>4.305425874053325E-4</v>
      </c>
      <c r="I293" s="66">
        <f t="shared" si="220"/>
        <v>4.305425874053325E-4</v>
      </c>
      <c r="J293" s="66">
        <f t="shared" si="220"/>
        <v>4.305425874053325E-4</v>
      </c>
      <c r="K293" s="66">
        <f t="shared" si="220"/>
        <v>4.305425874053325E-4</v>
      </c>
      <c r="L293" s="66">
        <f t="shared" si="220"/>
        <v>4.305425874053325E-4</v>
      </c>
      <c r="M293" s="66">
        <f t="shared" si="220"/>
        <v>4.305425874053325E-4</v>
      </c>
      <c r="N293" s="66">
        <f t="shared" si="220"/>
        <v>4.305425874053325E-4</v>
      </c>
      <c r="O293" s="66">
        <f t="shared" si="220"/>
        <v>4.305425874053325E-4</v>
      </c>
      <c r="P293" s="66">
        <f t="shared" si="220"/>
        <v>4.305425874053325E-4</v>
      </c>
      <c r="Q293" s="66">
        <f t="shared" si="220"/>
        <v>4.305425874053325E-4</v>
      </c>
      <c r="R293" s="66">
        <f t="shared" si="220"/>
        <v>4.305425874053325E-4</v>
      </c>
      <c r="S293" s="66">
        <f t="shared" si="220"/>
        <v>4.305425874053325E-4</v>
      </c>
      <c r="T293" s="66">
        <f t="shared" si="220"/>
        <v>4.305425874053325E-4</v>
      </c>
      <c r="U293" s="66">
        <f t="shared" si="220"/>
        <v>4.305425874053325E-4</v>
      </c>
      <c r="V293" s="66">
        <f t="shared" si="220"/>
        <v>4.305425874053325E-4</v>
      </c>
      <c r="W293" s="66">
        <f t="shared" si="220"/>
        <v>4.305425874053325E-4</v>
      </c>
      <c r="X293" s="66">
        <f t="shared" si="220"/>
        <v>4.305425874053325E-4</v>
      </c>
      <c r="Y293" s="66">
        <f t="shared" si="220"/>
        <v>4.305425874053325E-4</v>
      </c>
      <c r="Z293" s="66">
        <f t="shared" si="220"/>
        <v>4.305425874053325E-4</v>
      </c>
      <c r="AA293" s="66">
        <f t="shared" si="220"/>
        <v>4.305425874053325E-4</v>
      </c>
      <c r="AB293" s="66">
        <f t="shared" si="220"/>
        <v>4.305425874053325E-4</v>
      </c>
      <c r="AC293" s="66">
        <f t="shared" si="220"/>
        <v>4.305425874053325E-4</v>
      </c>
    </row>
    <row r="294" spans="1:29" x14ac:dyDescent="0.25">
      <c r="A294" s="30" t="str">
        <f t="shared" si="214"/>
        <v>Opex var (mode-fees)</v>
      </c>
      <c r="B294" s="66">
        <f>B252*B261/B261/(B258)</f>
        <v>8.6011184229469056E-5</v>
      </c>
      <c r="C294" s="66">
        <f t="shared" ref="C294:AC294" si="221">C252*C261/C261/(C258)</f>
        <v>8.6011184229469056E-5</v>
      </c>
      <c r="D294" s="66">
        <f t="shared" si="221"/>
        <v>8.6011184229469056E-5</v>
      </c>
      <c r="E294" s="66">
        <f t="shared" si="221"/>
        <v>8.6011184229469056E-5</v>
      </c>
      <c r="F294" s="66">
        <f t="shared" si="221"/>
        <v>8.6011184229469056E-5</v>
      </c>
      <c r="G294" s="66">
        <f t="shared" si="221"/>
        <v>8.6011184229469056E-5</v>
      </c>
      <c r="H294" s="66">
        <f t="shared" si="221"/>
        <v>8.6011184229469056E-5</v>
      </c>
      <c r="I294" s="66">
        <f t="shared" si="221"/>
        <v>8.6011184229469056E-5</v>
      </c>
      <c r="J294" s="66">
        <f t="shared" si="221"/>
        <v>8.6011184229469056E-5</v>
      </c>
      <c r="K294" s="66">
        <f t="shared" si="221"/>
        <v>8.6011184229469056E-5</v>
      </c>
      <c r="L294" s="66">
        <f t="shared" si="221"/>
        <v>8.6011184229469056E-5</v>
      </c>
      <c r="M294" s="66">
        <f t="shared" si="221"/>
        <v>8.6011184229469056E-5</v>
      </c>
      <c r="N294" s="66">
        <f t="shared" si="221"/>
        <v>8.6011184229469056E-5</v>
      </c>
      <c r="O294" s="66">
        <f t="shared" si="221"/>
        <v>8.6011184229469056E-5</v>
      </c>
      <c r="P294" s="66">
        <f t="shared" si="221"/>
        <v>8.6011184229469056E-5</v>
      </c>
      <c r="Q294" s="66">
        <f t="shared" si="221"/>
        <v>8.6011184229469056E-5</v>
      </c>
      <c r="R294" s="66">
        <f t="shared" si="221"/>
        <v>8.6011184229469056E-5</v>
      </c>
      <c r="S294" s="66">
        <f t="shared" si="221"/>
        <v>8.6011184229469056E-5</v>
      </c>
      <c r="T294" s="66">
        <f t="shared" si="221"/>
        <v>8.6011184229469056E-5</v>
      </c>
      <c r="U294" s="66">
        <f t="shared" si="221"/>
        <v>8.6011184229469056E-5</v>
      </c>
      <c r="V294" s="66">
        <f t="shared" si="221"/>
        <v>8.6011184229469056E-5</v>
      </c>
      <c r="W294" s="66">
        <f t="shared" si="221"/>
        <v>8.6011184229469056E-5</v>
      </c>
      <c r="X294" s="66">
        <f t="shared" si="221"/>
        <v>8.6011184229469056E-5</v>
      </c>
      <c r="Y294" s="66">
        <f t="shared" si="221"/>
        <v>8.6011184229469056E-5</v>
      </c>
      <c r="Z294" s="66">
        <f t="shared" si="221"/>
        <v>8.6011184229469056E-5</v>
      </c>
      <c r="AA294" s="66">
        <f t="shared" si="221"/>
        <v>8.6011184229469056E-5</v>
      </c>
      <c r="AB294" s="66">
        <f t="shared" si="221"/>
        <v>8.6011184229469056E-5</v>
      </c>
      <c r="AC294" s="66">
        <f t="shared" si="221"/>
        <v>8.6011184229469056E-5</v>
      </c>
    </row>
    <row r="295" spans="1:29" x14ac:dyDescent="0.25">
      <c r="A295" s="30" t="str">
        <f t="shared" si="214"/>
        <v>Fuel Cost</v>
      </c>
      <c r="B295" s="66">
        <f>B253*B254*B261/B261/(B258)</f>
        <v>3.9670353002494918E-3</v>
      </c>
      <c r="C295" s="66">
        <f t="shared" ref="C295:AC295" si="222">C253*C254*C261/C261/(C258)</f>
        <v>3.6931916895373094E-3</v>
      </c>
      <c r="D295" s="66">
        <f t="shared" si="222"/>
        <v>3.4192839876304795E-3</v>
      </c>
      <c r="E295" s="66">
        <f t="shared" si="222"/>
        <v>3.1452964880607538E-3</v>
      </c>
      <c r="F295" s="66">
        <f t="shared" si="222"/>
        <v>2.8712120334092352E-3</v>
      </c>
      <c r="G295" s="66">
        <f t="shared" si="222"/>
        <v>2.597013787393953E-3</v>
      </c>
      <c r="H295" s="66">
        <f t="shared" si="222"/>
        <v>2.3226888329275232E-3</v>
      </c>
      <c r="I295" s="66">
        <f t="shared" si="222"/>
        <v>2.0482347822752007E-3</v>
      </c>
      <c r="J295" s="66">
        <f t="shared" si="222"/>
        <v>2.0051254426822185E-3</v>
      </c>
      <c r="K295" s="66">
        <f t="shared" si="222"/>
        <v>1.9614289975816621E-3</v>
      </c>
      <c r="L295" s="66">
        <f t="shared" si="222"/>
        <v>1.9169580533107628E-3</v>
      </c>
      <c r="M295" s="66">
        <f t="shared" si="222"/>
        <v>1.8714952165904367E-3</v>
      </c>
      <c r="N295" s="66">
        <f t="shared" si="222"/>
        <v>1.8248166299813073E-3</v>
      </c>
      <c r="O295" s="66">
        <f t="shared" si="222"/>
        <v>1.7767426535295226E-3</v>
      </c>
      <c r="P295" s="66">
        <f t="shared" si="222"/>
        <v>1.7272206981407826E-3</v>
      </c>
      <c r="Q295" s="66">
        <f t="shared" si="222"/>
        <v>1.6764259336943151E-3</v>
      </c>
      <c r="R295" s="66">
        <f t="shared" si="222"/>
        <v>1.6248324353366624E-3</v>
      </c>
      <c r="S295" s="66">
        <f t="shared" si="222"/>
        <v>1.5731852995283298E-3</v>
      </c>
      <c r="T295" s="66">
        <f t="shared" si="222"/>
        <v>1.5223381222503319E-3</v>
      </c>
      <c r="U295" s="66">
        <f t="shared" si="222"/>
        <v>1.4730147939860906E-3</v>
      </c>
      <c r="V295" s="66">
        <f t="shared" si="222"/>
        <v>1.4256257253619149E-3</v>
      </c>
      <c r="W295" s="66">
        <f t="shared" si="222"/>
        <v>1.3802297324488149E-3</v>
      </c>
      <c r="X295" s="66">
        <f t="shared" si="222"/>
        <v>1.3366239037314685E-3</v>
      </c>
      <c r="Y295" s="66">
        <f t="shared" si="222"/>
        <v>1.2944778643798752E-3</v>
      </c>
      <c r="Z295" s="66">
        <f t="shared" si="222"/>
        <v>1.2534430954847752E-3</v>
      </c>
      <c r="AA295" s="66">
        <f t="shared" si="222"/>
        <v>1.2132141059727651E-3</v>
      </c>
      <c r="AB295" s="66">
        <f t="shared" si="222"/>
        <v>1.1735497799097608E-3</v>
      </c>
      <c r="AC295" s="66">
        <f t="shared" si="222"/>
        <v>1.1342718515609E-3</v>
      </c>
    </row>
    <row r="296" spans="1:29" x14ac:dyDescent="0.25">
      <c r="A296" s="59" t="str">
        <f>A259</f>
        <v>Market failure (av. utilization)</v>
      </c>
      <c r="B296" s="66">
        <f t="shared" ref="B296:AC296" si="223">B285/B259-B285/B258</f>
        <v>6.0519855448708856E-3</v>
      </c>
      <c r="C296" s="66">
        <f t="shared" si="223"/>
        <v>5.7992522041492856E-3</v>
      </c>
      <c r="D296" s="66">
        <f t="shared" si="223"/>
        <v>5.5464792814288516E-3</v>
      </c>
      <c r="E296" s="66">
        <f t="shared" si="223"/>
        <v>5.2936606674371745E-3</v>
      </c>
      <c r="F296" s="66">
        <f t="shared" si="223"/>
        <v>5.0407924413788142E-3</v>
      </c>
      <c r="G296" s="66">
        <f t="shared" si="223"/>
        <v>4.7878759152846914E-3</v>
      </c>
      <c r="H296" s="66">
        <f t="shared" si="223"/>
        <v>4.5349228420362804E-3</v>
      </c>
      <c r="I296" s="66">
        <f t="shared" si="223"/>
        <v>4.2819639482686743E-3</v>
      </c>
      <c r="J296" s="66">
        <f t="shared" si="223"/>
        <v>4.2427124790984901E-3</v>
      </c>
      <c r="K296" s="66">
        <f t="shared" si="223"/>
        <v>4.2031379306289429E-3</v>
      </c>
      <c r="L296" s="66">
        <f t="shared" si="223"/>
        <v>4.1631453822992158E-3</v>
      </c>
      <c r="M296" s="66">
        <f t="shared" si="223"/>
        <v>4.1226295539375929E-3</v>
      </c>
      <c r="N296" s="66">
        <f t="shared" si="223"/>
        <v>4.0814900938208575E-3</v>
      </c>
      <c r="O296" s="66">
        <f t="shared" si="223"/>
        <v>4.0396611370147025E-3</v>
      </c>
      <c r="P296" s="66">
        <f t="shared" si="223"/>
        <v>3.9971561058323403E-3</v>
      </c>
      <c r="Q296" s="66">
        <f t="shared" si="223"/>
        <v>3.9541175905132946E-3</v>
      </c>
      <c r="R296" s="66">
        <f t="shared" si="223"/>
        <v>3.9108451248582622E-3</v>
      </c>
      <c r="S296" s="66">
        <f t="shared" si="223"/>
        <v>3.8677655530779762E-3</v>
      </c>
      <c r="T296" s="66">
        <f t="shared" si="223"/>
        <v>3.8253339893084496E-3</v>
      </c>
      <c r="U296" s="66">
        <f t="shared" si="223"/>
        <v>3.783905113103626E-3</v>
      </c>
      <c r="V296" s="66">
        <f t="shared" si="223"/>
        <v>3.7436460709519481E-3</v>
      </c>
      <c r="W296" s="66">
        <f t="shared" si="223"/>
        <v>3.7045327089314985E-3</v>
      </c>
      <c r="X296" s="66">
        <f t="shared" si="223"/>
        <v>3.6664105503749723E-3</v>
      </c>
      <c r="Y296" s="66">
        <f t="shared" si="223"/>
        <v>3.6290717759250119E-3</v>
      </c>
      <c r="Z296" s="66">
        <f t="shared" si="223"/>
        <v>3.5923126673103635E-3</v>
      </c>
      <c r="AA296" s="66">
        <f t="shared" si="223"/>
        <v>3.5559625670359232E-3</v>
      </c>
      <c r="AB296" s="66">
        <f t="shared" si="223"/>
        <v>3.5198913781314969E-3</v>
      </c>
      <c r="AC296" s="66">
        <f t="shared" si="223"/>
        <v>3.4840057705527402E-3</v>
      </c>
    </row>
    <row r="297" spans="1:29" x14ac:dyDescent="0.25">
      <c r="A297" s="59" t="str">
        <f>A260</f>
        <v>Payload loss (fuel)</v>
      </c>
      <c r="B297" s="66">
        <f>B285/(B258-B260)-B285/B258</f>
        <v>0</v>
      </c>
      <c r="C297" s="66">
        <f t="shared" ref="C297:AC297" si="224">C285/(C258-C260)-C285/C258</f>
        <v>0</v>
      </c>
      <c r="D297" s="66">
        <f t="shared" si="224"/>
        <v>0</v>
      </c>
      <c r="E297" s="66">
        <f t="shared" si="224"/>
        <v>0</v>
      </c>
      <c r="F297" s="66">
        <f t="shared" si="224"/>
        <v>0</v>
      </c>
      <c r="G297" s="66">
        <f t="shared" si="224"/>
        <v>0</v>
      </c>
      <c r="H297" s="66">
        <f t="shared" si="224"/>
        <v>0</v>
      </c>
      <c r="I297" s="66">
        <f t="shared" si="224"/>
        <v>0</v>
      </c>
      <c r="J297" s="66">
        <f t="shared" si="224"/>
        <v>0</v>
      </c>
      <c r="K297" s="66">
        <f t="shared" si="224"/>
        <v>0</v>
      </c>
      <c r="L297" s="66">
        <f t="shared" si="224"/>
        <v>0</v>
      </c>
      <c r="M297" s="66">
        <f t="shared" si="224"/>
        <v>0</v>
      </c>
      <c r="N297" s="66">
        <f t="shared" si="224"/>
        <v>0</v>
      </c>
      <c r="O297" s="66">
        <f t="shared" si="224"/>
        <v>0</v>
      </c>
      <c r="P297" s="66">
        <f t="shared" si="224"/>
        <v>0</v>
      </c>
      <c r="Q297" s="66">
        <f t="shared" si="224"/>
        <v>0</v>
      </c>
      <c r="R297" s="66">
        <f t="shared" si="224"/>
        <v>0</v>
      </c>
      <c r="S297" s="66">
        <f t="shared" si="224"/>
        <v>0</v>
      </c>
      <c r="T297" s="66">
        <f t="shared" si="224"/>
        <v>0</v>
      </c>
      <c r="U297" s="66">
        <f t="shared" si="224"/>
        <v>0</v>
      </c>
      <c r="V297" s="66">
        <f t="shared" si="224"/>
        <v>0</v>
      </c>
      <c r="W297" s="66">
        <f t="shared" si="224"/>
        <v>0</v>
      </c>
      <c r="X297" s="66">
        <f t="shared" si="224"/>
        <v>0</v>
      </c>
      <c r="Y297" s="66">
        <f t="shared" si="224"/>
        <v>0</v>
      </c>
      <c r="Z297" s="66">
        <f t="shared" si="224"/>
        <v>0</v>
      </c>
      <c r="AA297" s="66">
        <f t="shared" si="224"/>
        <v>0</v>
      </c>
      <c r="AB297" s="66">
        <f t="shared" si="224"/>
        <v>0</v>
      </c>
      <c r="AC297" s="66">
        <f t="shared" si="224"/>
        <v>0</v>
      </c>
    </row>
    <row r="298" spans="1:29" ht="15.75" thickBot="1" x14ac:dyDescent="0.3">
      <c r="A298" s="59" t="str">
        <f>A235</f>
        <v>Emission Cost</v>
      </c>
      <c r="B298" s="68">
        <f>B255*B261/B261/(B258)</f>
        <v>0</v>
      </c>
      <c r="C298" s="68">
        <f t="shared" ref="C298:AC298" si="225">C255*C261/C261/(C258)</f>
        <v>0</v>
      </c>
      <c r="D298" s="68">
        <f t="shared" si="225"/>
        <v>0</v>
      </c>
      <c r="E298" s="68">
        <f t="shared" si="225"/>
        <v>0</v>
      </c>
      <c r="F298" s="68">
        <f t="shared" si="225"/>
        <v>0</v>
      </c>
      <c r="G298" s="68">
        <f t="shared" si="225"/>
        <v>0</v>
      </c>
      <c r="H298" s="68">
        <f t="shared" si="225"/>
        <v>0</v>
      </c>
      <c r="I298" s="68">
        <f t="shared" si="225"/>
        <v>0</v>
      </c>
      <c r="J298" s="68">
        <f t="shared" si="225"/>
        <v>0</v>
      </c>
      <c r="K298" s="68">
        <f t="shared" si="225"/>
        <v>0</v>
      </c>
      <c r="L298" s="68">
        <f t="shared" si="225"/>
        <v>0</v>
      </c>
      <c r="M298" s="68">
        <f t="shared" si="225"/>
        <v>0</v>
      </c>
      <c r="N298" s="68">
        <f t="shared" si="225"/>
        <v>0</v>
      </c>
      <c r="O298" s="68">
        <f t="shared" si="225"/>
        <v>0</v>
      </c>
      <c r="P298" s="68">
        <f t="shared" si="225"/>
        <v>0</v>
      </c>
      <c r="Q298" s="68">
        <f t="shared" si="225"/>
        <v>0</v>
      </c>
      <c r="R298" s="68">
        <f t="shared" si="225"/>
        <v>0</v>
      </c>
      <c r="S298" s="68">
        <f t="shared" si="225"/>
        <v>0</v>
      </c>
      <c r="T298" s="68">
        <f t="shared" si="225"/>
        <v>0</v>
      </c>
      <c r="U298" s="68">
        <f t="shared" si="225"/>
        <v>0</v>
      </c>
      <c r="V298" s="68">
        <f t="shared" si="225"/>
        <v>0</v>
      </c>
      <c r="W298" s="68">
        <f t="shared" si="225"/>
        <v>0</v>
      </c>
      <c r="X298" s="68">
        <f t="shared" si="225"/>
        <v>0</v>
      </c>
      <c r="Y298" s="68">
        <f t="shared" si="225"/>
        <v>0</v>
      </c>
      <c r="Z298" s="68">
        <f t="shared" si="225"/>
        <v>0</v>
      </c>
      <c r="AA298" s="68">
        <f t="shared" si="225"/>
        <v>0</v>
      </c>
      <c r="AB298" s="68">
        <f t="shared" si="225"/>
        <v>0</v>
      </c>
      <c r="AC298" s="68">
        <f t="shared" si="225"/>
        <v>0</v>
      </c>
    </row>
    <row r="299" spans="1:29" ht="15.75" thickBot="1" x14ac:dyDescent="0.3">
      <c r="A299" s="31" t="s">
        <v>210</v>
      </c>
      <c r="B299" s="77">
        <f>B288+B289+B290+B291+B292+B293+B294+B295+B296+B297+B298</f>
        <v>1.2594506619149039E-2</v>
      </c>
      <c r="C299" s="67">
        <f t="shared" ref="C299:AC299" si="226">C288+C289+C290+C291+C292+C293+C294+C295+C296+C297+C298</f>
        <v>1.206797882597904E-2</v>
      </c>
      <c r="D299" s="67">
        <f t="shared" si="226"/>
        <v>1.1541368570311471E-2</v>
      </c>
      <c r="E299" s="67">
        <f t="shared" si="226"/>
        <v>1.1014663124495476E-2</v>
      </c>
      <c r="F299" s="67">
        <f t="shared" si="226"/>
        <v>1.0487854320207227E-2</v>
      </c>
      <c r="G299" s="67">
        <f t="shared" si="226"/>
        <v>9.9609448908444705E-3</v>
      </c>
      <c r="H299" s="67">
        <f t="shared" si="226"/>
        <v>9.4339593215769443E-3</v>
      </c>
      <c r="I299" s="67">
        <f t="shared" si="226"/>
        <v>8.9069616262277655E-3</v>
      </c>
      <c r="J299" s="67">
        <f t="shared" si="226"/>
        <v>8.8251877321232179E-3</v>
      </c>
      <c r="K299" s="67">
        <f t="shared" si="226"/>
        <v>8.7427407561449927E-3</v>
      </c>
      <c r="L299" s="67">
        <f t="shared" si="226"/>
        <v>8.6594229471247293E-3</v>
      </c>
      <c r="M299" s="67">
        <f t="shared" si="226"/>
        <v>8.5750149713713468E-3</v>
      </c>
      <c r="N299" s="67">
        <f t="shared" si="226"/>
        <v>8.4893077627948149E-3</v>
      </c>
      <c r="O299" s="67">
        <f t="shared" si="226"/>
        <v>8.4021641027819914E-3</v>
      </c>
      <c r="P299" s="67">
        <f t="shared" si="226"/>
        <v>8.3136119544854042E-3</v>
      </c>
      <c r="Q299" s="67">
        <f t="shared" si="226"/>
        <v>8.2239483809040601E-3</v>
      </c>
      <c r="R299" s="67">
        <f t="shared" si="226"/>
        <v>8.1337974107894093E-3</v>
      </c>
      <c r="S299" s="67">
        <f t="shared" si="226"/>
        <v>8.0440483029138136E-3</v>
      </c>
      <c r="T299" s="67">
        <f t="shared" si="226"/>
        <v>7.9556492117272993E-3</v>
      </c>
      <c r="U299" s="67">
        <f t="shared" si="226"/>
        <v>7.8693390529672516E-3</v>
      </c>
      <c r="V299" s="67">
        <f t="shared" si="226"/>
        <v>7.7854660484845883E-3</v>
      </c>
      <c r="W299" s="67">
        <f t="shared" si="226"/>
        <v>7.7039798776086521E-3</v>
      </c>
      <c r="X299" s="67">
        <f t="shared" si="226"/>
        <v>7.6245587139492218E-3</v>
      </c>
      <c r="Y299" s="67">
        <f t="shared" si="226"/>
        <v>7.5467696005118053E-3</v>
      </c>
      <c r="Z299" s="67">
        <f t="shared" si="226"/>
        <v>7.4701881242312867E-3</v>
      </c>
      <c r="AA299" s="67">
        <f t="shared" si="226"/>
        <v>7.3944587486595367E-3</v>
      </c>
      <c r="AB299" s="67">
        <f t="shared" si="226"/>
        <v>7.3193104384419805E-3</v>
      </c>
      <c r="AC299" s="67">
        <f t="shared" si="226"/>
        <v>7.2445487559862371E-3</v>
      </c>
    </row>
    <row r="301" spans="1:29" x14ac:dyDescent="0.25">
      <c r="B301" s="40"/>
    </row>
    <row r="324" spans="1:44" s="3" customFormat="1" ht="21" x14ac:dyDescent="0.35">
      <c r="A324" s="2" t="str">
        <f>'Parameter Input'!A248</f>
        <v>Short-sea:  Neo bulk</v>
      </c>
    </row>
    <row r="325" spans="1:44" s="3" customFormat="1" ht="21" x14ac:dyDescent="0.35">
      <c r="A325" s="2" t="s">
        <v>279</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Input'!$L$212</f>
        <v>15000000</v>
      </c>
      <c r="C334" s="42">
        <f>'Parameter Input'!$M$212</f>
        <v>15000000</v>
      </c>
      <c r="D334" s="1" t="s">
        <v>15</v>
      </c>
      <c r="L334" s="51">
        <f>'Parameter Input'!$O$212</f>
        <v>17</v>
      </c>
      <c r="M334" s="52">
        <v>0</v>
      </c>
      <c r="N334" s="52">
        <v>1</v>
      </c>
      <c r="O334" s="52">
        <f>'Parameter Input'!$P$212</f>
        <v>0.9</v>
      </c>
      <c r="P334" s="53">
        <f>'Parameter Input'!$Q$212</f>
        <v>0.4</v>
      </c>
      <c r="Q334" s="4">
        <f t="shared" ref="Q334:AR343" si="227">$N334+($M334-$N334)*((1/(1+EXP(-$P334*(Q$9-$L334)))^$O334))</f>
        <v>0.99780374543478534</v>
      </c>
      <c r="R334" s="4">
        <f t="shared" si="227"/>
        <v>0.99685359315256394</v>
      </c>
      <c r="S334" s="4">
        <f t="shared" si="227"/>
        <v>0.99549347132349975</v>
      </c>
      <c r="T334" s="4">
        <f t="shared" si="227"/>
        <v>0.99354772139898062</v>
      </c>
      <c r="U334" s="4">
        <f t="shared" si="227"/>
        <v>0.99076681540580536</v>
      </c>
      <c r="V334" s="4">
        <f t="shared" si="227"/>
        <v>0.9867978615748374</v>
      </c>
      <c r="W334" s="4">
        <f t="shared" si="227"/>
        <v>0.98114509762858249</v>
      </c>
      <c r="X334" s="4">
        <f t="shared" si="227"/>
        <v>0.97311898315872036</v>
      </c>
      <c r="Y334" s="4">
        <f t="shared" si="227"/>
        <v>0.96177484161592774</v>
      </c>
      <c r="Z334" s="4">
        <f t="shared" si="227"/>
        <v>0.94584787155511363</v>
      </c>
      <c r="AA334" s="4">
        <f t="shared" si="227"/>
        <v>0.92370360150141495</v>
      </c>
      <c r="AB334" s="4">
        <f t="shared" si="227"/>
        <v>0.89334463567658451</v>
      </c>
      <c r="AC334" s="4">
        <f t="shared" si="227"/>
        <v>0.85254543874327005</v>
      </c>
      <c r="AD334" s="4">
        <f t="shared" si="227"/>
        <v>0.79921300652623883</v>
      </c>
      <c r="AE334" s="4">
        <f t="shared" si="227"/>
        <v>0.73204982249993378</v>
      </c>
      <c r="AF334" s="4">
        <f t="shared" si="227"/>
        <v>0.65145592958786691</v>
      </c>
      <c r="AG334" s="4">
        <f t="shared" si="227"/>
        <v>0.56032247880849573</v>
      </c>
      <c r="AH334" s="4">
        <f t="shared" si="227"/>
        <v>0.46411326873185343</v>
      </c>
      <c r="AI334" s="4">
        <f t="shared" si="227"/>
        <v>0.36979727595523937</v>
      </c>
      <c r="AJ334" s="4">
        <f t="shared" si="227"/>
        <v>0.28393948637231203</v>
      </c>
      <c r="AK334" s="4">
        <f t="shared" si="227"/>
        <v>0.21097259161117732</v>
      </c>
      <c r="AL334" s="4">
        <f t="shared" si="227"/>
        <v>0.15253917653798199</v>
      </c>
      <c r="AM334" s="4">
        <f t="shared" si="227"/>
        <v>0.10795188737709993</v>
      </c>
      <c r="AN334" s="4">
        <f t="shared" si="227"/>
        <v>7.5176653938091809E-2</v>
      </c>
      <c r="AO334" s="4">
        <f t="shared" si="227"/>
        <v>5.1742836177502194E-2</v>
      </c>
      <c r="AP334" s="4">
        <f t="shared" si="227"/>
        <v>3.5319190625345942E-2</v>
      </c>
      <c r="AQ334" s="4">
        <f t="shared" si="227"/>
        <v>2.3969442072658165E-2</v>
      </c>
      <c r="AR334" s="4">
        <f t="shared" si="227"/>
        <v>1.6202243558389728E-2</v>
      </c>
    </row>
    <row r="335" spans="1:44" x14ac:dyDescent="0.25">
      <c r="A335" s="24" t="s">
        <v>28</v>
      </c>
      <c r="B335" s="60">
        <f>'Parameter Input'!$L$213</f>
        <v>-1500000</v>
      </c>
      <c r="C335" s="61">
        <f>'Parameter Input'!$M$213</f>
        <v>-750000</v>
      </c>
      <c r="D335" s="1" t="s">
        <v>15</v>
      </c>
      <c r="L335" s="54">
        <f>'Parameter Input'!$O$213</f>
        <v>17</v>
      </c>
      <c r="M335" s="37">
        <v>0</v>
      </c>
      <c r="N335" s="37">
        <v>1</v>
      </c>
      <c r="O335" s="37">
        <f>'Parameter Input'!$P$213</f>
        <v>0.9</v>
      </c>
      <c r="P335" s="55">
        <f>'Parameter Input'!$Q$213</f>
        <v>0.4</v>
      </c>
      <c r="Q335" s="4">
        <f t="shared" si="227"/>
        <v>0.99780374543478534</v>
      </c>
      <c r="R335" s="4">
        <f t="shared" si="227"/>
        <v>0.99685359315256394</v>
      </c>
      <c r="S335" s="4">
        <f t="shared" si="227"/>
        <v>0.99549347132349975</v>
      </c>
      <c r="T335" s="4">
        <f t="shared" si="227"/>
        <v>0.99354772139898062</v>
      </c>
      <c r="U335" s="4">
        <f t="shared" si="227"/>
        <v>0.99076681540580536</v>
      </c>
      <c r="V335" s="4">
        <f t="shared" si="227"/>
        <v>0.9867978615748374</v>
      </c>
      <c r="W335" s="4">
        <f t="shared" si="227"/>
        <v>0.98114509762858249</v>
      </c>
      <c r="X335" s="4">
        <f t="shared" si="227"/>
        <v>0.97311898315872036</v>
      </c>
      <c r="Y335" s="4">
        <f t="shared" si="227"/>
        <v>0.96177484161592774</v>
      </c>
      <c r="Z335" s="4">
        <f t="shared" si="227"/>
        <v>0.94584787155511363</v>
      </c>
      <c r="AA335" s="4">
        <f t="shared" si="227"/>
        <v>0.92370360150141495</v>
      </c>
      <c r="AB335" s="4">
        <f t="shared" si="227"/>
        <v>0.89334463567658451</v>
      </c>
      <c r="AC335" s="4">
        <f t="shared" si="227"/>
        <v>0.85254543874327005</v>
      </c>
      <c r="AD335" s="4">
        <f t="shared" si="227"/>
        <v>0.79921300652623883</v>
      </c>
      <c r="AE335" s="4">
        <f t="shared" si="227"/>
        <v>0.73204982249993378</v>
      </c>
      <c r="AF335" s="4">
        <f t="shared" si="227"/>
        <v>0.65145592958786691</v>
      </c>
      <c r="AG335" s="4">
        <f t="shared" si="227"/>
        <v>0.56032247880849573</v>
      </c>
      <c r="AH335" s="4">
        <f t="shared" si="227"/>
        <v>0.46411326873185343</v>
      </c>
      <c r="AI335" s="4">
        <f t="shared" si="227"/>
        <v>0.36979727595523937</v>
      </c>
      <c r="AJ335" s="4">
        <f t="shared" si="227"/>
        <v>0.28393948637231203</v>
      </c>
      <c r="AK335" s="4">
        <f t="shared" si="227"/>
        <v>0.21097259161117732</v>
      </c>
      <c r="AL335" s="4">
        <f t="shared" si="227"/>
        <v>0.15253917653798199</v>
      </c>
      <c r="AM335" s="4">
        <f t="shared" si="227"/>
        <v>0.10795188737709993</v>
      </c>
      <c r="AN335" s="4">
        <f t="shared" si="227"/>
        <v>7.5176653938091809E-2</v>
      </c>
      <c r="AO335" s="4">
        <f t="shared" si="227"/>
        <v>5.1742836177502194E-2</v>
      </c>
      <c r="AP335" s="4">
        <f t="shared" si="227"/>
        <v>3.5319190625345942E-2</v>
      </c>
      <c r="AQ335" s="4">
        <f t="shared" si="227"/>
        <v>2.3969442072658165E-2</v>
      </c>
      <c r="AR335" s="4">
        <f t="shared" si="227"/>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27"/>
        <v>0.99780374543478534</v>
      </c>
      <c r="R336" s="4">
        <f t="shared" si="227"/>
        <v>0.99685359315256394</v>
      </c>
      <c r="S336" s="4">
        <f t="shared" si="227"/>
        <v>0.99549347132349975</v>
      </c>
      <c r="T336" s="4">
        <f t="shared" si="227"/>
        <v>0.99354772139898062</v>
      </c>
      <c r="U336" s="4">
        <f t="shared" si="227"/>
        <v>0.99076681540580536</v>
      </c>
      <c r="V336" s="4">
        <f t="shared" si="227"/>
        <v>0.9867978615748374</v>
      </c>
      <c r="W336" s="4">
        <f t="shared" si="227"/>
        <v>0.98114509762858249</v>
      </c>
      <c r="X336" s="4">
        <f t="shared" si="227"/>
        <v>0.97311898315872036</v>
      </c>
      <c r="Y336" s="4">
        <f t="shared" si="227"/>
        <v>0.96177484161592774</v>
      </c>
      <c r="Z336" s="4">
        <f t="shared" si="227"/>
        <v>0.94584787155511363</v>
      </c>
      <c r="AA336" s="4">
        <f t="shared" si="227"/>
        <v>0.92370360150141495</v>
      </c>
      <c r="AB336" s="4">
        <f t="shared" si="227"/>
        <v>0.89334463567658451</v>
      </c>
      <c r="AC336" s="4">
        <f t="shared" si="227"/>
        <v>0.85254543874327005</v>
      </c>
      <c r="AD336" s="4">
        <f t="shared" si="227"/>
        <v>0.79921300652623883</v>
      </c>
      <c r="AE336" s="4">
        <f t="shared" si="227"/>
        <v>0.73204982249993378</v>
      </c>
      <c r="AF336" s="4">
        <f t="shared" si="227"/>
        <v>0.65145592958786691</v>
      </c>
      <c r="AG336" s="4">
        <f t="shared" si="227"/>
        <v>0.56032247880849573</v>
      </c>
      <c r="AH336" s="4">
        <f t="shared" si="227"/>
        <v>0.46411326873185343</v>
      </c>
      <c r="AI336" s="4">
        <f t="shared" si="227"/>
        <v>0.36979727595523937</v>
      </c>
      <c r="AJ336" s="4">
        <f t="shared" si="227"/>
        <v>0.28393948637231203</v>
      </c>
      <c r="AK336" s="4">
        <f t="shared" si="227"/>
        <v>0.21097259161117732</v>
      </c>
      <c r="AL336" s="4">
        <f t="shared" si="227"/>
        <v>0.15253917653798199</v>
      </c>
      <c r="AM336" s="4">
        <f t="shared" si="227"/>
        <v>0.10795188737709993</v>
      </c>
      <c r="AN336" s="4">
        <f t="shared" si="227"/>
        <v>7.5176653938091809E-2</v>
      </c>
      <c r="AO336" s="4">
        <f t="shared" si="227"/>
        <v>5.1742836177502194E-2</v>
      </c>
      <c r="AP336" s="4">
        <f t="shared" si="227"/>
        <v>3.5319190625345942E-2</v>
      </c>
      <c r="AQ336" s="4">
        <f t="shared" si="227"/>
        <v>2.3969442072658165E-2</v>
      </c>
      <c r="AR336" s="4">
        <f t="shared" si="227"/>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27"/>
        <v>0.99780374543478534</v>
      </c>
      <c r="R337" s="4">
        <f t="shared" si="227"/>
        <v>0.99685359315256394</v>
      </c>
      <c r="S337" s="4">
        <f t="shared" si="227"/>
        <v>0.99549347132349975</v>
      </c>
      <c r="T337" s="4">
        <f t="shared" si="227"/>
        <v>0.99354772139898062</v>
      </c>
      <c r="U337" s="4">
        <f t="shared" si="227"/>
        <v>0.99076681540580536</v>
      </c>
      <c r="V337" s="4">
        <f t="shared" si="227"/>
        <v>0.9867978615748374</v>
      </c>
      <c r="W337" s="4">
        <f t="shared" si="227"/>
        <v>0.98114509762858249</v>
      </c>
      <c r="X337" s="4">
        <f t="shared" si="227"/>
        <v>0.97311898315872036</v>
      </c>
      <c r="Y337" s="4">
        <f t="shared" si="227"/>
        <v>0.96177484161592774</v>
      </c>
      <c r="Z337" s="4">
        <f t="shared" si="227"/>
        <v>0.94584787155511363</v>
      </c>
      <c r="AA337" s="4">
        <f t="shared" si="227"/>
        <v>0.92370360150141495</v>
      </c>
      <c r="AB337" s="4">
        <f t="shared" si="227"/>
        <v>0.89334463567658451</v>
      </c>
      <c r="AC337" s="4">
        <f t="shared" si="227"/>
        <v>0.85254543874327005</v>
      </c>
      <c r="AD337" s="4">
        <f t="shared" si="227"/>
        <v>0.79921300652623883</v>
      </c>
      <c r="AE337" s="4">
        <f t="shared" si="227"/>
        <v>0.73204982249993378</v>
      </c>
      <c r="AF337" s="4">
        <f t="shared" si="227"/>
        <v>0.65145592958786691</v>
      </c>
      <c r="AG337" s="4">
        <f t="shared" si="227"/>
        <v>0.56032247880849573</v>
      </c>
      <c r="AH337" s="4">
        <f t="shared" si="227"/>
        <v>0.46411326873185343</v>
      </c>
      <c r="AI337" s="4">
        <f t="shared" si="227"/>
        <v>0.36979727595523937</v>
      </c>
      <c r="AJ337" s="4">
        <f t="shared" si="227"/>
        <v>0.28393948637231203</v>
      </c>
      <c r="AK337" s="4">
        <f t="shared" si="227"/>
        <v>0.21097259161117732</v>
      </c>
      <c r="AL337" s="4">
        <f t="shared" si="227"/>
        <v>0.15253917653798199</v>
      </c>
      <c r="AM337" s="4">
        <f t="shared" si="227"/>
        <v>0.10795188737709993</v>
      </c>
      <c r="AN337" s="4">
        <f t="shared" si="227"/>
        <v>7.5176653938091809E-2</v>
      </c>
      <c r="AO337" s="4">
        <f t="shared" si="227"/>
        <v>5.1742836177502194E-2</v>
      </c>
      <c r="AP337" s="4">
        <f t="shared" si="227"/>
        <v>3.5319190625345942E-2</v>
      </c>
      <c r="AQ337" s="4">
        <f t="shared" si="227"/>
        <v>2.3969442072658165E-2</v>
      </c>
      <c r="AR337" s="4">
        <f t="shared" si="227"/>
        <v>1.6202243558389728E-2</v>
      </c>
    </row>
    <row r="338" spans="1:44" x14ac:dyDescent="0.25">
      <c r="A338" s="24" t="s">
        <v>79</v>
      </c>
      <c r="B338" s="92">
        <f>'Parameter Input'!$L$219</f>
        <v>0.06</v>
      </c>
      <c r="C338" s="91">
        <f>'Parameter Input'!$M$219</f>
        <v>0.06</v>
      </c>
      <c r="D338" s="1" t="s">
        <v>57</v>
      </c>
      <c r="L338" s="54">
        <f>'Parameter Input'!$O$219</f>
        <v>17</v>
      </c>
      <c r="M338" s="37">
        <v>0</v>
      </c>
      <c r="N338" s="37">
        <v>1</v>
      </c>
      <c r="O338" s="37">
        <f>'Parameter Input'!$P$219</f>
        <v>0.9</v>
      </c>
      <c r="P338" s="55">
        <f>'Parameter Input'!$Q$219</f>
        <v>0.4</v>
      </c>
      <c r="Q338" s="4">
        <f t="shared" si="227"/>
        <v>0.99780374543478534</v>
      </c>
      <c r="R338" s="4">
        <f t="shared" si="227"/>
        <v>0.99685359315256394</v>
      </c>
      <c r="S338" s="4">
        <f t="shared" si="227"/>
        <v>0.99549347132349975</v>
      </c>
      <c r="T338" s="4">
        <f t="shared" si="227"/>
        <v>0.99354772139898062</v>
      </c>
      <c r="U338" s="4">
        <f t="shared" si="227"/>
        <v>0.99076681540580536</v>
      </c>
      <c r="V338" s="4">
        <f t="shared" si="227"/>
        <v>0.9867978615748374</v>
      </c>
      <c r="W338" s="4">
        <f t="shared" si="227"/>
        <v>0.98114509762858249</v>
      </c>
      <c r="X338" s="4">
        <f t="shared" si="227"/>
        <v>0.97311898315872036</v>
      </c>
      <c r="Y338" s="4">
        <f t="shared" si="227"/>
        <v>0.96177484161592774</v>
      </c>
      <c r="Z338" s="4">
        <f t="shared" si="227"/>
        <v>0.94584787155511363</v>
      </c>
      <c r="AA338" s="4">
        <f t="shared" si="227"/>
        <v>0.92370360150141495</v>
      </c>
      <c r="AB338" s="4">
        <f t="shared" si="227"/>
        <v>0.89334463567658451</v>
      </c>
      <c r="AC338" s="4">
        <f t="shared" si="227"/>
        <v>0.85254543874327005</v>
      </c>
      <c r="AD338" s="4">
        <f t="shared" si="227"/>
        <v>0.79921300652623883</v>
      </c>
      <c r="AE338" s="4">
        <f t="shared" si="227"/>
        <v>0.73204982249993378</v>
      </c>
      <c r="AF338" s="4">
        <f t="shared" si="227"/>
        <v>0.65145592958786691</v>
      </c>
      <c r="AG338" s="4">
        <f t="shared" si="227"/>
        <v>0.56032247880849573</v>
      </c>
      <c r="AH338" s="4">
        <f t="shared" si="227"/>
        <v>0.46411326873185343</v>
      </c>
      <c r="AI338" s="4">
        <f t="shared" si="227"/>
        <v>0.36979727595523937</v>
      </c>
      <c r="AJ338" s="4">
        <f t="shared" si="227"/>
        <v>0.28393948637231203</v>
      </c>
      <c r="AK338" s="4">
        <f t="shared" si="227"/>
        <v>0.21097259161117732</v>
      </c>
      <c r="AL338" s="4">
        <f t="shared" si="227"/>
        <v>0.15253917653798199</v>
      </c>
      <c r="AM338" s="4">
        <f t="shared" si="227"/>
        <v>0.10795188737709993</v>
      </c>
      <c r="AN338" s="4">
        <f t="shared" si="227"/>
        <v>7.5176653938091809E-2</v>
      </c>
      <c r="AO338" s="4">
        <f t="shared" si="227"/>
        <v>5.1742836177502194E-2</v>
      </c>
      <c r="AP338" s="4">
        <f t="shared" si="227"/>
        <v>3.5319190625345942E-2</v>
      </c>
      <c r="AQ338" s="4">
        <f t="shared" si="227"/>
        <v>2.3969442072658165E-2</v>
      </c>
      <c r="AR338" s="4">
        <f t="shared" si="227"/>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27"/>
        <v>0.99780374543478534</v>
      </c>
      <c r="R339" s="4">
        <f t="shared" si="227"/>
        <v>0.99685359315256394</v>
      </c>
      <c r="S339" s="4">
        <f t="shared" si="227"/>
        <v>0.99549347132349975</v>
      </c>
      <c r="T339" s="4">
        <f t="shared" si="227"/>
        <v>0.99354772139898062</v>
      </c>
      <c r="U339" s="4">
        <f t="shared" si="227"/>
        <v>0.99076681540580536</v>
      </c>
      <c r="V339" s="4">
        <f t="shared" si="227"/>
        <v>0.9867978615748374</v>
      </c>
      <c r="W339" s="4">
        <f t="shared" si="227"/>
        <v>0.98114509762858249</v>
      </c>
      <c r="X339" s="4">
        <f t="shared" si="227"/>
        <v>0.97311898315872036</v>
      </c>
      <c r="Y339" s="4">
        <f t="shared" si="227"/>
        <v>0.96177484161592774</v>
      </c>
      <c r="Z339" s="4">
        <f t="shared" si="227"/>
        <v>0.94584787155511363</v>
      </c>
      <c r="AA339" s="4">
        <f t="shared" si="227"/>
        <v>0.92370360150141495</v>
      </c>
      <c r="AB339" s="4">
        <f t="shared" si="227"/>
        <v>0.89334463567658451</v>
      </c>
      <c r="AC339" s="4">
        <f t="shared" si="227"/>
        <v>0.85254543874327005</v>
      </c>
      <c r="AD339" s="4">
        <f t="shared" si="227"/>
        <v>0.79921300652623883</v>
      </c>
      <c r="AE339" s="4">
        <f t="shared" si="227"/>
        <v>0.73204982249993378</v>
      </c>
      <c r="AF339" s="4">
        <f t="shared" si="227"/>
        <v>0.65145592958786691</v>
      </c>
      <c r="AG339" s="4">
        <f t="shared" si="227"/>
        <v>0.56032247880849573</v>
      </c>
      <c r="AH339" s="4">
        <f t="shared" si="227"/>
        <v>0.46411326873185343</v>
      </c>
      <c r="AI339" s="4">
        <f t="shared" si="227"/>
        <v>0.36979727595523937</v>
      </c>
      <c r="AJ339" s="4">
        <f t="shared" si="227"/>
        <v>0.28393948637231203</v>
      </c>
      <c r="AK339" s="4">
        <f t="shared" si="227"/>
        <v>0.21097259161117732</v>
      </c>
      <c r="AL339" s="4">
        <f t="shared" si="227"/>
        <v>0.15253917653798199</v>
      </c>
      <c r="AM339" s="4">
        <f t="shared" si="227"/>
        <v>0.10795188737709993</v>
      </c>
      <c r="AN339" s="4">
        <f t="shared" si="227"/>
        <v>7.5176653938091809E-2</v>
      </c>
      <c r="AO339" s="4">
        <f t="shared" si="227"/>
        <v>5.1742836177502194E-2</v>
      </c>
      <c r="AP339" s="4">
        <f t="shared" si="227"/>
        <v>3.5319190625345942E-2</v>
      </c>
      <c r="AQ339" s="4">
        <f t="shared" si="227"/>
        <v>2.3969442072658165E-2</v>
      </c>
      <c r="AR339" s="4">
        <f t="shared" si="227"/>
        <v>1.6202243558389728E-2</v>
      </c>
    </row>
    <row r="340" spans="1:44" x14ac:dyDescent="0.25">
      <c r="A340" s="24" t="s">
        <v>52</v>
      </c>
      <c r="B340" s="60">
        <f>'Parameter Input'!$L$215</f>
        <v>488235.29411764705</v>
      </c>
      <c r="C340" s="61">
        <f>'Parameter Input'!$M$215</f>
        <v>488235.29411764705</v>
      </c>
      <c r="D340" s="1" t="s">
        <v>38</v>
      </c>
      <c r="L340" s="54">
        <f>'Parameter Input'!$O$215</f>
        <v>17</v>
      </c>
      <c r="M340" s="37">
        <v>0</v>
      </c>
      <c r="N340" s="37">
        <v>1</v>
      </c>
      <c r="O340" s="37">
        <f>'Parameter Input'!$P$215</f>
        <v>0.9</v>
      </c>
      <c r="P340" s="55">
        <f>'Parameter Input'!$Q$215</f>
        <v>0.4</v>
      </c>
      <c r="Q340" s="4">
        <f t="shared" si="227"/>
        <v>0.99780374543478534</v>
      </c>
      <c r="R340" s="4">
        <f t="shared" si="227"/>
        <v>0.99685359315256394</v>
      </c>
      <c r="S340" s="4">
        <f t="shared" si="227"/>
        <v>0.99549347132349975</v>
      </c>
      <c r="T340" s="4">
        <f t="shared" si="227"/>
        <v>0.99354772139898062</v>
      </c>
      <c r="U340" s="4">
        <f t="shared" si="227"/>
        <v>0.99076681540580536</v>
      </c>
      <c r="V340" s="4">
        <f t="shared" si="227"/>
        <v>0.9867978615748374</v>
      </c>
      <c r="W340" s="4">
        <f t="shared" si="227"/>
        <v>0.98114509762858249</v>
      </c>
      <c r="X340" s="4">
        <f t="shared" si="227"/>
        <v>0.97311898315872036</v>
      </c>
      <c r="Y340" s="4">
        <f t="shared" si="227"/>
        <v>0.96177484161592774</v>
      </c>
      <c r="Z340" s="4">
        <f t="shared" si="227"/>
        <v>0.94584787155511363</v>
      </c>
      <c r="AA340" s="4">
        <f t="shared" si="227"/>
        <v>0.92370360150141495</v>
      </c>
      <c r="AB340" s="4">
        <f t="shared" si="227"/>
        <v>0.89334463567658451</v>
      </c>
      <c r="AC340" s="4">
        <f t="shared" si="227"/>
        <v>0.85254543874327005</v>
      </c>
      <c r="AD340" s="4">
        <f t="shared" si="227"/>
        <v>0.79921300652623883</v>
      </c>
      <c r="AE340" s="4">
        <f t="shared" si="227"/>
        <v>0.73204982249993378</v>
      </c>
      <c r="AF340" s="4">
        <f t="shared" si="227"/>
        <v>0.65145592958786691</v>
      </c>
      <c r="AG340" s="4">
        <f t="shared" si="227"/>
        <v>0.56032247880849573</v>
      </c>
      <c r="AH340" s="4">
        <f t="shared" si="227"/>
        <v>0.46411326873185343</v>
      </c>
      <c r="AI340" s="4">
        <f t="shared" si="227"/>
        <v>0.36979727595523937</v>
      </c>
      <c r="AJ340" s="4">
        <f t="shared" si="227"/>
        <v>0.28393948637231203</v>
      </c>
      <c r="AK340" s="4">
        <f t="shared" si="227"/>
        <v>0.21097259161117732</v>
      </c>
      <c r="AL340" s="4">
        <f t="shared" si="227"/>
        <v>0.15253917653798199</v>
      </c>
      <c r="AM340" s="4">
        <f t="shared" si="227"/>
        <v>0.10795188737709993</v>
      </c>
      <c r="AN340" s="4">
        <f t="shared" si="227"/>
        <v>7.5176653938091809E-2</v>
      </c>
      <c r="AO340" s="4">
        <f t="shared" si="227"/>
        <v>5.1742836177502194E-2</v>
      </c>
      <c r="AP340" s="4">
        <f t="shared" si="227"/>
        <v>3.5319190625345942E-2</v>
      </c>
      <c r="AQ340" s="4">
        <f t="shared" si="227"/>
        <v>2.3969442072658165E-2</v>
      </c>
      <c r="AR340" s="4">
        <f t="shared" si="227"/>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27"/>
        <v>0.99780374543478534</v>
      </c>
      <c r="R341" s="4">
        <f t="shared" si="227"/>
        <v>0.99685359315256394</v>
      </c>
      <c r="S341" s="4">
        <f t="shared" si="227"/>
        <v>0.99549347132349975</v>
      </c>
      <c r="T341" s="4">
        <f t="shared" si="227"/>
        <v>0.99354772139898062</v>
      </c>
      <c r="U341" s="4">
        <f t="shared" si="227"/>
        <v>0.99076681540580536</v>
      </c>
      <c r="V341" s="4">
        <f t="shared" si="227"/>
        <v>0.9867978615748374</v>
      </c>
      <c r="W341" s="4">
        <f t="shared" si="227"/>
        <v>0.98114509762858249</v>
      </c>
      <c r="X341" s="4">
        <f t="shared" si="227"/>
        <v>0.97311898315872036</v>
      </c>
      <c r="Y341" s="4">
        <f t="shared" si="227"/>
        <v>0.96177484161592774</v>
      </c>
      <c r="Z341" s="4">
        <f t="shared" si="227"/>
        <v>0.94584787155511363</v>
      </c>
      <c r="AA341" s="4">
        <f t="shared" si="227"/>
        <v>0.92370360150141495</v>
      </c>
      <c r="AB341" s="4">
        <f t="shared" si="227"/>
        <v>0.89334463567658451</v>
      </c>
      <c r="AC341" s="4">
        <f t="shared" si="227"/>
        <v>0.85254543874327005</v>
      </c>
      <c r="AD341" s="4">
        <f t="shared" si="227"/>
        <v>0.79921300652623883</v>
      </c>
      <c r="AE341" s="4">
        <f t="shared" si="227"/>
        <v>0.73204982249993378</v>
      </c>
      <c r="AF341" s="4">
        <f t="shared" si="227"/>
        <v>0.65145592958786691</v>
      </c>
      <c r="AG341" s="4">
        <f t="shared" si="227"/>
        <v>0.56032247880849573</v>
      </c>
      <c r="AH341" s="4">
        <f t="shared" si="227"/>
        <v>0.46411326873185343</v>
      </c>
      <c r="AI341" s="4">
        <f t="shared" si="227"/>
        <v>0.36979727595523937</v>
      </c>
      <c r="AJ341" s="4">
        <f t="shared" si="227"/>
        <v>0.28393948637231203</v>
      </c>
      <c r="AK341" s="4">
        <f t="shared" si="227"/>
        <v>0.21097259161117732</v>
      </c>
      <c r="AL341" s="4">
        <f t="shared" si="227"/>
        <v>0.15253917653798199</v>
      </c>
      <c r="AM341" s="4">
        <f t="shared" si="227"/>
        <v>0.10795188737709993</v>
      </c>
      <c r="AN341" s="4">
        <f t="shared" si="227"/>
        <v>7.5176653938091809E-2</v>
      </c>
      <c r="AO341" s="4">
        <f t="shared" si="227"/>
        <v>5.1742836177502194E-2</v>
      </c>
      <c r="AP341" s="4">
        <f t="shared" si="227"/>
        <v>3.5319190625345942E-2</v>
      </c>
      <c r="AQ341" s="4">
        <f t="shared" si="227"/>
        <v>2.3969442072658165E-2</v>
      </c>
      <c r="AR341" s="4">
        <f t="shared" si="227"/>
        <v>1.6202243558389728E-2</v>
      </c>
    </row>
    <row r="342" spans="1:44" x14ac:dyDescent="0.25">
      <c r="A342" s="24" t="s">
        <v>59</v>
      </c>
      <c r="B342" s="60">
        <f>'Parameter Input'!$L$216</f>
        <v>647</v>
      </c>
      <c r="C342" s="61">
        <f>'Parameter Input'!$M$216</f>
        <v>600</v>
      </c>
      <c r="D342" s="1" t="s">
        <v>60</v>
      </c>
      <c r="L342" s="54">
        <f>'Parameter Input'!$O$216</f>
        <v>17</v>
      </c>
      <c r="M342" s="37">
        <v>0</v>
      </c>
      <c r="N342" s="37">
        <v>1</v>
      </c>
      <c r="O342" s="37">
        <f>'Parameter Input'!$P$216</f>
        <v>0.9</v>
      </c>
      <c r="P342" s="55">
        <f>'Parameter Input'!$Q$216</f>
        <v>0.4</v>
      </c>
      <c r="Q342" s="4">
        <f t="shared" si="227"/>
        <v>0.99780374543478534</v>
      </c>
      <c r="R342" s="4">
        <f t="shared" si="227"/>
        <v>0.99685359315256394</v>
      </c>
      <c r="S342" s="4">
        <f t="shared" si="227"/>
        <v>0.99549347132349975</v>
      </c>
      <c r="T342" s="4">
        <f t="shared" si="227"/>
        <v>0.99354772139898062</v>
      </c>
      <c r="U342" s="4">
        <f t="shared" si="227"/>
        <v>0.99076681540580536</v>
      </c>
      <c r="V342" s="4">
        <f t="shared" si="227"/>
        <v>0.9867978615748374</v>
      </c>
      <c r="W342" s="4">
        <f t="shared" si="227"/>
        <v>0.98114509762858249</v>
      </c>
      <c r="X342" s="4">
        <f t="shared" si="227"/>
        <v>0.97311898315872036</v>
      </c>
      <c r="Y342" s="4">
        <f t="shared" si="227"/>
        <v>0.96177484161592774</v>
      </c>
      <c r="Z342" s="4">
        <f t="shared" si="227"/>
        <v>0.94584787155511363</v>
      </c>
      <c r="AA342" s="4">
        <f t="shared" si="227"/>
        <v>0.92370360150141495</v>
      </c>
      <c r="AB342" s="4">
        <f t="shared" si="227"/>
        <v>0.89334463567658451</v>
      </c>
      <c r="AC342" s="4">
        <f t="shared" si="227"/>
        <v>0.85254543874327005</v>
      </c>
      <c r="AD342" s="4">
        <f t="shared" si="227"/>
        <v>0.79921300652623883</v>
      </c>
      <c r="AE342" s="4">
        <f t="shared" si="227"/>
        <v>0.73204982249993378</v>
      </c>
      <c r="AF342" s="4">
        <f t="shared" si="227"/>
        <v>0.65145592958786691</v>
      </c>
      <c r="AG342" s="4">
        <f t="shared" si="227"/>
        <v>0.56032247880849573</v>
      </c>
      <c r="AH342" s="4">
        <f t="shared" si="227"/>
        <v>0.46411326873185343</v>
      </c>
      <c r="AI342" s="4">
        <f t="shared" si="227"/>
        <v>0.36979727595523937</v>
      </c>
      <c r="AJ342" s="4">
        <f t="shared" si="227"/>
        <v>0.28393948637231203</v>
      </c>
      <c r="AK342" s="4">
        <f t="shared" si="227"/>
        <v>0.21097259161117732</v>
      </c>
      <c r="AL342" s="4">
        <f t="shared" si="227"/>
        <v>0.15253917653798199</v>
      </c>
      <c r="AM342" s="4">
        <f t="shared" si="227"/>
        <v>0.10795188737709993</v>
      </c>
      <c r="AN342" s="4">
        <f t="shared" si="227"/>
        <v>7.5176653938091809E-2</v>
      </c>
      <c r="AO342" s="4">
        <f t="shared" si="227"/>
        <v>5.1742836177502194E-2</v>
      </c>
      <c r="AP342" s="4">
        <f t="shared" si="227"/>
        <v>3.5319190625345942E-2</v>
      </c>
      <c r="AQ342" s="4">
        <f t="shared" si="227"/>
        <v>2.3969442072658165E-2</v>
      </c>
      <c r="AR342" s="4">
        <f t="shared" si="227"/>
        <v>1.6202243558389728E-2</v>
      </c>
    </row>
    <row r="343" spans="1:44" x14ac:dyDescent="0.25">
      <c r="A343" s="24" t="s">
        <v>67</v>
      </c>
      <c r="B343" s="78">
        <f>'Parameter Input'!$L$217</f>
        <v>0.06</v>
      </c>
      <c r="C343" s="61">
        <f>'Parameter Input'!$M$217</f>
        <v>0.06</v>
      </c>
      <c r="D343" s="1" t="s">
        <v>68</v>
      </c>
      <c r="L343" s="54">
        <f>'Parameter Input'!$O$217</f>
        <v>17</v>
      </c>
      <c r="M343" s="37">
        <v>0</v>
      </c>
      <c r="N343" s="37">
        <v>1</v>
      </c>
      <c r="O343" s="37">
        <f>'Parameter Input'!$P$217</f>
        <v>0.9</v>
      </c>
      <c r="P343" s="55">
        <f>'Parameter Input'!$Q$217</f>
        <v>0.4</v>
      </c>
      <c r="Q343" s="4">
        <f t="shared" si="227"/>
        <v>0.99780374543478534</v>
      </c>
      <c r="R343" s="4">
        <f t="shared" si="227"/>
        <v>0.99685359315256394</v>
      </c>
      <c r="S343" s="4">
        <f t="shared" si="227"/>
        <v>0.99549347132349975</v>
      </c>
      <c r="T343" s="4">
        <f t="shared" ref="T343:AI350" si="228">$N343+($M343-$N343)*((1/(1+EXP(-$P343*(T$9-$L343)))^$O343))</f>
        <v>0.99354772139898062</v>
      </c>
      <c r="U343" s="4">
        <f t="shared" si="228"/>
        <v>0.99076681540580536</v>
      </c>
      <c r="V343" s="4">
        <f t="shared" si="228"/>
        <v>0.9867978615748374</v>
      </c>
      <c r="W343" s="4">
        <f t="shared" si="228"/>
        <v>0.98114509762858249</v>
      </c>
      <c r="X343" s="4">
        <f t="shared" si="228"/>
        <v>0.97311898315872036</v>
      </c>
      <c r="Y343" s="4">
        <f t="shared" si="228"/>
        <v>0.96177484161592774</v>
      </c>
      <c r="Z343" s="4">
        <f t="shared" si="228"/>
        <v>0.94584787155511363</v>
      </c>
      <c r="AA343" s="4">
        <f t="shared" si="228"/>
        <v>0.92370360150141495</v>
      </c>
      <c r="AB343" s="4">
        <f t="shared" si="228"/>
        <v>0.89334463567658451</v>
      </c>
      <c r="AC343" s="4">
        <f t="shared" si="228"/>
        <v>0.85254543874327005</v>
      </c>
      <c r="AD343" s="4">
        <f t="shared" si="228"/>
        <v>0.79921300652623883</v>
      </c>
      <c r="AE343" s="4">
        <f t="shared" si="228"/>
        <v>0.73204982249993378</v>
      </c>
      <c r="AF343" s="4">
        <f t="shared" si="228"/>
        <v>0.65145592958786691</v>
      </c>
      <c r="AG343" s="4">
        <f t="shared" si="228"/>
        <v>0.56032247880849573</v>
      </c>
      <c r="AH343" s="4">
        <f t="shared" si="228"/>
        <v>0.46411326873185343</v>
      </c>
      <c r="AI343" s="4">
        <f t="shared" si="228"/>
        <v>0.36979727595523937</v>
      </c>
      <c r="AJ343" s="4">
        <f t="shared" ref="AJ343:AR350" si="229">$N343+($M343-$N343)*((1/(1+EXP(-$P343*(AJ$9-$L343)))^$O343))</f>
        <v>0.28393948637231203</v>
      </c>
      <c r="AK343" s="4">
        <f t="shared" si="229"/>
        <v>0.21097259161117732</v>
      </c>
      <c r="AL343" s="4">
        <f t="shared" si="229"/>
        <v>0.15253917653798199</v>
      </c>
      <c r="AM343" s="4">
        <f t="shared" si="229"/>
        <v>0.10795188737709993</v>
      </c>
      <c r="AN343" s="4">
        <f t="shared" si="229"/>
        <v>7.5176653938091809E-2</v>
      </c>
      <c r="AO343" s="4">
        <f t="shared" si="229"/>
        <v>5.1742836177502194E-2</v>
      </c>
      <c r="AP343" s="4">
        <f t="shared" si="229"/>
        <v>3.5319190625345942E-2</v>
      </c>
      <c r="AQ343" s="4">
        <f t="shared" si="229"/>
        <v>2.3969442072658165E-2</v>
      </c>
      <c r="AR343" s="4">
        <f t="shared" si="229"/>
        <v>1.6202243558389728E-2</v>
      </c>
    </row>
    <row r="344" spans="1:44" x14ac:dyDescent="0.25">
      <c r="A344" s="24" t="s">
        <v>206</v>
      </c>
      <c r="B344" s="78">
        <f>'Parameter Input'!L220</f>
        <v>0</v>
      </c>
      <c r="C344" s="61">
        <f>'Parameter Input'!M220</f>
        <v>0</v>
      </c>
      <c r="D344" s="1"/>
      <c r="L344" s="54">
        <f>'Parameter Input'!O220</f>
        <v>17</v>
      </c>
      <c r="M344" s="37">
        <v>0</v>
      </c>
      <c r="N344" s="37">
        <v>1</v>
      </c>
      <c r="O344" s="37">
        <f>'Parameter Input'!P220</f>
        <v>0.9</v>
      </c>
      <c r="P344" s="55">
        <f>'Parameter Input'!Q220</f>
        <v>0.4</v>
      </c>
      <c r="Q344" s="4">
        <f t="shared" ref="Q344:AR344" si="230">$N344+($M344-$N344)*((1/(1+EXP(-$P344*(Q$9-$L344)))^$O344))</f>
        <v>0.99780374543478534</v>
      </c>
      <c r="R344" s="4">
        <f t="shared" si="230"/>
        <v>0.99685359315256394</v>
      </c>
      <c r="S344" s="4">
        <f t="shared" si="230"/>
        <v>0.99549347132349975</v>
      </c>
      <c r="T344" s="4">
        <f t="shared" si="230"/>
        <v>0.99354772139898062</v>
      </c>
      <c r="U344" s="4">
        <f t="shared" si="230"/>
        <v>0.99076681540580536</v>
      </c>
      <c r="V344" s="4">
        <f t="shared" si="230"/>
        <v>0.9867978615748374</v>
      </c>
      <c r="W344" s="4">
        <f t="shared" si="230"/>
        <v>0.98114509762858249</v>
      </c>
      <c r="X344" s="4">
        <f t="shared" si="230"/>
        <v>0.97311898315872036</v>
      </c>
      <c r="Y344" s="4">
        <f t="shared" si="230"/>
        <v>0.96177484161592774</v>
      </c>
      <c r="Z344" s="4">
        <f t="shared" si="230"/>
        <v>0.94584787155511363</v>
      </c>
      <c r="AA344" s="4">
        <f t="shared" si="230"/>
        <v>0.92370360150141495</v>
      </c>
      <c r="AB344" s="4">
        <f t="shared" si="230"/>
        <v>0.89334463567658451</v>
      </c>
      <c r="AC344" s="4">
        <f t="shared" si="230"/>
        <v>0.85254543874327005</v>
      </c>
      <c r="AD344" s="4">
        <f t="shared" si="230"/>
        <v>0.79921300652623883</v>
      </c>
      <c r="AE344" s="4">
        <f t="shared" si="230"/>
        <v>0.73204982249993378</v>
      </c>
      <c r="AF344" s="4">
        <f t="shared" si="230"/>
        <v>0.65145592958786691</v>
      </c>
      <c r="AG344" s="4">
        <f t="shared" si="230"/>
        <v>0.56032247880849573</v>
      </c>
      <c r="AH344" s="4">
        <f t="shared" si="230"/>
        <v>0.46411326873185343</v>
      </c>
      <c r="AI344" s="4">
        <f t="shared" si="230"/>
        <v>0.36979727595523937</v>
      </c>
      <c r="AJ344" s="4">
        <f t="shared" si="230"/>
        <v>0.28393948637231203</v>
      </c>
      <c r="AK344" s="4">
        <f t="shared" si="230"/>
        <v>0.21097259161117732</v>
      </c>
      <c r="AL344" s="4">
        <f t="shared" si="230"/>
        <v>0.15253917653798199</v>
      </c>
      <c r="AM344" s="4">
        <f t="shared" si="230"/>
        <v>0.10795188737709993</v>
      </c>
      <c r="AN344" s="4">
        <f t="shared" si="230"/>
        <v>7.5176653938091809E-2</v>
      </c>
      <c r="AO344" s="4">
        <f t="shared" si="230"/>
        <v>5.1742836177502194E-2</v>
      </c>
      <c r="AP344" s="4">
        <f t="shared" si="230"/>
        <v>3.5319190625345942E-2</v>
      </c>
      <c r="AQ344" s="4">
        <f t="shared" si="230"/>
        <v>2.3969442072658165E-2</v>
      </c>
      <c r="AR344" s="4">
        <f t="shared" si="230"/>
        <v>1.6202243558389728E-2</v>
      </c>
    </row>
    <row r="345" spans="1:44" x14ac:dyDescent="0.25">
      <c r="A345" s="24" t="s">
        <v>41</v>
      </c>
      <c r="B345" s="60">
        <f>'Parameter Input'!$L$214</f>
        <v>25</v>
      </c>
      <c r="C345" s="61">
        <f>'Parameter Input'!$M$214</f>
        <v>25</v>
      </c>
      <c r="D345" s="1" t="s">
        <v>42</v>
      </c>
      <c r="L345" s="54">
        <f>'Parameter Input'!$O$214</f>
        <v>17</v>
      </c>
      <c r="M345" s="37">
        <v>0</v>
      </c>
      <c r="N345" s="37">
        <v>1</v>
      </c>
      <c r="O345" s="37">
        <f>'Parameter Input'!$P$214</f>
        <v>0.9</v>
      </c>
      <c r="P345" s="55">
        <f>'Parameter Input'!$Q$214</f>
        <v>0.4</v>
      </c>
      <c r="Q345" s="4">
        <f t="shared" ref="Q345:AF350" si="231">$N345+($M345-$N345)*((1/(1+EXP(-$P345*(Q$9-$L345)))^$O345))</f>
        <v>0.99780374543478534</v>
      </c>
      <c r="R345" s="4">
        <f t="shared" si="231"/>
        <v>0.99685359315256394</v>
      </c>
      <c r="S345" s="4">
        <f t="shared" si="231"/>
        <v>0.99549347132349975</v>
      </c>
      <c r="T345" s="4">
        <f t="shared" si="231"/>
        <v>0.99354772139898062</v>
      </c>
      <c r="U345" s="4">
        <f t="shared" si="231"/>
        <v>0.99076681540580536</v>
      </c>
      <c r="V345" s="4">
        <f t="shared" si="231"/>
        <v>0.9867978615748374</v>
      </c>
      <c r="W345" s="4">
        <f t="shared" si="231"/>
        <v>0.98114509762858249</v>
      </c>
      <c r="X345" s="4">
        <f t="shared" si="231"/>
        <v>0.97311898315872036</v>
      </c>
      <c r="Y345" s="4">
        <f t="shared" si="231"/>
        <v>0.96177484161592774</v>
      </c>
      <c r="Z345" s="4">
        <f t="shared" si="231"/>
        <v>0.94584787155511363</v>
      </c>
      <c r="AA345" s="4">
        <f t="shared" si="231"/>
        <v>0.92370360150141495</v>
      </c>
      <c r="AB345" s="4">
        <f t="shared" si="231"/>
        <v>0.89334463567658451</v>
      </c>
      <c r="AC345" s="4">
        <f t="shared" si="231"/>
        <v>0.85254543874327005</v>
      </c>
      <c r="AD345" s="4">
        <f t="shared" si="231"/>
        <v>0.79921300652623883</v>
      </c>
      <c r="AE345" s="4">
        <f t="shared" si="231"/>
        <v>0.73204982249993378</v>
      </c>
      <c r="AF345" s="4">
        <f t="shared" si="231"/>
        <v>0.65145592958786691</v>
      </c>
      <c r="AG345" s="4">
        <f t="shared" si="228"/>
        <v>0.56032247880849573</v>
      </c>
      <c r="AH345" s="4">
        <f t="shared" si="228"/>
        <v>0.46411326873185343</v>
      </c>
      <c r="AI345" s="4">
        <f t="shared" si="228"/>
        <v>0.36979727595523937</v>
      </c>
      <c r="AJ345" s="4">
        <f t="shared" si="229"/>
        <v>0.28393948637231203</v>
      </c>
      <c r="AK345" s="4">
        <f t="shared" si="229"/>
        <v>0.21097259161117732</v>
      </c>
      <c r="AL345" s="4">
        <f t="shared" si="229"/>
        <v>0.15253917653798199</v>
      </c>
      <c r="AM345" s="4">
        <f t="shared" si="229"/>
        <v>0.10795188737709993</v>
      </c>
      <c r="AN345" s="4">
        <f t="shared" si="229"/>
        <v>7.5176653938091809E-2</v>
      </c>
      <c r="AO345" s="4">
        <f t="shared" si="229"/>
        <v>5.1742836177502194E-2</v>
      </c>
      <c r="AP345" s="4">
        <f t="shared" si="229"/>
        <v>3.5319190625345942E-2</v>
      </c>
      <c r="AQ345" s="4">
        <f t="shared" si="229"/>
        <v>2.3969442072658165E-2</v>
      </c>
      <c r="AR345" s="4">
        <f t="shared" si="229"/>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1"/>
        <v>0.99780374543478534</v>
      </c>
      <c r="R346" s="4">
        <f t="shared" si="231"/>
        <v>0.99685359315256394</v>
      </c>
      <c r="S346" s="4">
        <f t="shared" si="231"/>
        <v>0.99549347132349975</v>
      </c>
      <c r="T346" s="4">
        <f t="shared" si="231"/>
        <v>0.99354772139898062</v>
      </c>
      <c r="U346" s="4">
        <f t="shared" si="231"/>
        <v>0.99076681540580536</v>
      </c>
      <c r="V346" s="4">
        <f t="shared" si="231"/>
        <v>0.9867978615748374</v>
      </c>
      <c r="W346" s="4">
        <f t="shared" si="231"/>
        <v>0.98114509762858249</v>
      </c>
      <c r="X346" s="4">
        <f t="shared" si="231"/>
        <v>0.97311898315872036</v>
      </c>
      <c r="Y346" s="4">
        <f t="shared" si="231"/>
        <v>0.96177484161592774</v>
      </c>
      <c r="Z346" s="4">
        <f t="shared" si="231"/>
        <v>0.94584787155511363</v>
      </c>
      <c r="AA346" s="4">
        <f t="shared" si="231"/>
        <v>0.92370360150141495</v>
      </c>
      <c r="AB346" s="4">
        <f t="shared" si="231"/>
        <v>0.89334463567658451</v>
      </c>
      <c r="AC346" s="4">
        <f t="shared" si="231"/>
        <v>0.85254543874327005</v>
      </c>
      <c r="AD346" s="4">
        <f t="shared" si="231"/>
        <v>0.79921300652623883</v>
      </c>
      <c r="AE346" s="4">
        <f t="shared" si="231"/>
        <v>0.73204982249993378</v>
      </c>
      <c r="AF346" s="4">
        <f t="shared" si="231"/>
        <v>0.65145592958786691</v>
      </c>
      <c r="AG346" s="4">
        <f t="shared" si="228"/>
        <v>0.56032247880849573</v>
      </c>
      <c r="AH346" s="4">
        <f t="shared" si="228"/>
        <v>0.46411326873185343</v>
      </c>
      <c r="AI346" s="4">
        <f t="shared" si="228"/>
        <v>0.36979727595523937</v>
      </c>
      <c r="AJ346" s="4">
        <f t="shared" si="229"/>
        <v>0.28393948637231203</v>
      </c>
      <c r="AK346" s="4">
        <f t="shared" si="229"/>
        <v>0.21097259161117732</v>
      </c>
      <c r="AL346" s="4">
        <f t="shared" si="229"/>
        <v>0.15253917653798199</v>
      </c>
      <c r="AM346" s="4">
        <f t="shared" si="229"/>
        <v>0.10795188737709993</v>
      </c>
      <c r="AN346" s="4">
        <f t="shared" si="229"/>
        <v>7.5176653938091809E-2</v>
      </c>
      <c r="AO346" s="4">
        <f t="shared" si="229"/>
        <v>5.1742836177502194E-2</v>
      </c>
      <c r="AP346" s="4">
        <f t="shared" si="229"/>
        <v>3.5319190625345942E-2</v>
      </c>
      <c r="AQ346" s="4">
        <f t="shared" si="229"/>
        <v>2.3969442072658165E-2</v>
      </c>
      <c r="AR346" s="4">
        <f t="shared" si="229"/>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1"/>
        <v>0.99780374543478534</v>
      </c>
      <c r="R347" s="4">
        <f t="shared" si="231"/>
        <v>0.99685359315256394</v>
      </c>
      <c r="S347" s="4">
        <f t="shared" si="231"/>
        <v>0.99549347132349975</v>
      </c>
      <c r="T347" s="4">
        <f t="shared" si="231"/>
        <v>0.99354772139898062</v>
      </c>
      <c r="U347" s="4">
        <f t="shared" si="231"/>
        <v>0.99076681540580536</v>
      </c>
      <c r="V347" s="4">
        <f t="shared" si="231"/>
        <v>0.9867978615748374</v>
      </c>
      <c r="W347" s="4">
        <f t="shared" si="231"/>
        <v>0.98114509762858249</v>
      </c>
      <c r="X347" s="4">
        <f t="shared" si="231"/>
        <v>0.97311898315872036</v>
      </c>
      <c r="Y347" s="4">
        <f t="shared" si="231"/>
        <v>0.96177484161592774</v>
      </c>
      <c r="Z347" s="4">
        <f t="shared" si="231"/>
        <v>0.94584787155511363</v>
      </c>
      <c r="AA347" s="4">
        <f t="shared" si="231"/>
        <v>0.92370360150141495</v>
      </c>
      <c r="AB347" s="4">
        <f t="shared" si="231"/>
        <v>0.89334463567658451</v>
      </c>
      <c r="AC347" s="4">
        <f t="shared" si="231"/>
        <v>0.85254543874327005</v>
      </c>
      <c r="AD347" s="4">
        <f t="shared" si="231"/>
        <v>0.79921300652623883</v>
      </c>
      <c r="AE347" s="4">
        <f t="shared" si="231"/>
        <v>0.73204982249993378</v>
      </c>
      <c r="AF347" s="4">
        <f t="shared" si="231"/>
        <v>0.65145592958786691</v>
      </c>
      <c r="AG347" s="4">
        <f t="shared" si="228"/>
        <v>0.56032247880849573</v>
      </c>
      <c r="AH347" s="4">
        <f t="shared" si="228"/>
        <v>0.46411326873185343</v>
      </c>
      <c r="AI347" s="4">
        <f t="shared" si="228"/>
        <v>0.36979727595523937</v>
      </c>
      <c r="AJ347" s="4">
        <f t="shared" si="229"/>
        <v>0.28393948637231203</v>
      </c>
      <c r="AK347" s="4">
        <f t="shared" si="229"/>
        <v>0.21097259161117732</v>
      </c>
      <c r="AL347" s="4">
        <f t="shared" si="229"/>
        <v>0.15253917653798199</v>
      </c>
      <c r="AM347" s="4">
        <f t="shared" si="229"/>
        <v>0.10795188737709993</v>
      </c>
      <c r="AN347" s="4">
        <f t="shared" si="229"/>
        <v>7.5176653938091809E-2</v>
      </c>
      <c r="AO347" s="4">
        <f t="shared" si="229"/>
        <v>5.1742836177502194E-2</v>
      </c>
      <c r="AP347" s="4">
        <f t="shared" si="229"/>
        <v>3.5319190625345942E-2</v>
      </c>
      <c r="AQ347" s="4">
        <f t="shared" si="229"/>
        <v>2.3969442072658165E-2</v>
      </c>
      <c r="AR347" s="4">
        <f t="shared" si="229"/>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1"/>
        <v>0.99780374543478534</v>
      </c>
      <c r="R348" s="4">
        <f t="shared" si="231"/>
        <v>0.99685359315256394</v>
      </c>
      <c r="S348" s="4">
        <f t="shared" si="231"/>
        <v>0.99549347132349975</v>
      </c>
      <c r="T348" s="4">
        <f t="shared" si="231"/>
        <v>0.99354772139898062</v>
      </c>
      <c r="U348" s="4">
        <f t="shared" si="231"/>
        <v>0.99076681540580536</v>
      </c>
      <c r="V348" s="4">
        <f t="shared" si="231"/>
        <v>0.9867978615748374</v>
      </c>
      <c r="W348" s="4">
        <f t="shared" si="231"/>
        <v>0.98114509762858249</v>
      </c>
      <c r="X348" s="4">
        <f t="shared" si="231"/>
        <v>0.97311898315872036</v>
      </c>
      <c r="Y348" s="4">
        <f t="shared" si="231"/>
        <v>0.96177484161592774</v>
      </c>
      <c r="Z348" s="4">
        <f t="shared" si="231"/>
        <v>0.94584787155511363</v>
      </c>
      <c r="AA348" s="4">
        <f t="shared" si="231"/>
        <v>0.92370360150141495</v>
      </c>
      <c r="AB348" s="4">
        <f t="shared" si="231"/>
        <v>0.89334463567658451</v>
      </c>
      <c r="AC348" s="4">
        <f t="shared" si="231"/>
        <v>0.85254543874327005</v>
      </c>
      <c r="AD348" s="4">
        <f t="shared" si="231"/>
        <v>0.79921300652623883</v>
      </c>
      <c r="AE348" s="4">
        <f t="shared" si="231"/>
        <v>0.73204982249993378</v>
      </c>
      <c r="AF348" s="4">
        <f t="shared" si="231"/>
        <v>0.65145592958786691</v>
      </c>
      <c r="AG348" s="4">
        <f t="shared" si="228"/>
        <v>0.56032247880849573</v>
      </c>
      <c r="AH348" s="4">
        <f t="shared" si="228"/>
        <v>0.46411326873185343</v>
      </c>
      <c r="AI348" s="4">
        <f t="shared" si="228"/>
        <v>0.36979727595523937</v>
      </c>
      <c r="AJ348" s="4">
        <f t="shared" si="229"/>
        <v>0.28393948637231203</v>
      </c>
      <c r="AK348" s="4">
        <f t="shared" si="229"/>
        <v>0.21097259161117732</v>
      </c>
      <c r="AL348" s="4">
        <f t="shared" si="229"/>
        <v>0.15253917653798199</v>
      </c>
      <c r="AM348" s="4">
        <f t="shared" si="229"/>
        <v>0.10795188737709993</v>
      </c>
      <c r="AN348" s="4">
        <f t="shared" si="229"/>
        <v>7.5176653938091809E-2</v>
      </c>
      <c r="AO348" s="4">
        <f t="shared" si="229"/>
        <v>5.1742836177502194E-2</v>
      </c>
      <c r="AP348" s="4">
        <f t="shared" si="229"/>
        <v>3.5319190625345942E-2</v>
      </c>
      <c r="AQ348" s="4">
        <f t="shared" si="229"/>
        <v>2.3969442072658165E-2</v>
      </c>
      <c r="AR348" s="4">
        <f t="shared" si="229"/>
        <v>1.6202243558389728E-2</v>
      </c>
    </row>
    <row r="349" spans="1:44" x14ac:dyDescent="0.25">
      <c r="A349" s="24" t="s">
        <v>73</v>
      </c>
      <c r="B349" s="45">
        <f>'Parameter Input'!$L$218</f>
        <v>0</v>
      </c>
      <c r="C349" s="46">
        <f>'Parameter Input'!$M$218</f>
        <v>0</v>
      </c>
      <c r="D349" s="1" t="s">
        <v>57</v>
      </c>
      <c r="L349" s="54">
        <f>'Parameter Input'!$O$218</f>
        <v>17</v>
      </c>
      <c r="M349" s="37">
        <v>0</v>
      </c>
      <c r="N349" s="37">
        <v>1</v>
      </c>
      <c r="O349" s="37">
        <f>'Parameter Input'!$P$218</f>
        <v>0.9</v>
      </c>
      <c r="P349" s="55">
        <f>'Parameter Input'!$Q$218</f>
        <v>0.4</v>
      </c>
      <c r="Q349" s="4">
        <f t="shared" si="231"/>
        <v>0.99780374543478534</v>
      </c>
      <c r="R349" s="4">
        <f t="shared" si="231"/>
        <v>0.99685359315256394</v>
      </c>
      <c r="S349" s="4">
        <f t="shared" si="231"/>
        <v>0.99549347132349975</v>
      </c>
      <c r="T349" s="4">
        <f t="shared" si="231"/>
        <v>0.99354772139898062</v>
      </c>
      <c r="U349" s="4">
        <f t="shared" si="231"/>
        <v>0.99076681540580536</v>
      </c>
      <c r="V349" s="4">
        <f t="shared" si="231"/>
        <v>0.9867978615748374</v>
      </c>
      <c r="W349" s="4">
        <f t="shared" si="231"/>
        <v>0.98114509762858249</v>
      </c>
      <c r="X349" s="4">
        <f t="shared" si="231"/>
        <v>0.97311898315872036</v>
      </c>
      <c r="Y349" s="4">
        <f t="shared" si="231"/>
        <v>0.96177484161592774</v>
      </c>
      <c r="Z349" s="4">
        <f t="shared" si="231"/>
        <v>0.94584787155511363</v>
      </c>
      <c r="AA349" s="4">
        <f t="shared" si="231"/>
        <v>0.92370360150141495</v>
      </c>
      <c r="AB349" s="4">
        <f t="shared" si="231"/>
        <v>0.89334463567658451</v>
      </c>
      <c r="AC349" s="4">
        <f t="shared" si="231"/>
        <v>0.85254543874327005</v>
      </c>
      <c r="AD349" s="4">
        <f t="shared" si="231"/>
        <v>0.79921300652623883</v>
      </c>
      <c r="AE349" s="4">
        <f t="shared" si="231"/>
        <v>0.73204982249993378</v>
      </c>
      <c r="AF349" s="4">
        <f t="shared" si="231"/>
        <v>0.65145592958786691</v>
      </c>
      <c r="AG349" s="4">
        <f t="shared" si="228"/>
        <v>0.56032247880849573</v>
      </c>
      <c r="AH349" s="4">
        <f t="shared" si="228"/>
        <v>0.46411326873185343</v>
      </c>
      <c r="AI349" s="4">
        <f t="shared" si="228"/>
        <v>0.36979727595523937</v>
      </c>
      <c r="AJ349" s="4">
        <f t="shared" si="229"/>
        <v>0.28393948637231203</v>
      </c>
      <c r="AK349" s="4">
        <f t="shared" si="229"/>
        <v>0.21097259161117732</v>
      </c>
      <c r="AL349" s="4">
        <f t="shared" si="229"/>
        <v>0.15253917653798199</v>
      </c>
      <c r="AM349" s="4">
        <f t="shared" si="229"/>
        <v>0.10795188737709993</v>
      </c>
      <c r="AN349" s="4">
        <f t="shared" si="229"/>
        <v>7.5176653938091809E-2</v>
      </c>
      <c r="AO349" s="4">
        <f t="shared" si="229"/>
        <v>5.1742836177502194E-2</v>
      </c>
      <c r="AP349" s="4">
        <f t="shared" si="229"/>
        <v>3.5319190625345942E-2</v>
      </c>
      <c r="AQ349" s="4">
        <f t="shared" si="229"/>
        <v>2.3969442072658165E-2</v>
      </c>
      <c r="AR349" s="4">
        <f t="shared" si="229"/>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1"/>
        <v>0.99780374543478534</v>
      </c>
      <c r="R350" s="4">
        <f t="shared" si="231"/>
        <v>0.99685359315256394</v>
      </c>
      <c r="S350" s="4">
        <f t="shared" si="231"/>
        <v>0.99549347132349975</v>
      </c>
      <c r="T350" s="4">
        <f t="shared" si="231"/>
        <v>0.99354772139898062</v>
      </c>
      <c r="U350" s="4">
        <f t="shared" si="231"/>
        <v>0.99076681540580536</v>
      </c>
      <c r="V350" s="4">
        <f t="shared" si="231"/>
        <v>0.9867978615748374</v>
      </c>
      <c r="W350" s="4">
        <f t="shared" si="231"/>
        <v>0.98114509762858249</v>
      </c>
      <c r="X350" s="4">
        <f t="shared" si="231"/>
        <v>0.97311898315872036</v>
      </c>
      <c r="Y350" s="4">
        <f t="shared" si="231"/>
        <v>0.96177484161592774</v>
      </c>
      <c r="Z350" s="4">
        <f t="shared" si="231"/>
        <v>0.94584787155511363</v>
      </c>
      <c r="AA350" s="4">
        <f t="shared" si="231"/>
        <v>0.92370360150141495</v>
      </c>
      <c r="AB350" s="4">
        <f t="shared" si="231"/>
        <v>0.89334463567658451</v>
      </c>
      <c r="AC350" s="4">
        <f t="shared" si="231"/>
        <v>0.85254543874327005</v>
      </c>
      <c r="AD350" s="4">
        <f t="shared" si="231"/>
        <v>0.79921300652623883</v>
      </c>
      <c r="AE350" s="4">
        <f t="shared" si="231"/>
        <v>0.73204982249993378</v>
      </c>
      <c r="AF350" s="4">
        <f t="shared" si="231"/>
        <v>0.65145592958786691</v>
      </c>
      <c r="AG350" s="4">
        <f t="shared" si="228"/>
        <v>0.56032247880849573</v>
      </c>
      <c r="AH350" s="4">
        <f t="shared" si="228"/>
        <v>0.46411326873185343</v>
      </c>
      <c r="AI350" s="4">
        <f t="shared" si="228"/>
        <v>0.36979727595523937</v>
      </c>
      <c r="AJ350" s="4">
        <f t="shared" si="229"/>
        <v>0.28393948637231203</v>
      </c>
      <c r="AK350" s="4">
        <f t="shared" si="229"/>
        <v>0.21097259161117732</v>
      </c>
      <c r="AL350" s="4">
        <f t="shared" si="229"/>
        <v>0.15253917653798199</v>
      </c>
      <c r="AM350" s="4">
        <f t="shared" si="229"/>
        <v>0.10795188737709993</v>
      </c>
      <c r="AN350" s="4">
        <f t="shared" si="229"/>
        <v>7.5176653938091809E-2</v>
      </c>
      <c r="AO350" s="4">
        <f t="shared" si="229"/>
        <v>5.1742836177502194E-2</v>
      </c>
      <c r="AP350" s="4">
        <f t="shared" si="229"/>
        <v>3.5319190625345942E-2</v>
      </c>
      <c r="AQ350" s="4">
        <f t="shared" si="229"/>
        <v>2.3969442072658165E-2</v>
      </c>
      <c r="AR350" s="4">
        <f t="shared" si="229"/>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2">A334</f>
        <v>Capex vehicle</v>
      </c>
      <c r="B354" s="62">
        <f t="shared" ref="B354:B362" si="233">$B334+($C334-$B334)*(1-Q334)</f>
        <v>15000000</v>
      </c>
      <c r="C354" s="62">
        <f t="shared" ref="C354:C362" si="234">$B334+($C334-$B334)*(1-R334)</f>
        <v>15000000</v>
      </c>
      <c r="D354" s="62">
        <f t="shared" ref="D354:D362" si="235">$B334+($C334-$B334)*(1-S334)</f>
        <v>15000000</v>
      </c>
      <c r="E354" s="62">
        <f t="shared" ref="E354:E362" si="236">$B334+($C334-$B334)*(1-T334)</f>
        <v>15000000</v>
      </c>
      <c r="F354" s="62">
        <f t="shared" ref="F354:F362" si="237">$B334+($C334-$B334)*(1-U334)</f>
        <v>15000000</v>
      </c>
      <c r="G354" s="62">
        <f t="shared" ref="G354:G362" si="238">$B334+($C334-$B334)*(1-V334)</f>
        <v>15000000</v>
      </c>
      <c r="H354" s="62">
        <f t="shared" ref="H354:H362" si="239">$B334+($C334-$B334)*(1-W334)</f>
        <v>15000000</v>
      </c>
      <c r="I354" s="62">
        <f t="shared" ref="I354:I362" si="240">$B334+($C334-$B334)*(1-X334)</f>
        <v>15000000</v>
      </c>
      <c r="J354" s="62">
        <f t="shared" ref="J354:J362" si="241">$B334+($C334-$B334)*(1-Y334)</f>
        <v>15000000</v>
      </c>
      <c r="K354" s="62">
        <f t="shared" ref="K354:K362" si="242">$B334+($C334-$B334)*(1-Z334)</f>
        <v>15000000</v>
      </c>
      <c r="L354" s="62">
        <f t="shared" ref="L354:L362" si="243">$B334+($C334-$B334)*(1-AA334)</f>
        <v>15000000</v>
      </c>
      <c r="M354" s="62">
        <f t="shared" ref="M354:M362" si="244">$B334+($C334-$B334)*(1-AB334)</f>
        <v>15000000</v>
      </c>
      <c r="N354" s="62">
        <f t="shared" ref="N354:N362" si="245">$B334+($C334-$B334)*(1-AC334)</f>
        <v>15000000</v>
      </c>
      <c r="O354" s="62">
        <f t="shared" ref="O354:O362" si="246">$B334+($C334-$B334)*(1-AD334)</f>
        <v>15000000</v>
      </c>
      <c r="P354" s="62">
        <f t="shared" ref="P354:P362" si="247">$B334+($C334-$B334)*(1-AE334)</f>
        <v>15000000</v>
      </c>
      <c r="Q354" s="62">
        <f t="shared" ref="Q354:Q362" si="248">$B334+($C334-$B334)*(1-AF334)</f>
        <v>15000000</v>
      </c>
      <c r="R354" s="62">
        <f t="shared" ref="R354:R362" si="249">$B334+($C334-$B334)*(1-AG334)</f>
        <v>15000000</v>
      </c>
      <c r="S354" s="62">
        <f t="shared" ref="S354:S362" si="250">$B334+($C334-$B334)*(1-AH334)</f>
        <v>15000000</v>
      </c>
      <c r="T354" s="62">
        <f t="shared" ref="T354:T362" si="251">$B334+($C334-$B334)*(1-AI334)</f>
        <v>15000000</v>
      </c>
      <c r="U354" s="62">
        <f t="shared" ref="U354:U362" si="252">$B334+($C334-$B334)*(1-AJ334)</f>
        <v>15000000</v>
      </c>
      <c r="V354" s="62">
        <f t="shared" ref="V354:V362" si="253">$B334+($C334-$B334)*(1-AK334)</f>
        <v>15000000</v>
      </c>
      <c r="W354" s="62">
        <f t="shared" ref="W354:W362" si="254">$B334+($C334-$B334)*(1-AL334)</f>
        <v>15000000</v>
      </c>
      <c r="X354" s="62">
        <f t="shared" ref="X354:X362" si="255">$B334+($C334-$B334)*(1-AM334)</f>
        <v>15000000</v>
      </c>
      <c r="Y354" s="62">
        <f t="shared" ref="Y354:Y362" si="256">$B334+($C334-$B334)*(1-AN334)</f>
        <v>15000000</v>
      </c>
      <c r="Z354" s="62">
        <f t="shared" ref="Z354:Z362" si="257">$B334+($C334-$B334)*(1-AO334)</f>
        <v>15000000</v>
      </c>
      <c r="AA354" s="62">
        <f t="shared" ref="AA354:AA362" si="258">$B334+($C334-$B334)*(1-AP334)</f>
        <v>15000000</v>
      </c>
      <c r="AB354" s="62">
        <f t="shared" ref="AB354:AB362" si="259">$B334+($C334-$B334)*(1-AQ334)</f>
        <v>15000000</v>
      </c>
      <c r="AC354" s="62">
        <f t="shared" ref="AC354:AC362" si="260">$B334+($C334-$B334)*(1-AR334)</f>
        <v>15000000</v>
      </c>
    </row>
    <row r="355" spans="1:29" x14ac:dyDescent="0.25">
      <c r="A355" s="30" t="str">
        <f t="shared" si="232"/>
        <v>Residual value (vehicle)</v>
      </c>
      <c r="B355" s="62">
        <f t="shared" si="233"/>
        <v>-1498352.8090760889</v>
      </c>
      <c r="C355" s="62">
        <f t="shared" si="234"/>
        <v>-1497640.194864423</v>
      </c>
      <c r="D355" s="62">
        <f t="shared" si="235"/>
        <v>-1496620.1034926248</v>
      </c>
      <c r="E355" s="62">
        <f t="shared" si="236"/>
        <v>-1495160.7910492355</v>
      </c>
      <c r="F355" s="62">
        <f t="shared" si="237"/>
        <v>-1493075.111554354</v>
      </c>
      <c r="G355" s="62">
        <f t="shared" si="238"/>
        <v>-1490098.396181128</v>
      </c>
      <c r="H355" s="62">
        <f t="shared" si="239"/>
        <v>-1485858.8232214369</v>
      </c>
      <c r="I355" s="62">
        <f t="shared" si="240"/>
        <v>-1479839.2373690403</v>
      </c>
      <c r="J355" s="62">
        <f t="shared" si="241"/>
        <v>-1471331.1312119458</v>
      </c>
      <c r="K355" s="62">
        <f t="shared" si="242"/>
        <v>-1459385.9036663352</v>
      </c>
      <c r="L355" s="62">
        <f t="shared" si="243"/>
        <v>-1442777.7011260611</v>
      </c>
      <c r="M355" s="62">
        <f t="shared" si="244"/>
        <v>-1420008.4767574384</v>
      </c>
      <c r="N355" s="62">
        <f t="shared" si="245"/>
        <v>-1389409.0790574525</v>
      </c>
      <c r="O355" s="62">
        <f t="shared" si="246"/>
        <v>-1349409.7548946792</v>
      </c>
      <c r="P355" s="62">
        <f t="shared" si="247"/>
        <v>-1299037.3668749502</v>
      </c>
      <c r="Q355" s="62">
        <f t="shared" si="248"/>
        <v>-1238591.9471909001</v>
      </c>
      <c r="R355" s="62">
        <f t="shared" si="249"/>
        <v>-1170241.8591063719</v>
      </c>
      <c r="S355" s="62">
        <f t="shared" si="250"/>
        <v>-1098084.9515488902</v>
      </c>
      <c r="T355" s="62">
        <f t="shared" si="251"/>
        <v>-1027347.9569664295</v>
      </c>
      <c r="U355" s="62">
        <f t="shared" si="252"/>
        <v>-962954.61477923405</v>
      </c>
      <c r="V355" s="62">
        <f t="shared" si="253"/>
        <v>-908229.44370838301</v>
      </c>
      <c r="W355" s="62">
        <f t="shared" si="254"/>
        <v>-864404.38240348652</v>
      </c>
      <c r="X355" s="62">
        <f t="shared" si="255"/>
        <v>-830963.91553282493</v>
      </c>
      <c r="Y355" s="62">
        <f t="shared" si="256"/>
        <v>-806382.49045356887</v>
      </c>
      <c r="Z355" s="62">
        <f t="shared" si="257"/>
        <v>-788807.1271331266</v>
      </c>
      <c r="AA355" s="62">
        <f t="shared" si="258"/>
        <v>-776489.39296900947</v>
      </c>
      <c r="AB355" s="62">
        <f t="shared" si="259"/>
        <v>-767977.08155449363</v>
      </c>
      <c r="AC355" s="62">
        <f t="shared" si="260"/>
        <v>-762151.68266879232</v>
      </c>
    </row>
    <row r="356" spans="1:29" x14ac:dyDescent="0.25">
      <c r="A356" s="30" t="str">
        <f t="shared" si="232"/>
        <v>Capex costumization</v>
      </c>
      <c r="B356" s="62">
        <f t="shared" si="233"/>
        <v>1000000</v>
      </c>
      <c r="C356" s="62">
        <f t="shared" si="234"/>
        <v>1000000</v>
      </c>
      <c r="D356" s="62">
        <f t="shared" si="235"/>
        <v>1000000</v>
      </c>
      <c r="E356" s="62">
        <f t="shared" si="236"/>
        <v>1000000</v>
      </c>
      <c r="F356" s="62">
        <f t="shared" si="237"/>
        <v>1000000</v>
      </c>
      <c r="G356" s="62">
        <f t="shared" si="238"/>
        <v>1000000</v>
      </c>
      <c r="H356" s="62">
        <f t="shared" si="239"/>
        <v>1000000</v>
      </c>
      <c r="I356" s="62">
        <f t="shared" si="240"/>
        <v>1000000</v>
      </c>
      <c r="J356" s="62">
        <f t="shared" si="241"/>
        <v>1000000</v>
      </c>
      <c r="K356" s="62">
        <f t="shared" si="242"/>
        <v>1000000</v>
      </c>
      <c r="L356" s="62">
        <f t="shared" si="243"/>
        <v>1000000</v>
      </c>
      <c r="M356" s="62">
        <f t="shared" si="244"/>
        <v>1000000</v>
      </c>
      <c r="N356" s="62">
        <f t="shared" si="245"/>
        <v>1000000</v>
      </c>
      <c r="O356" s="62">
        <f t="shared" si="246"/>
        <v>1000000</v>
      </c>
      <c r="P356" s="62">
        <f t="shared" si="247"/>
        <v>1000000</v>
      </c>
      <c r="Q356" s="62">
        <f t="shared" si="248"/>
        <v>1000000</v>
      </c>
      <c r="R356" s="62">
        <f t="shared" si="249"/>
        <v>1000000</v>
      </c>
      <c r="S356" s="62">
        <f t="shared" si="250"/>
        <v>1000000</v>
      </c>
      <c r="T356" s="62">
        <f t="shared" si="251"/>
        <v>1000000</v>
      </c>
      <c r="U356" s="62">
        <f t="shared" si="252"/>
        <v>1000000</v>
      </c>
      <c r="V356" s="62">
        <f t="shared" si="253"/>
        <v>1000000</v>
      </c>
      <c r="W356" s="62">
        <f t="shared" si="254"/>
        <v>1000000</v>
      </c>
      <c r="X356" s="62">
        <f t="shared" si="255"/>
        <v>1000000</v>
      </c>
      <c r="Y356" s="62">
        <f t="shared" si="256"/>
        <v>1000000</v>
      </c>
      <c r="Z356" s="62">
        <f t="shared" si="257"/>
        <v>1000000</v>
      </c>
      <c r="AA356" s="62">
        <f t="shared" si="258"/>
        <v>1000000</v>
      </c>
      <c r="AB356" s="62">
        <f t="shared" si="259"/>
        <v>1000000</v>
      </c>
      <c r="AC356" s="62">
        <f t="shared" si="260"/>
        <v>1000000</v>
      </c>
    </row>
    <row r="357" spans="1:29" x14ac:dyDescent="0.25">
      <c r="A357" s="30" t="str">
        <f t="shared" si="232"/>
        <v>Residual value (costumization)</v>
      </c>
      <c r="B357" s="62">
        <f t="shared" si="233"/>
        <v>-100000</v>
      </c>
      <c r="C357" s="62">
        <f t="shared" si="234"/>
        <v>-100000</v>
      </c>
      <c r="D357" s="62">
        <f t="shared" si="235"/>
        <v>-100000</v>
      </c>
      <c r="E357" s="62">
        <f t="shared" si="236"/>
        <v>-100000</v>
      </c>
      <c r="F357" s="62">
        <f t="shared" si="237"/>
        <v>-100000</v>
      </c>
      <c r="G357" s="62">
        <f t="shared" si="238"/>
        <v>-100000</v>
      </c>
      <c r="H357" s="62">
        <f t="shared" si="239"/>
        <v>-100000</v>
      </c>
      <c r="I357" s="62">
        <f t="shared" si="240"/>
        <v>-100000</v>
      </c>
      <c r="J357" s="62">
        <f t="shared" si="241"/>
        <v>-100000</v>
      </c>
      <c r="K357" s="62">
        <f t="shared" si="242"/>
        <v>-100000</v>
      </c>
      <c r="L357" s="62">
        <f t="shared" si="243"/>
        <v>-100000</v>
      </c>
      <c r="M357" s="62">
        <f t="shared" si="244"/>
        <v>-100000</v>
      </c>
      <c r="N357" s="62">
        <f t="shared" si="245"/>
        <v>-100000</v>
      </c>
      <c r="O357" s="62">
        <f t="shared" si="246"/>
        <v>-100000</v>
      </c>
      <c r="P357" s="62">
        <f t="shared" si="247"/>
        <v>-100000</v>
      </c>
      <c r="Q357" s="62">
        <f t="shared" si="248"/>
        <v>-100000</v>
      </c>
      <c r="R357" s="62">
        <f t="shared" si="249"/>
        <v>-100000</v>
      </c>
      <c r="S357" s="62">
        <f t="shared" si="250"/>
        <v>-100000</v>
      </c>
      <c r="T357" s="62">
        <f t="shared" si="251"/>
        <v>-100000</v>
      </c>
      <c r="U357" s="62">
        <f t="shared" si="252"/>
        <v>-100000</v>
      </c>
      <c r="V357" s="62">
        <f t="shared" si="253"/>
        <v>-100000</v>
      </c>
      <c r="W357" s="62">
        <f t="shared" si="254"/>
        <v>-100000</v>
      </c>
      <c r="X357" s="62">
        <f t="shared" si="255"/>
        <v>-100000</v>
      </c>
      <c r="Y357" s="62">
        <f t="shared" si="256"/>
        <v>-100000</v>
      </c>
      <c r="Z357" s="62">
        <f t="shared" si="257"/>
        <v>-100000</v>
      </c>
      <c r="AA357" s="62">
        <f t="shared" si="258"/>
        <v>-100000</v>
      </c>
      <c r="AB357" s="62">
        <f t="shared" si="259"/>
        <v>-100000</v>
      </c>
      <c r="AC357" s="62">
        <f t="shared" si="260"/>
        <v>-100000</v>
      </c>
    </row>
    <row r="358" spans="1:29" x14ac:dyDescent="0.25">
      <c r="A358" s="30" t="str">
        <f t="shared" si="232"/>
        <v>WACC</v>
      </c>
      <c r="B358" s="62">
        <f t="shared" si="233"/>
        <v>0.06</v>
      </c>
      <c r="C358" s="62">
        <f t="shared" si="234"/>
        <v>0.06</v>
      </c>
      <c r="D358" s="62">
        <f t="shared" si="235"/>
        <v>0.06</v>
      </c>
      <c r="E358" s="62">
        <f t="shared" si="236"/>
        <v>0.06</v>
      </c>
      <c r="F358" s="62">
        <f t="shared" si="237"/>
        <v>0.06</v>
      </c>
      <c r="G358" s="62">
        <f t="shared" si="238"/>
        <v>0.06</v>
      </c>
      <c r="H358" s="62">
        <f t="shared" si="239"/>
        <v>0.06</v>
      </c>
      <c r="I358" s="62">
        <f t="shared" si="240"/>
        <v>0.06</v>
      </c>
      <c r="J358" s="62">
        <f t="shared" si="241"/>
        <v>0.06</v>
      </c>
      <c r="K358" s="62">
        <f t="shared" si="242"/>
        <v>0.06</v>
      </c>
      <c r="L358" s="62">
        <f t="shared" si="243"/>
        <v>0.06</v>
      </c>
      <c r="M358" s="62">
        <f t="shared" si="244"/>
        <v>0.06</v>
      </c>
      <c r="N358" s="62">
        <f t="shared" si="245"/>
        <v>0.06</v>
      </c>
      <c r="O358" s="62">
        <f t="shared" si="246"/>
        <v>0.06</v>
      </c>
      <c r="P358" s="62">
        <f t="shared" si="247"/>
        <v>0.06</v>
      </c>
      <c r="Q358" s="62">
        <f t="shared" si="248"/>
        <v>0.06</v>
      </c>
      <c r="R358" s="62">
        <f t="shared" si="249"/>
        <v>0.06</v>
      </c>
      <c r="S358" s="62">
        <f t="shared" si="250"/>
        <v>0.06</v>
      </c>
      <c r="T358" s="62">
        <f t="shared" si="251"/>
        <v>0.06</v>
      </c>
      <c r="U358" s="62">
        <f t="shared" si="252"/>
        <v>0.06</v>
      </c>
      <c r="V358" s="62">
        <f t="shared" si="253"/>
        <v>0.06</v>
      </c>
      <c r="W358" s="62">
        <f t="shared" si="254"/>
        <v>0.06</v>
      </c>
      <c r="X358" s="62">
        <f t="shared" si="255"/>
        <v>0.06</v>
      </c>
      <c r="Y358" s="62">
        <f t="shared" si="256"/>
        <v>0.06</v>
      </c>
      <c r="Z358" s="62">
        <f t="shared" si="257"/>
        <v>0.06</v>
      </c>
      <c r="AA358" s="62">
        <f t="shared" si="258"/>
        <v>0.06</v>
      </c>
      <c r="AB358" s="62">
        <f t="shared" si="259"/>
        <v>0.06</v>
      </c>
      <c r="AC358" s="62">
        <f t="shared" si="260"/>
        <v>0.06</v>
      </c>
    </row>
    <row r="359" spans="1:29" x14ac:dyDescent="0.25">
      <c r="A359" s="30" t="str">
        <f t="shared" si="232"/>
        <v>Opex fix (admin, crew, insurance)</v>
      </c>
      <c r="B359" s="62">
        <f t="shared" si="233"/>
        <v>1208235.294117647</v>
      </c>
      <c r="C359" s="62">
        <f t="shared" si="234"/>
        <v>1208235.294117647</v>
      </c>
      <c r="D359" s="62">
        <f t="shared" si="235"/>
        <v>1208235.294117647</v>
      </c>
      <c r="E359" s="62">
        <f t="shared" si="236"/>
        <v>1208235.294117647</v>
      </c>
      <c r="F359" s="62">
        <f t="shared" si="237"/>
        <v>1208235.294117647</v>
      </c>
      <c r="G359" s="62">
        <f t="shared" si="238"/>
        <v>1208235.294117647</v>
      </c>
      <c r="H359" s="62">
        <f t="shared" si="239"/>
        <v>1208235.294117647</v>
      </c>
      <c r="I359" s="62">
        <f t="shared" si="240"/>
        <v>1208235.294117647</v>
      </c>
      <c r="J359" s="62">
        <f t="shared" si="241"/>
        <v>1208235.294117647</v>
      </c>
      <c r="K359" s="62">
        <f t="shared" si="242"/>
        <v>1208235.294117647</v>
      </c>
      <c r="L359" s="62">
        <f t="shared" si="243"/>
        <v>1208235.294117647</v>
      </c>
      <c r="M359" s="62">
        <f t="shared" si="244"/>
        <v>1208235.294117647</v>
      </c>
      <c r="N359" s="62">
        <f t="shared" si="245"/>
        <v>1208235.294117647</v>
      </c>
      <c r="O359" s="62">
        <f t="shared" si="246"/>
        <v>1208235.294117647</v>
      </c>
      <c r="P359" s="62">
        <f t="shared" si="247"/>
        <v>1208235.294117647</v>
      </c>
      <c r="Q359" s="62">
        <f t="shared" si="248"/>
        <v>1208235.294117647</v>
      </c>
      <c r="R359" s="62">
        <f t="shared" si="249"/>
        <v>1208235.294117647</v>
      </c>
      <c r="S359" s="62">
        <f t="shared" si="250"/>
        <v>1208235.294117647</v>
      </c>
      <c r="T359" s="62">
        <f t="shared" si="251"/>
        <v>1208235.294117647</v>
      </c>
      <c r="U359" s="62">
        <f t="shared" si="252"/>
        <v>1208235.294117647</v>
      </c>
      <c r="V359" s="62">
        <f t="shared" si="253"/>
        <v>1208235.294117647</v>
      </c>
      <c r="W359" s="62">
        <f t="shared" si="254"/>
        <v>1208235.294117647</v>
      </c>
      <c r="X359" s="62">
        <f t="shared" si="255"/>
        <v>1208235.294117647</v>
      </c>
      <c r="Y359" s="62">
        <f t="shared" si="256"/>
        <v>1208235.294117647</v>
      </c>
      <c r="Z359" s="62">
        <f t="shared" si="257"/>
        <v>1208235.294117647</v>
      </c>
      <c r="AA359" s="62">
        <f t="shared" si="258"/>
        <v>1208235.294117647</v>
      </c>
      <c r="AB359" s="62">
        <f t="shared" si="259"/>
        <v>1208235.294117647</v>
      </c>
      <c r="AC359" s="62">
        <f t="shared" si="260"/>
        <v>1208235.294117647</v>
      </c>
    </row>
    <row r="360" spans="1:29" x14ac:dyDescent="0.25">
      <c r="A360" s="30" t="str">
        <f t="shared" si="232"/>
        <v>Opex maintenance &amp; repair</v>
      </c>
      <c r="B360" s="62">
        <f t="shared" si="233"/>
        <v>488235.29411764705</v>
      </c>
      <c r="C360" s="62">
        <f t="shared" si="234"/>
        <v>488235.29411764705</v>
      </c>
      <c r="D360" s="62">
        <f t="shared" si="235"/>
        <v>488235.29411764705</v>
      </c>
      <c r="E360" s="62">
        <f t="shared" si="236"/>
        <v>488235.29411764705</v>
      </c>
      <c r="F360" s="62">
        <f t="shared" si="237"/>
        <v>488235.29411764705</v>
      </c>
      <c r="G360" s="62">
        <f t="shared" si="238"/>
        <v>488235.29411764705</v>
      </c>
      <c r="H360" s="62">
        <f t="shared" si="239"/>
        <v>488235.29411764705</v>
      </c>
      <c r="I360" s="62">
        <f t="shared" si="240"/>
        <v>488235.29411764705</v>
      </c>
      <c r="J360" s="62">
        <f t="shared" si="241"/>
        <v>488235.29411764705</v>
      </c>
      <c r="K360" s="62">
        <f t="shared" si="242"/>
        <v>488235.29411764705</v>
      </c>
      <c r="L360" s="62">
        <f t="shared" si="243"/>
        <v>488235.29411764705</v>
      </c>
      <c r="M360" s="62">
        <f t="shared" si="244"/>
        <v>488235.29411764705</v>
      </c>
      <c r="N360" s="62">
        <f t="shared" si="245"/>
        <v>488235.29411764705</v>
      </c>
      <c r="O360" s="62">
        <f t="shared" si="246"/>
        <v>488235.29411764705</v>
      </c>
      <c r="P360" s="62">
        <f t="shared" si="247"/>
        <v>488235.29411764705</v>
      </c>
      <c r="Q360" s="62">
        <f t="shared" si="248"/>
        <v>488235.29411764705</v>
      </c>
      <c r="R360" s="62">
        <f t="shared" si="249"/>
        <v>488235.29411764705</v>
      </c>
      <c r="S360" s="62">
        <f t="shared" si="250"/>
        <v>488235.29411764705</v>
      </c>
      <c r="T360" s="62">
        <f t="shared" si="251"/>
        <v>488235.29411764705</v>
      </c>
      <c r="U360" s="62">
        <f t="shared" si="252"/>
        <v>488235.29411764705</v>
      </c>
      <c r="V360" s="62">
        <f t="shared" si="253"/>
        <v>488235.29411764705</v>
      </c>
      <c r="W360" s="62">
        <f t="shared" si="254"/>
        <v>488235.29411764705</v>
      </c>
      <c r="X360" s="62">
        <f t="shared" si="255"/>
        <v>488235.29411764705</v>
      </c>
      <c r="Y360" s="62">
        <f t="shared" si="256"/>
        <v>488235.29411764705</v>
      </c>
      <c r="Z360" s="62">
        <f t="shared" si="257"/>
        <v>488235.29411764705</v>
      </c>
      <c r="AA360" s="62">
        <f t="shared" si="258"/>
        <v>488235.29411764705</v>
      </c>
      <c r="AB360" s="62">
        <f t="shared" si="259"/>
        <v>488235.29411764705</v>
      </c>
      <c r="AC360" s="62">
        <f t="shared" si="260"/>
        <v>488235.29411764705</v>
      </c>
    </row>
    <row r="361" spans="1:29" x14ac:dyDescent="0.25">
      <c r="A361" s="30" t="str">
        <f t="shared" si="232"/>
        <v>Opex var (mode-fees)</v>
      </c>
      <c r="B361" s="62">
        <f t="shared" si="233"/>
        <v>0.81280569096848254</v>
      </c>
      <c r="C361" s="62">
        <f t="shared" si="234"/>
        <v>0.81280569096848254</v>
      </c>
      <c r="D361" s="62">
        <f t="shared" si="235"/>
        <v>0.81280569096848254</v>
      </c>
      <c r="E361" s="62">
        <f t="shared" si="236"/>
        <v>0.81280569096848254</v>
      </c>
      <c r="F361" s="62">
        <f t="shared" si="237"/>
        <v>0.81280569096848254</v>
      </c>
      <c r="G361" s="62">
        <f t="shared" si="238"/>
        <v>0.81280569096848254</v>
      </c>
      <c r="H361" s="62">
        <f t="shared" si="239"/>
        <v>0.81280569096848254</v>
      </c>
      <c r="I361" s="62">
        <f t="shared" si="240"/>
        <v>0.81280569096848254</v>
      </c>
      <c r="J361" s="62">
        <f t="shared" si="241"/>
        <v>0.81280569096848254</v>
      </c>
      <c r="K361" s="62">
        <f t="shared" si="242"/>
        <v>0.81280569096848254</v>
      </c>
      <c r="L361" s="62">
        <f t="shared" si="243"/>
        <v>0.81280569096848254</v>
      </c>
      <c r="M361" s="62">
        <f t="shared" si="244"/>
        <v>0.81280569096848254</v>
      </c>
      <c r="N361" s="62">
        <f t="shared" si="245"/>
        <v>0.81280569096848254</v>
      </c>
      <c r="O361" s="62">
        <f t="shared" si="246"/>
        <v>0.81280569096848254</v>
      </c>
      <c r="P361" s="62">
        <f t="shared" si="247"/>
        <v>0.81280569096848254</v>
      </c>
      <c r="Q361" s="62">
        <f t="shared" si="248"/>
        <v>0.81280569096848254</v>
      </c>
      <c r="R361" s="62">
        <f t="shared" si="249"/>
        <v>0.81280569096848254</v>
      </c>
      <c r="S361" s="62">
        <f t="shared" si="250"/>
        <v>0.81280569096848254</v>
      </c>
      <c r="T361" s="62">
        <f t="shared" si="251"/>
        <v>0.81280569096848254</v>
      </c>
      <c r="U361" s="62">
        <f t="shared" si="252"/>
        <v>0.81280569096848254</v>
      </c>
      <c r="V361" s="62">
        <f t="shared" si="253"/>
        <v>0.81280569096848254</v>
      </c>
      <c r="W361" s="62">
        <f t="shared" si="254"/>
        <v>0.81280569096848254</v>
      </c>
      <c r="X361" s="62">
        <f t="shared" si="255"/>
        <v>0.81280569096848254</v>
      </c>
      <c r="Y361" s="62">
        <f t="shared" si="256"/>
        <v>0.81280569096848254</v>
      </c>
      <c r="Z361" s="62">
        <f t="shared" si="257"/>
        <v>0.81280569096848254</v>
      </c>
      <c r="AA361" s="62">
        <f t="shared" si="258"/>
        <v>0.81280569096848254</v>
      </c>
      <c r="AB361" s="62">
        <f t="shared" si="259"/>
        <v>0.81280569096848254</v>
      </c>
      <c r="AC361" s="62">
        <f t="shared" si="260"/>
        <v>0.81280569096848254</v>
      </c>
    </row>
    <row r="362" spans="1:29" x14ac:dyDescent="0.25">
      <c r="A362" s="30" t="str">
        <f t="shared" si="232"/>
        <v>Fuel Economy</v>
      </c>
      <c r="B362" s="62">
        <f t="shared" si="233"/>
        <v>646.89677603543487</v>
      </c>
      <c r="C362" s="62">
        <f t="shared" si="234"/>
        <v>646.85211887817047</v>
      </c>
      <c r="D362" s="62">
        <f t="shared" si="235"/>
        <v>646.78819315220449</v>
      </c>
      <c r="E362" s="62">
        <f t="shared" si="236"/>
        <v>646.6967429057521</v>
      </c>
      <c r="F362" s="62">
        <f t="shared" si="237"/>
        <v>646.5660403240729</v>
      </c>
      <c r="G362" s="62">
        <f t="shared" si="238"/>
        <v>646.37949949401741</v>
      </c>
      <c r="H362" s="62">
        <f t="shared" si="239"/>
        <v>646.11381958854338</v>
      </c>
      <c r="I362" s="62">
        <f t="shared" si="240"/>
        <v>645.73659220845991</v>
      </c>
      <c r="J362" s="62">
        <f t="shared" si="241"/>
        <v>645.20341755594859</v>
      </c>
      <c r="K362" s="62">
        <f t="shared" si="242"/>
        <v>644.4548499630904</v>
      </c>
      <c r="L362" s="62">
        <f t="shared" si="243"/>
        <v>643.41406927056653</v>
      </c>
      <c r="M362" s="62">
        <f t="shared" si="244"/>
        <v>641.98719787679943</v>
      </c>
      <c r="N362" s="62">
        <f t="shared" si="245"/>
        <v>640.0696356209337</v>
      </c>
      <c r="O362" s="62">
        <f t="shared" si="246"/>
        <v>637.56301130673319</v>
      </c>
      <c r="P362" s="62">
        <f t="shared" si="247"/>
        <v>634.40634165749691</v>
      </c>
      <c r="Q362" s="62">
        <f t="shared" si="248"/>
        <v>630.6184286906298</v>
      </c>
      <c r="R362" s="62">
        <f t="shared" si="249"/>
        <v>626.33515650399931</v>
      </c>
      <c r="S362" s="62">
        <f t="shared" si="250"/>
        <v>621.81332363039712</v>
      </c>
      <c r="T362" s="62">
        <f t="shared" si="251"/>
        <v>617.38047196989623</v>
      </c>
      <c r="U362" s="62">
        <f t="shared" si="252"/>
        <v>613.34515585949862</v>
      </c>
      <c r="V362" s="62">
        <f t="shared" si="253"/>
        <v>609.91571180572532</v>
      </c>
      <c r="W362" s="62">
        <f t="shared" si="254"/>
        <v>607.1693412972852</v>
      </c>
      <c r="X362" s="62">
        <f t="shared" si="255"/>
        <v>605.0737387067237</v>
      </c>
      <c r="Y362" s="62">
        <f t="shared" si="256"/>
        <v>603.53330273509027</v>
      </c>
      <c r="Z362" s="62">
        <f t="shared" si="257"/>
        <v>602.43191330034256</v>
      </c>
      <c r="AA362" s="62">
        <f t="shared" si="258"/>
        <v>601.66000195939125</v>
      </c>
      <c r="AB362" s="62">
        <f t="shared" si="259"/>
        <v>601.12656377741496</v>
      </c>
      <c r="AC362" s="62">
        <f t="shared" si="260"/>
        <v>600.7615054472443</v>
      </c>
    </row>
    <row r="363" spans="1:29" x14ac:dyDescent="0.25">
      <c r="A363" s="30" t="str">
        <f t="shared" si="232"/>
        <v>Fuel Cost</v>
      </c>
      <c r="B363" s="62">
        <f>'Parameter Input'!J9</f>
        <v>5.7951260504201685E-2</v>
      </c>
      <c r="C363" s="62">
        <f>'Parameter Input'!K9</f>
        <v>5.3954621848739497E-2</v>
      </c>
      <c r="D363" s="62">
        <f>'Parameter Input'!L9</f>
        <v>4.9957983193277315E-2</v>
      </c>
      <c r="E363" s="62">
        <f>'Parameter Input'!M9</f>
        <v>4.5961344537815127E-2</v>
      </c>
      <c r="F363" s="62">
        <f>'Parameter Input'!N9</f>
        <v>4.1964705882352946E-2</v>
      </c>
      <c r="G363" s="62">
        <f>'Parameter Input'!O9</f>
        <v>3.7968067226890764E-2</v>
      </c>
      <c r="H363" s="62">
        <f>'Parameter Input'!P9</f>
        <v>3.3971428571428583E-2</v>
      </c>
      <c r="I363" s="62">
        <f>'Parameter Input'!Q9</f>
        <v>2.9974789915966391E-2</v>
      </c>
      <c r="J363" s="62">
        <f>'Parameter Input'!R9</f>
        <v>2.9368157262905165E-2</v>
      </c>
      <c r="K363" s="62">
        <f>'Parameter Input'!S9</f>
        <v>2.8761524609843939E-2</v>
      </c>
      <c r="L363" s="62">
        <f>'Parameter Input'!T9</f>
        <v>2.8154891956782713E-2</v>
      </c>
      <c r="M363" s="62">
        <f>'Parameter Input'!U9</f>
        <v>2.7548259303721487E-2</v>
      </c>
      <c r="N363" s="62">
        <f>'Parameter Input'!V9</f>
        <v>2.6941626650660268E-2</v>
      </c>
      <c r="O363" s="62">
        <f>'Parameter Input'!W9</f>
        <v>2.6334993997599043E-2</v>
      </c>
      <c r="P363" s="62">
        <f>'Parameter Input'!X9</f>
        <v>2.5728361344537817E-2</v>
      </c>
      <c r="Q363" s="62">
        <f>'Parameter Input'!Y9</f>
        <v>2.5121728691476591E-2</v>
      </c>
      <c r="R363" s="62">
        <f>'Parameter Input'!Z9</f>
        <v>2.4515096038415365E-2</v>
      </c>
      <c r="S363" s="62">
        <f>'Parameter Input'!AA9</f>
        <v>2.3908463385354146E-2</v>
      </c>
      <c r="T363" s="62">
        <f>'Parameter Input'!AB9</f>
        <v>2.330183073229292E-2</v>
      </c>
      <c r="U363" s="62">
        <f>'Parameter Input'!AC9</f>
        <v>2.2695198079231694E-2</v>
      </c>
      <c r="V363" s="62">
        <f>'Parameter Input'!AD9</f>
        <v>2.2088565426170468E-2</v>
      </c>
      <c r="W363" s="62">
        <f>'Parameter Input'!AE9</f>
        <v>2.1481932773109242E-2</v>
      </c>
      <c r="X363" s="62">
        <f>'Parameter Input'!AF9</f>
        <v>2.0875300120048023E-2</v>
      </c>
      <c r="Y363" s="62">
        <f>'Parameter Input'!AG9</f>
        <v>2.0268667466986797E-2</v>
      </c>
      <c r="Z363" s="62">
        <f>'Parameter Input'!AH9</f>
        <v>1.9662034813925571E-2</v>
      </c>
      <c r="AA363" s="62">
        <f>'Parameter Input'!AI9</f>
        <v>1.9055402160864345E-2</v>
      </c>
      <c r="AB363" s="62">
        <f>'Parameter Input'!AJ9</f>
        <v>1.8448769507803119E-2</v>
      </c>
      <c r="AC363" s="62">
        <f>'Parameter Input'!AK9</f>
        <v>1.78421368547419E-2</v>
      </c>
    </row>
    <row r="364" spans="1:29" x14ac:dyDescent="0.25">
      <c r="A364" s="30" t="str">
        <f t="shared" si="232"/>
        <v>Emission Cost</v>
      </c>
      <c r="B364" s="62">
        <f>$B344+($C344-$B344)*(1-Q344)</f>
        <v>0</v>
      </c>
      <c r="C364" s="62">
        <f t="shared" ref="C364:AC364" si="261">$B344+($C344-$B344)*(1-R344)</f>
        <v>0</v>
      </c>
      <c r="D364" s="62">
        <f t="shared" si="261"/>
        <v>0</v>
      </c>
      <c r="E364" s="62">
        <f t="shared" si="261"/>
        <v>0</v>
      </c>
      <c r="F364" s="62">
        <f t="shared" si="261"/>
        <v>0</v>
      </c>
      <c r="G364" s="62">
        <f t="shared" si="261"/>
        <v>0</v>
      </c>
      <c r="H364" s="62">
        <f t="shared" si="261"/>
        <v>0</v>
      </c>
      <c r="I364" s="62">
        <f t="shared" si="261"/>
        <v>0</v>
      </c>
      <c r="J364" s="62">
        <f t="shared" si="261"/>
        <v>0</v>
      </c>
      <c r="K364" s="62">
        <f t="shared" si="261"/>
        <v>0</v>
      </c>
      <c r="L364" s="62">
        <f t="shared" si="261"/>
        <v>0</v>
      </c>
      <c r="M364" s="62">
        <f t="shared" si="261"/>
        <v>0</v>
      </c>
      <c r="N364" s="62">
        <f t="shared" si="261"/>
        <v>0</v>
      </c>
      <c r="O364" s="62">
        <f t="shared" si="261"/>
        <v>0</v>
      </c>
      <c r="P364" s="62">
        <f t="shared" si="261"/>
        <v>0</v>
      </c>
      <c r="Q364" s="62">
        <f t="shared" si="261"/>
        <v>0</v>
      </c>
      <c r="R364" s="62">
        <f t="shared" si="261"/>
        <v>0</v>
      </c>
      <c r="S364" s="62">
        <f t="shared" si="261"/>
        <v>0</v>
      </c>
      <c r="T364" s="62">
        <f t="shared" si="261"/>
        <v>0</v>
      </c>
      <c r="U364" s="62">
        <f t="shared" si="261"/>
        <v>0</v>
      </c>
      <c r="V364" s="62">
        <f t="shared" si="261"/>
        <v>0</v>
      </c>
      <c r="W364" s="62">
        <f t="shared" si="261"/>
        <v>0</v>
      </c>
      <c r="X364" s="62">
        <f t="shared" si="261"/>
        <v>0</v>
      </c>
      <c r="Y364" s="62">
        <f t="shared" si="261"/>
        <v>0</v>
      </c>
      <c r="Z364" s="62">
        <f t="shared" si="261"/>
        <v>0</v>
      </c>
      <c r="AA364" s="62">
        <f t="shared" si="261"/>
        <v>0</v>
      </c>
      <c r="AB364" s="62">
        <f t="shared" si="261"/>
        <v>0</v>
      </c>
      <c r="AC364" s="62">
        <f t="shared" si="261"/>
        <v>0</v>
      </c>
    </row>
    <row r="365" spans="1:29" x14ac:dyDescent="0.25">
      <c r="A365" s="30" t="str">
        <f t="shared" si="232"/>
        <v>Lifetime vehicle</v>
      </c>
      <c r="B365" s="62">
        <f>$B345+($C345-$B345)*(1-Q345)</f>
        <v>25</v>
      </c>
      <c r="C365" s="62">
        <f t="shared" ref="C365:L367" si="262">$B345+($C345-$B345)*(1-R345)</f>
        <v>25</v>
      </c>
      <c r="D365" s="62">
        <f t="shared" si="262"/>
        <v>25</v>
      </c>
      <c r="E365" s="62">
        <f t="shared" si="262"/>
        <v>25</v>
      </c>
      <c r="F365" s="62">
        <f t="shared" si="262"/>
        <v>25</v>
      </c>
      <c r="G365" s="62">
        <f t="shared" si="262"/>
        <v>25</v>
      </c>
      <c r="H365" s="62">
        <f t="shared" si="262"/>
        <v>25</v>
      </c>
      <c r="I365" s="62">
        <f t="shared" si="262"/>
        <v>25</v>
      </c>
      <c r="J365" s="62">
        <f t="shared" si="262"/>
        <v>25</v>
      </c>
      <c r="K365" s="62">
        <f t="shared" si="262"/>
        <v>25</v>
      </c>
      <c r="L365" s="62">
        <f t="shared" si="262"/>
        <v>25</v>
      </c>
      <c r="M365" s="62">
        <f t="shared" ref="M365:V367" si="263">$B345+($C345-$B345)*(1-AB345)</f>
        <v>25</v>
      </c>
      <c r="N365" s="62">
        <f t="shared" si="263"/>
        <v>25</v>
      </c>
      <c r="O365" s="62">
        <f t="shared" si="263"/>
        <v>25</v>
      </c>
      <c r="P365" s="62">
        <f t="shared" si="263"/>
        <v>25</v>
      </c>
      <c r="Q365" s="62">
        <f t="shared" si="263"/>
        <v>25</v>
      </c>
      <c r="R365" s="62">
        <f t="shared" si="263"/>
        <v>25</v>
      </c>
      <c r="S365" s="62">
        <f t="shared" si="263"/>
        <v>25</v>
      </c>
      <c r="T365" s="62">
        <f t="shared" si="263"/>
        <v>25</v>
      </c>
      <c r="U365" s="62">
        <f t="shared" si="263"/>
        <v>25</v>
      </c>
      <c r="V365" s="62">
        <f t="shared" si="263"/>
        <v>25</v>
      </c>
      <c r="W365" s="62">
        <f t="shared" ref="W365:AC367" si="264">$B345+($C345-$B345)*(1-AL345)</f>
        <v>25</v>
      </c>
      <c r="X365" s="62">
        <f t="shared" si="264"/>
        <v>25</v>
      </c>
      <c r="Y365" s="62">
        <f t="shared" si="264"/>
        <v>25</v>
      </c>
      <c r="Z365" s="62">
        <f t="shared" si="264"/>
        <v>25</v>
      </c>
      <c r="AA365" s="62">
        <f t="shared" si="264"/>
        <v>25</v>
      </c>
      <c r="AB365" s="62">
        <f t="shared" si="264"/>
        <v>25</v>
      </c>
      <c r="AC365" s="62">
        <f t="shared" si="264"/>
        <v>25</v>
      </c>
    </row>
    <row r="366" spans="1:29" x14ac:dyDescent="0.25">
      <c r="A366" s="30" t="str">
        <f t="shared" si="232"/>
        <v>Lifetime costumization</v>
      </c>
      <c r="B366" s="62">
        <f>$B346+($C346-$B346)*(1-Q346)</f>
        <v>25</v>
      </c>
      <c r="C366" s="62">
        <f t="shared" si="262"/>
        <v>25</v>
      </c>
      <c r="D366" s="62">
        <f t="shared" si="262"/>
        <v>25</v>
      </c>
      <c r="E366" s="62">
        <f t="shared" si="262"/>
        <v>25</v>
      </c>
      <c r="F366" s="62">
        <f t="shared" si="262"/>
        <v>25</v>
      </c>
      <c r="G366" s="62">
        <f t="shared" si="262"/>
        <v>25</v>
      </c>
      <c r="H366" s="62">
        <f t="shared" si="262"/>
        <v>25</v>
      </c>
      <c r="I366" s="62">
        <f t="shared" si="262"/>
        <v>25</v>
      </c>
      <c r="J366" s="62">
        <f t="shared" si="262"/>
        <v>25</v>
      </c>
      <c r="K366" s="62">
        <f t="shared" si="262"/>
        <v>25</v>
      </c>
      <c r="L366" s="62">
        <f t="shared" si="262"/>
        <v>25</v>
      </c>
      <c r="M366" s="62">
        <f t="shared" si="263"/>
        <v>25</v>
      </c>
      <c r="N366" s="62">
        <f t="shared" si="263"/>
        <v>25</v>
      </c>
      <c r="O366" s="62">
        <f t="shared" si="263"/>
        <v>25</v>
      </c>
      <c r="P366" s="62">
        <f t="shared" si="263"/>
        <v>25</v>
      </c>
      <c r="Q366" s="62">
        <f t="shared" si="263"/>
        <v>25</v>
      </c>
      <c r="R366" s="62">
        <f t="shared" si="263"/>
        <v>25</v>
      </c>
      <c r="S366" s="62">
        <f t="shared" si="263"/>
        <v>25</v>
      </c>
      <c r="T366" s="62">
        <f t="shared" si="263"/>
        <v>25</v>
      </c>
      <c r="U366" s="62">
        <f t="shared" si="263"/>
        <v>25</v>
      </c>
      <c r="V366" s="62">
        <f t="shared" si="263"/>
        <v>25</v>
      </c>
      <c r="W366" s="62">
        <f t="shared" si="264"/>
        <v>25</v>
      </c>
      <c r="X366" s="62">
        <f t="shared" si="264"/>
        <v>25</v>
      </c>
      <c r="Y366" s="62">
        <f t="shared" si="264"/>
        <v>25</v>
      </c>
      <c r="Z366" s="62">
        <f t="shared" si="264"/>
        <v>25</v>
      </c>
      <c r="AA366" s="62">
        <f t="shared" si="264"/>
        <v>25</v>
      </c>
      <c r="AB366" s="62">
        <f t="shared" si="264"/>
        <v>25</v>
      </c>
      <c r="AC366" s="62">
        <f t="shared" si="264"/>
        <v>25</v>
      </c>
    </row>
    <row r="367" spans="1:29" x14ac:dyDescent="0.25">
      <c r="A367" s="30" t="str">
        <f t="shared" si="232"/>
        <v>Tonnage .</v>
      </c>
      <c r="B367" s="62">
        <f>$B347+($C347-$B347)*(1-Q347)</f>
        <v>9450</v>
      </c>
      <c r="C367" s="62">
        <f t="shared" si="262"/>
        <v>9450</v>
      </c>
      <c r="D367" s="62">
        <f t="shared" si="262"/>
        <v>9450</v>
      </c>
      <c r="E367" s="62">
        <f t="shared" si="262"/>
        <v>9450</v>
      </c>
      <c r="F367" s="62">
        <f t="shared" si="262"/>
        <v>9450</v>
      </c>
      <c r="G367" s="62">
        <f t="shared" si="262"/>
        <v>9450</v>
      </c>
      <c r="H367" s="62">
        <f t="shared" si="262"/>
        <v>9450</v>
      </c>
      <c r="I367" s="62">
        <f t="shared" si="262"/>
        <v>9450</v>
      </c>
      <c r="J367" s="62">
        <f t="shared" si="262"/>
        <v>9450</v>
      </c>
      <c r="K367" s="62">
        <f t="shared" si="262"/>
        <v>9450</v>
      </c>
      <c r="L367" s="62">
        <f t="shared" si="262"/>
        <v>9450</v>
      </c>
      <c r="M367" s="62">
        <f t="shared" si="263"/>
        <v>9450</v>
      </c>
      <c r="N367" s="62">
        <f t="shared" si="263"/>
        <v>9450</v>
      </c>
      <c r="O367" s="62">
        <f t="shared" si="263"/>
        <v>9450</v>
      </c>
      <c r="P367" s="62">
        <f t="shared" si="263"/>
        <v>9450</v>
      </c>
      <c r="Q367" s="62">
        <f t="shared" si="263"/>
        <v>9450</v>
      </c>
      <c r="R367" s="62">
        <f t="shared" si="263"/>
        <v>9450</v>
      </c>
      <c r="S367" s="62">
        <f t="shared" si="263"/>
        <v>9450</v>
      </c>
      <c r="T367" s="62">
        <f t="shared" si="263"/>
        <v>9450</v>
      </c>
      <c r="U367" s="62">
        <f t="shared" si="263"/>
        <v>9450</v>
      </c>
      <c r="V367" s="62">
        <f t="shared" si="263"/>
        <v>9450</v>
      </c>
      <c r="W367" s="62">
        <f t="shared" si="264"/>
        <v>9450</v>
      </c>
      <c r="X367" s="62">
        <f t="shared" si="264"/>
        <v>9450</v>
      </c>
      <c r="Y367" s="62">
        <f t="shared" si="264"/>
        <v>9450</v>
      </c>
      <c r="Z367" s="62">
        <f t="shared" si="264"/>
        <v>9450</v>
      </c>
      <c r="AA367" s="62">
        <f t="shared" si="264"/>
        <v>9450</v>
      </c>
      <c r="AB367" s="62">
        <f t="shared" si="264"/>
        <v>9450</v>
      </c>
      <c r="AC367" s="62">
        <f t="shared" si="264"/>
        <v>9450</v>
      </c>
    </row>
    <row r="368" spans="1:29" x14ac:dyDescent="0.25">
      <c r="A368" s="30" t="str">
        <f t="shared" si="232"/>
        <v>Market failure (av. utilization)</v>
      </c>
      <c r="B368" s="62">
        <f t="shared" ref="B368:K369" si="265">($B348+($C348-$B348)*(1-Q348))*B$44</f>
        <v>6426.0000000000009</v>
      </c>
      <c r="C368" s="62">
        <f t="shared" si="265"/>
        <v>6426.0000000000009</v>
      </c>
      <c r="D368" s="62">
        <f t="shared" si="265"/>
        <v>6426.0000000000009</v>
      </c>
      <c r="E368" s="62">
        <f t="shared" si="265"/>
        <v>6426.0000000000009</v>
      </c>
      <c r="F368" s="62">
        <f t="shared" si="265"/>
        <v>6426.0000000000009</v>
      </c>
      <c r="G368" s="62">
        <f t="shared" si="265"/>
        <v>6426.0000000000009</v>
      </c>
      <c r="H368" s="62">
        <f t="shared" si="265"/>
        <v>6426.0000000000009</v>
      </c>
      <c r="I368" s="62">
        <f t="shared" si="265"/>
        <v>6426.0000000000009</v>
      </c>
      <c r="J368" s="62">
        <f t="shared" si="265"/>
        <v>6426.0000000000009</v>
      </c>
      <c r="K368" s="62">
        <f t="shared" si="265"/>
        <v>6426.0000000000009</v>
      </c>
      <c r="L368" s="62">
        <f t="shared" ref="L368:U369" si="266">($B348+($C348-$B348)*(1-AA348))*L$44</f>
        <v>6426.0000000000009</v>
      </c>
      <c r="M368" s="62">
        <f t="shared" si="266"/>
        <v>6426.0000000000009</v>
      </c>
      <c r="N368" s="62">
        <f t="shared" si="266"/>
        <v>6426.0000000000009</v>
      </c>
      <c r="O368" s="62">
        <f t="shared" si="266"/>
        <v>6426.0000000000009</v>
      </c>
      <c r="P368" s="62">
        <f t="shared" si="266"/>
        <v>6426.0000000000009</v>
      </c>
      <c r="Q368" s="62">
        <f t="shared" si="266"/>
        <v>6426.0000000000009</v>
      </c>
      <c r="R368" s="62">
        <f t="shared" si="266"/>
        <v>6426.0000000000009</v>
      </c>
      <c r="S368" s="62">
        <f t="shared" si="266"/>
        <v>6426.0000000000009</v>
      </c>
      <c r="T368" s="62">
        <f t="shared" si="266"/>
        <v>6426.0000000000009</v>
      </c>
      <c r="U368" s="62">
        <f t="shared" si="266"/>
        <v>6426.0000000000009</v>
      </c>
      <c r="V368" s="62">
        <f t="shared" ref="V368:AC369" si="267">($B348+($C348-$B348)*(1-AK348))*V$44</f>
        <v>6426.0000000000009</v>
      </c>
      <c r="W368" s="62">
        <f t="shared" si="267"/>
        <v>6426.0000000000009</v>
      </c>
      <c r="X368" s="62">
        <f t="shared" si="267"/>
        <v>6426.0000000000009</v>
      </c>
      <c r="Y368" s="62">
        <f t="shared" si="267"/>
        <v>6426.0000000000009</v>
      </c>
      <c r="Z368" s="62">
        <f t="shared" si="267"/>
        <v>6426.0000000000009</v>
      </c>
      <c r="AA368" s="62">
        <f t="shared" si="267"/>
        <v>6426.0000000000009</v>
      </c>
      <c r="AB368" s="62">
        <f t="shared" si="267"/>
        <v>6426.0000000000009</v>
      </c>
      <c r="AC368" s="62">
        <f t="shared" si="267"/>
        <v>6426.0000000000009</v>
      </c>
    </row>
    <row r="369" spans="1:29" x14ac:dyDescent="0.25">
      <c r="A369" s="30" t="s">
        <v>73</v>
      </c>
      <c r="B369" s="62">
        <f t="shared" si="265"/>
        <v>0</v>
      </c>
      <c r="C369" s="62">
        <f t="shared" si="265"/>
        <v>0</v>
      </c>
      <c r="D369" s="62">
        <f t="shared" si="265"/>
        <v>0</v>
      </c>
      <c r="E369" s="62">
        <f t="shared" si="265"/>
        <v>0</v>
      </c>
      <c r="F369" s="62">
        <f t="shared" si="265"/>
        <v>0</v>
      </c>
      <c r="G369" s="62">
        <f t="shared" si="265"/>
        <v>0</v>
      </c>
      <c r="H369" s="62">
        <f t="shared" si="265"/>
        <v>0</v>
      </c>
      <c r="I369" s="62">
        <f t="shared" si="265"/>
        <v>0</v>
      </c>
      <c r="J369" s="62">
        <f t="shared" si="265"/>
        <v>0</v>
      </c>
      <c r="K369" s="62">
        <f t="shared" si="265"/>
        <v>0</v>
      </c>
      <c r="L369" s="62">
        <f t="shared" si="266"/>
        <v>0</v>
      </c>
      <c r="M369" s="62">
        <f t="shared" si="266"/>
        <v>0</v>
      </c>
      <c r="N369" s="62">
        <f t="shared" si="266"/>
        <v>0</v>
      </c>
      <c r="O369" s="62">
        <f t="shared" si="266"/>
        <v>0</v>
      </c>
      <c r="P369" s="62">
        <f t="shared" si="266"/>
        <v>0</v>
      </c>
      <c r="Q369" s="62">
        <f t="shared" si="266"/>
        <v>0</v>
      </c>
      <c r="R369" s="62">
        <f t="shared" si="266"/>
        <v>0</v>
      </c>
      <c r="S369" s="62">
        <f t="shared" si="266"/>
        <v>0</v>
      </c>
      <c r="T369" s="62">
        <f t="shared" si="266"/>
        <v>0</v>
      </c>
      <c r="U369" s="62">
        <f t="shared" si="266"/>
        <v>0</v>
      </c>
      <c r="V369" s="62">
        <f t="shared" si="267"/>
        <v>0</v>
      </c>
      <c r="W369" s="62">
        <f t="shared" si="267"/>
        <v>0</v>
      </c>
      <c r="X369" s="62">
        <f t="shared" si="267"/>
        <v>0</v>
      </c>
      <c r="Y369" s="62">
        <f t="shared" si="267"/>
        <v>0</v>
      </c>
      <c r="Z369" s="62">
        <f t="shared" si="267"/>
        <v>0</v>
      </c>
      <c r="AA369" s="62">
        <f t="shared" si="267"/>
        <v>0</v>
      </c>
      <c r="AB369" s="62">
        <f t="shared" si="267"/>
        <v>0</v>
      </c>
      <c r="AC369" s="62">
        <f t="shared" si="267"/>
        <v>0</v>
      </c>
    </row>
    <row r="370" spans="1:29" x14ac:dyDescent="0.25">
      <c r="A370" s="30" t="str">
        <f>A350</f>
        <v>Annual Mileage</v>
      </c>
      <c r="B370" s="62">
        <f t="shared" ref="B370:AC370" si="268">$B350+($C350-$B350)*(1-Q350)</f>
        <v>120000</v>
      </c>
      <c r="C370" s="62">
        <f t="shared" si="268"/>
        <v>120000</v>
      </c>
      <c r="D370" s="62">
        <f t="shared" si="268"/>
        <v>120000</v>
      </c>
      <c r="E370" s="62">
        <f t="shared" si="268"/>
        <v>120000</v>
      </c>
      <c r="F370" s="62">
        <f t="shared" si="268"/>
        <v>120000</v>
      </c>
      <c r="G370" s="62">
        <f t="shared" si="268"/>
        <v>120000</v>
      </c>
      <c r="H370" s="62">
        <f t="shared" si="268"/>
        <v>120000</v>
      </c>
      <c r="I370" s="62">
        <f t="shared" si="268"/>
        <v>120000</v>
      </c>
      <c r="J370" s="62">
        <f t="shared" si="268"/>
        <v>120000</v>
      </c>
      <c r="K370" s="62">
        <f t="shared" si="268"/>
        <v>120000</v>
      </c>
      <c r="L370" s="62">
        <f t="shared" si="268"/>
        <v>120000</v>
      </c>
      <c r="M370" s="62">
        <f t="shared" si="268"/>
        <v>120000</v>
      </c>
      <c r="N370" s="62">
        <f t="shared" si="268"/>
        <v>120000</v>
      </c>
      <c r="O370" s="62">
        <f t="shared" si="268"/>
        <v>120000</v>
      </c>
      <c r="P370" s="62">
        <f t="shared" si="268"/>
        <v>120000</v>
      </c>
      <c r="Q370" s="62">
        <f t="shared" si="268"/>
        <v>120000</v>
      </c>
      <c r="R370" s="62">
        <f t="shared" si="268"/>
        <v>120000</v>
      </c>
      <c r="S370" s="62">
        <f t="shared" si="268"/>
        <v>120000</v>
      </c>
      <c r="T370" s="62">
        <f t="shared" si="268"/>
        <v>120000</v>
      </c>
      <c r="U370" s="62">
        <f t="shared" si="268"/>
        <v>120000</v>
      </c>
      <c r="V370" s="62">
        <f t="shared" si="268"/>
        <v>120000</v>
      </c>
      <c r="W370" s="62">
        <f t="shared" si="268"/>
        <v>120000</v>
      </c>
      <c r="X370" s="62">
        <f t="shared" si="268"/>
        <v>120000</v>
      </c>
      <c r="Y370" s="62">
        <f t="shared" si="268"/>
        <v>120000</v>
      </c>
      <c r="Z370" s="62">
        <f t="shared" si="268"/>
        <v>120000</v>
      </c>
      <c r="AA370" s="62">
        <f t="shared" si="268"/>
        <v>120000</v>
      </c>
      <c r="AB370" s="62">
        <f t="shared" si="268"/>
        <v>120000</v>
      </c>
      <c r="AC370" s="62">
        <f t="shared" si="268"/>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69">((1+C358)^C365)*C358/(((1+C358)^C365)-1)*(C354)</f>
        <v>1173400.7731841092</v>
      </c>
      <c r="D373" s="63">
        <f t="shared" si="269"/>
        <v>1173400.7731841092</v>
      </c>
      <c r="E373" s="63">
        <f t="shared" si="269"/>
        <v>1173400.7731841092</v>
      </c>
      <c r="F373" s="63">
        <f t="shared" si="269"/>
        <v>1173400.7731841092</v>
      </c>
      <c r="G373" s="63">
        <f t="shared" si="269"/>
        <v>1173400.7731841092</v>
      </c>
      <c r="H373" s="63">
        <f t="shared" si="269"/>
        <v>1173400.7731841092</v>
      </c>
      <c r="I373" s="63">
        <f t="shared" si="269"/>
        <v>1173400.7731841092</v>
      </c>
      <c r="J373" s="63">
        <f t="shared" si="269"/>
        <v>1173400.7731841092</v>
      </c>
      <c r="K373" s="63">
        <f t="shared" si="269"/>
        <v>1173400.7731841092</v>
      </c>
      <c r="L373" s="63">
        <f t="shared" si="269"/>
        <v>1173400.7731841092</v>
      </c>
      <c r="M373" s="63">
        <f t="shared" si="269"/>
        <v>1173400.7731841092</v>
      </c>
      <c r="N373" s="63">
        <f t="shared" si="269"/>
        <v>1173400.7731841092</v>
      </c>
      <c r="O373" s="63">
        <f t="shared" si="269"/>
        <v>1173400.7731841092</v>
      </c>
      <c r="P373" s="63">
        <f t="shared" si="269"/>
        <v>1173400.7731841092</v>
      </c>
      <c r="Q373" s="63">
        <f t="shared" si="269"/>
        <v>1173400.7731841092</v>
      </c>
      <c r="R373" s="63">
        <f t="shared" si="269"/>
        <v>1173400.7731841092</v>
      </c>
      <c r="S373" s="63">
        <f t="shared" si="269"/>
        <v>1173400.7731841092</v>
      </c>
      <c r="T373" s="63">
        <f t="shared" si="269"/>
        <v>1173400.7731841092</v>
      </c>
      <c r="U373" s="63">
        <f t="shared" si="269"/>
        <v>1173400.7731841092</v>
      </c>
      <c r="V373" s="63">
        <f t="shared" si="269"/>
        <v>1173400.7731841092</v>
      </c>
      <c r="W373" s="63">
        <f t="shared" si="269"/>
        <v>1173400.7731841092</v>
      </c>
      <c r="X373" s="63">
        <f t="shared" si="269"/>
        <v>1173400.7731841092</v>
      </c>
      <c r="Y373" s="63">
        <f t="shared" si="269"/>
        <v>1173400.7731841092</v>
      </c>
      <c r="Z373" s="63">
        <f t="shared" si="269"/>
        <v>1173400.7731841092</v>
      </c>
      <c r="AA373" s="63">
        <f t="shared" si="269"/>
        <v>1173400.7731841092</v>
      </c>
      <c r="AB373" s="63">
        <f t="shared" si="269"/>
        <v>1173400.7731841092</v>
      </c>
      <c r="AC373" s="63">
        <f t="shared" si="269"/>
        <v>1173400.7731841092</v>
      </c>
    </row>
    <row r="374" spans="1:29" x14ac:dyDescent="0.25">
      <c r="A374" s="30" t="str">
        <f>A355</f>
        <v>Residual value (vehicle)</v>
      </c>
      <c r="B374" s="62">
        <f>((1+B358)^B365)*B358/(((1+B358)^B365)-1)*(B355)</f>
        <v>-117211.22297816433</v>
      </c>
      <c r="C374" s="62">
        <f t="shared" ref="C374:AC374" si="270">((1+C358)^C365)*C358/(((1+C358)^C365)-1)*(C355)</f>
        <v>-117155.47750703427</v>
      </c>
      <c r="D374" s="62">
        <f t="shared" si="270"/>
        <v>-117075.67910674184</v>
      </c>
      <c r="E374" s="62">
        <f t="shared" si="270"/>
        <v>-116961.52188344915</v>
      </c>
      <c r="F374" s="62">
        <f t="shared" si="270"/>
        <v>-116798.36602132194</v>
      </c>
      <c r="G374" s="62">
        <f t="shared" si="270"/>
        <v>-116565.50734662244</v>
      </c>
      <c r="H374" s="62">
        <f t="shared" si="270"/>
        <v>-116233.85946736432</v>
      </c>
      <c r="I374" s="62">
        <f t="shared" si="270"/>
        <v>-115762.96702113429</v>
      </c>
      <c r="J374" s="62">
        <f t="shared" si="270"/>
        <v>-115097.40579826315</v>
      </c>
      <c r="K374" s="62">
        <f t="shared" si="270"/>
        <v>-114162.96984907117</v>
      </c>
      <c r="L374" s="62">
        <f t="shared" si="270"/>
        <v>-112863.76466894078</v>
      </c>
      <c r="M374" s="62">
        <f t="shared" si="270"/>
        <v>-111082.60297034449</v>
      </c>
      <c r="N374" s="62">
        <f t="shared" si="270"/>
        <v>-108688.91250900239</v>
      </c>
      <c r="O374" s="62">
        <f t="shared" si="270"/>
        <v>-105559.89664903973</v>
      </c>
      <c r="P374" s="62">
        <f t="shared" si="270"/>
        <v>-101619.43004574107</v>
      </c>
      <c r="Q374" s="62">
        <f t="shared" si="270"/>
        <v>-96890.983232894243</v>
      </c>
      <c r="R374" s="62">
        <f t="shared" si="270"/>
        <v>-91544.180152521745</v>
      </c>
      <c r="S374" s="62">
        <f t="shared" si="270"/>
        <v>-85899.582077953528</v>
      </c>
      <c r="T374" s="62">
        <f t="shared" si="270"/>
        <v>-80366.059135568226</v>
      </c>
      <c r="U374" s="62">
        <f t="shared" si="270"/>
        <v>-75328.779301543953</v>
      </c>
      <c r="V374" s="62">
        <f t="shared" si="270"/>
        <v>-71047.808765066002</v>
      </c>
      <c r="W374" s="62">
        <f t="shared" si="270"/>
        <v>-67619.518043732241</v>
      </c>
      <c r="X374" s="62">
        <f t="shared" si="270"/>
        <v>-65003.580064954105</v>
      </c>
      <c r="Y374" s="62">
        <f t="shared" si="270"/>
        <v>-63080.655852023017</v>
      </c>
      <c r="Z374" s="62">
        <f t="shared" si="270"/>
        <v>-61705.792858076449</v>
      </c>
      <c r="AA374" s="62">
        <f t="shared" si="270"/>
        <v>-60742.216938606354</v>
      </c>
      <c r="AB374" s="62">
        <f t="shared" si="270"/>
        <v>-60076.3267522479</v>
      </c>
      <c r="AC374" s="62">
        <f t="shared" si="270"/>
        <v>-59620.624915142049</v>
      </c>
    </row>
    <row r="375" spans="1:29" x14ac:dyDescent="0.25">
      <c r="A375" s="30" t="str">
        <f>A356</f>
        <v>Capex costumization</v>
      </c>
      <c r="B375" s="62">
        <f>((1+B358)^B366)*B358/(((1+B358)^B366)-1)*(B356)</f>
        <v>78226.718212273947</v>
      </c>
      <c r="C375" s="62">
        <f t="shared" ref="C375:AC375" si="271">((1+C358)^C366)*C358/(((1+C358)^C366)-1)*(C356)</f>
        <v>78226.718212273947</v>
      </c>
      <c r="D375" s="62">
        <f t="shared" si="271"/>
        <v>78226.718212273947</v>
      </c>
      <c r="E375" s="62">
        <f t="shared" si="271"/>
        <v>78226.718212273947</v>
      </c>
      <c r="F375" s="62">
        <f t="shared" si="271"/>
        <v>78226.718212273947</v>
      </c>
      <c r="G375" s="62">
        <f t="shared" si="271"/>
        <v>78226.718212273947</v>
      </c>
      <c r="H375" s="62">
        <f t="shared" si="271"/>
        <v>78226.718212273947</v>
      </c>
      <c r="I375" s="62">
        <f t="shared" si="271"/>
        <v>78226.718212273947</v>
      </c>
      <c r="J375" s="62">
        <f t="shared" si="271"/>
        <v>78226.718212273947</v>
      </c>
      <c r="K375" s="62">
        <f t="shared" si="271"/>
        <v>78226.718212273947</v>
      </c>
      <c r="L375" s="62">
        <f t="shared" si="271"/>
        <v>78226.718212273947</v>
      </c>
      <c r="M375" s="62">
        <f t="shared" si="271"/>
        <v>78226.718212273947</v>
      </c>
      <c r="N375" s="62">
        <f t="shared" si="271"/>
        <v>78226.718212273947</v>
      </c>
      <c r="O375" s="62">
        <f t="shared" si="271"/>
        <v>78226.718212273947</v>
      </c>
      <c r="P375" s="62">
        <f t="shared" si="271"/>
        <v>78226.718212273947</v>
      </c>
      <c r="Q375" s="62">
        <f t="shared" si="271"/>
        <v>78226.718212273947</v>
      </c>
      <c r="R375" s="62">
        <f t="shared" si="271"/>
        <v>78226.718212273947</v>
      </c>
      <c r="S375" s="62">
        <f t="shared" si="271"/>
        <v>78226.718212273947</v>
      </c>
      <c r="T375" s="62">
        <f t="shared" si="271"/>
        <v>78226.718212273947</v>
      </c>
      <c r="U375" s="62">
        <f t="shared" si="271"/>
        <v>78226.718212273947</v>
      </c>
      <c r="V375" s="62">
        <f t="shared" si="271"/>
        <v>78226.718212273947</v>
      </c>
      <c r="W375" s="62">
        <f t="shared" si="271"/>
        <v>78226.718212273947</v>
      </c>
      <c r="X375" s="62">
        <f t="shared" si="271"/>
        <v>78226.718212273947</v>
      </c>
      <c r="Y375" s="62">
        <f t="shared" si="271"/>
        <v>78226.718212273947</v>
      </c>
      <c r="Z375" s="62">
        <f t="shared" si="271"/>
        <v>78226.718212273947</v>
      </c>
      <c r="AA375" s="62">
        <f t="shared" si="271"/>
        <v>78226.718212273947</v>
      </c>
      <c r="AB375" s="62">
        <f t="shared" si="271"/>
        <v>78226.718212273947</v>
      </c>
      <c r="AC375" s="62">
        <f t="shared" si="271"/>
        <v>78226.718212273947</v>
      </c>
    </row>
    <row r="376" spans="1:29" x14ac:dyDescent="0.25">
      <c r="A376" s="30" t="str">
        <f>A357</f>
        <v>Residual value (costumization)</v>
      </c>
      <c r="B376" s="62">
        <f>((1+B358)^B366)*B358/(((1+B358)^B366)-1)*(B357)</f>
        <v>-7822.6718212273945</v>
      </c>
      <c r="C376" s="62">
        <f t="shared" ref="C376:AC376" si="272">((1+C358)^C366)*C358/(((1+C358)^C366)-1)*(C357)</f>
        <v>-7822.6718212273945</v>
      </c>
      <c r="D376" s="62">
        <f t="shared" si="272"/>
        <v>-7822.6718212273945</v>
      </c>
      <c r="E376" s="62">
        <f t="shared" si="272"/>
        <v>-7822.6718212273945</v>
      </c>
      <c r="F376" s="62">
        <f t="shared" si="272"/>
        <v>-7822.6718212273945</v>
      </c>
      <c r="G376" s="62">
        <f t="shared" si="272"/>
        <v>-7822.6718212273945</v>
      </c>
      <c r="H376" s="62">
        <f t="shared" si="272"/>
        <v>-7822.6718212273945</v>
      </c>
      <c r="I376" s="62">
        <f t="shared" si="272"/>
        <v>-7822.6718212273945</v>
      </c>
      <c r="J376" s="62">
        <f t="shared" si="272"/>
        <v>-7822.6718212273945</v>
      </c>
      <c r="K376" s="62">
        <f t="shared" si="272"/>
        <v>-7822.6718212273945</v>
      </c>
      <c r="L376" s="62">
        <f t="shared" si="272"/>
        <v>-7822.6718212273945</v>
      </c>
      <c r="M376" s="62">
        <f t="shared" si="272"/>
        <v>-7822.6718212273945</v>
      </c>
      <c r="N376" s="62">
        <f t="shared" si="272"/>
        <v>-7822.6718212273945</v>
      </c>
      <c r="O376" s="62">
        <f t="shared" si="272"/>
        <v>-7822.6718212273945</v>
      </c>
      <c r="P376" s="62">
        <f t="shared" si="272"/>
        <v>-7822.6718212273945</v>
      </c>
      <c r="Q376" s="62">
        <f t="shared" si="272"/>
        <v>-7822.6718212273945</v>
      </c>
      <c r="R376" s="62">
        <f t="shared" si="272"/>
        <v>-7822.6718212273945</v>
      </c>
      <c r="S376" s="62">
        <f t="shared" si="272"/>
        <v>-7822.6718212273945</v>
      </c>
      <c r="T376" s="62">
        <f t="shared" si="272"/>
        <v>-7822.6718212273945</v>
      </c>
      <c r="U376" s="62">
        <f t="shared" si="272"/>
        <v>-7822.6718212273945</v>
      </c>
      <c r="V376" s="62">
        <f t="shared" si="272"/>
        <v>-7822.6718212273945</v>
      </c>
      <c r="W376" s="62">
        <f t="shared" si="272"/>
        <v>-7822.6718212273945</v>
      </c>
      <c r="X376" s="62">
        <f t="shared" si="272"/>
        <v>-7822.6718212273945</v>
      </c>
      <c r="Y376" s="62">
        <f t="shared" si="272"/>
        <v>-7822.6718212273945</v>
      </c>
      <c r="Z376" s="62">
        <f t="shared" si="272"/>
        <v>-7822.6718212273945</v>
      </c>
      <c r="AA376" s="62">
        <f t="shared" si="272"/>
        <v>-7822.6718212273945</v>
      </c>
      <c r="AB376" s="62">
        <f t="shared" si="272"/>
        <v>-7822.6718212273945</v>
      </c>
      <c r="AC376" s="62">
        <f t="shared" si="272"/>
        <v>-7822.6718212273945</v>
      </c>
    </row>
    <row r="377" spans="1:29" x14ac:dyDescent="0.25">
      <c r="A377" s="30" t="str">
        <f t="shared" ref="A377:AC377" si="273">A359</f>
        <v>Opex fix (admin, crew, insurance)</v>
      </c>
      <c r="B377" s="62">
        <f t="shared" si="273"/>
        <v>1208235.294117647</v>
      </c>
      <c r="C377" s="62">
        <f t="shared" si="273"/>
        <v>1208235.294117647</v>
      </c>
      <c r="D377" s="62">
        <f t="shared" si="273"/>
        <v>1208235.294117647</v>
      </c>
      <c r="E377" s="62">
        <f t="shared" si="273"/>
        <v>1208235.294117647</v>
      </c>
      <c r="F377" s="62">
        <f t="shared" si="273"/>
        <v>1208235.294117647</v>
      </c>
      <c r="G377" s="62">
        <f t="shared" si="273"/>
        <v>1208235.294117647</v>
      </c>
      <c r="H377" s="62">
        <f t="shared" si="273"/>
        <v>1208235.294117647</v>
      </c>
      <c r="I377" s="62">
        <f t="shared" si="273"/>
        <v>1208235.294117647</v>
      </c>
      <c r="J377" s="62">
        <f t="shared" si="273"/>
        <v>1208235.294117647</v>
      </c>
      <c r="K377" s="62">
        <f t="shared" si="273"/>
        <v>1208235.294117647</v>
      </c>
      <c r="L377" s="62">
        <f t="shared" si="273"/>
        <v>1208235.294117647</v>
      </c>
      <c r="M377" s="62">
        <f t="shared" si="273"/>
        <v>1208235.294117647</v>
      </c>
      <c r="N377" s="62">
        <f t="shared" si="273"/>
        <v>1208235.294117647</v>
      </c>
      <c r="O377" s="62">
        <f t="shared" si="273"/>
        <v>1208235.294117647</v>
      </c>
      <c r="P377" s="62">
        <f t="shared" si="273"/>
        <v>1208235.294117647</v>
      </c>
      <c r="Q377" s="62">
        <f t="shared" si="273"/>
        <v>1208235.294117647</v>
      </c>
      <c r="R377" s="62">
        <f t="shared" si="273"/>
        <v>1208235.294117647</v>
      </c>
      <c r="S377" s="62">
        <f t="shared" si="273"/>
        <v>1208235.294117647</v>
      </c>
      <c r="T377" s="62">
        <f t="shared" si="273"/>
        <v>1208235.294117647</v>
      </c>
      <c r="U377" s="62">
        <f t="shared" si="273"/>
        <v>1208235.294117647</v>
      </c>
      <c r="V377" s="62">
        <f t="shared" si="273"/>
        <v>1208235.294117647</v>
      </c>
      <c r="W377" s="62">
        <f t="shared" si="273"/>
        <v>1208235.294117647</v>
      </c>
      <c r="X377" s="62">
        <f t="shared" si="273"/>
        <v>1208235.294117647</v>
      </c>
      <c r="Y377" s="62">
        <f t="shared" si="273"/>
        <v>1208235.294117647</v>
      </c>
      <c r="Z377" s="62">
        <f t="shared" si="273"/>
        <v>1208235.294117647</v>
      </c>
      <c r="AA377" s="62">
        <f t="shared" si="273"/>
        <v>1208235.294117647</v>
      </c>
      <c r="AB377" s="62">
        <f t="shared" si="273"/>
        <v>1208235.294117647</v>
      </c>
      <c r="AC377" s="62">
        <f t="shared" si="273"/>
        <v>1208235.294117647</v>
      </c>
    </row>
    <row r="378" spans="1:29" x14ac:dyDescent="0.25">
      <c r="A378" s="30" t="str">
        <f t="shared" ref="A378:AC378" si="274">A360</f>
        <v>Opex maintenance &amp; repair</v>
      </c>
      <c r="B378" s="62">
        <f t="shared" si="274"/>
        <v>488235.29411764705</v>
      </c>
      <c r="C378" s="62">
        <f t="shared" si="274"/>
        <v>488235.29411764705</v>
      </c>
      <c r="D378" s="62">
        <f t="shared" si="274"/>
        <v>488235.29411764705</v>
      </c>
      <c r="E378" s="62">
        <f t="shared" si="274"/>
        <v>488235.29411764705</v>
      </c>
      <c r="F378" s="62">
        <f t="shared" si="274"/>
        <v>488235.29411764705</v>
      </c>
      <c r="G378" s="62">
        <f t="shared" si="274"/>
        <v>488235.29411764705</v>
      </c>
      <c r="H378" s="62">
        <f t="shared" si="274"/>
        <v>488235.29411764705</v>
      </c>
      <c r="I378" s="62">
        <f t="shared" si="274"/>
        <v>488235.29411764705</v>
      </c>
      <c r="J378" s="62">
        <f t="shared" si="274"/>
        <v>488235.29411764705</v>
      </c>
      <c r="K378" s="62">
        <f t="shared" si="274"/>
        <v>488235.29411764705</v>
      </c>
      <c r="L378" s="62">
        <f t="shared" si="274"/>
        <v>488235.29411764705</v>
      </c>
      <c r="M378" s="62">
        <f t="shared" si="274"/>
        <v>488235.29411764705</v>
      </c>
      <c r="N378" s="62">
        <f t="shared" si="274"/>
        <v>488235.29411764705</v>
      </c>
      <c r="O378" s="62">
        <f t="shared" si="274"/>
        <v>488235.29411764705</v>
      </c>
      <c r="P378" s="62">
        <f t="shared" si="274"/>
        <v>488235.29411764705</v>
      </c>
      <c r="Q378" s="62">
        <f t="shared" si="274"/>
        <v>488235.29411764705</v>
      </c>
      <c r="R378" s="62">
        <f t="shared" si="274"/>
        <v>488235.29411764705</v>
      </c>
      <c r="S378" s="62">
        <f t="shared" si="274"/>
        <v>488235.29411764705</v>
      </c>
      <c r="T378" s="62">
        <f t="shared" si="274"/>
        <v>488235.29411764705</v>
      </c>
      <c r="U378" s="62">
        <f t="shared" si="274"/>
        <v>488235.29411764705</v>
      </c>
      <c r="V378" s="62">
        <f t="shared" si="274"/>
        <v>488235.29411764705</v>
      </c>
      <c r="W378" s="62">
        <f t="shared" si="274"/>
        <v>488235.29411764705</v>
      </c>
      <c r="X378" s="62">
        <f t="shared" si="274"/>
        <v>488235.29411764705</v>
      </c>
      <c r="Y378" s="62">
        <f t="shared" si="274"/>
        <v>488235.29411764705</v>
      </c>
      <c r="Z378" s="62">
        <f t="shared" si="274"/>
        <v>488235.29411764705</v>
      </c>
      <c r="AA378" s="62">
        <f t="shared" si="274"/>
        <v>488235.29411764705</v>
      </c>
      <c r="AB378" s="62">
        <f t="shared" si="274"/>
        <v>488235.29411764705</v>
      </c>
      <c r="AC378" s="62">
        <f t="shared" si="274"/>
        <v>488235.29411764705</v>
      </c>
    </row>
    <row r="379" spans="1:29" x14ac:dyDescent="0.25">
      <c r="A379" s="30" t="str">
        <f>A361</f>
        <v>Opex var (mode-fees)</v>
      </c>
      <c r="B379" s="62">
        <f>B361*B370</f>
        <v>97536.682916217906</v>
      </c>
      <c r="C379" s="62">
        <f t="shared" ref="C379:AC379" si="275">C361*C370</f>
        <v>97536.682916217906</v>
      </c>
      <c r="D379" s="62">
        <f t="shared" si="275"/>
        <v>97536.682916217906</v>
      </c>
      <c r="E379" s="62">
        <f t="shared" si="275"/>
        <v>97536.682916217906</v>
      </c>
      <c r="F379" s="62">
        <f t="shared" si="275"/>
        <v>97536.682916217906</v>
      </c>
      <c r="G379" s="62">
        <f t="shared" si="275"/>
        <v>97536.682916217906</v>
      </c>
      <c r="H379" s="62">
        <f t="shared" si="275"/>
        <v>97536.682916217906</v>
      </c>
      <c r="I379" s="62">
        <f t="shared" si="275"/>
        <v>97536.682916217906</v>
      </c>
      <c r="J379" s="62">
        <f t="shared" si="275"/>
        <v>97536.682916217906</v>
      </c>
      <c r="K379" s="62">
        <f t="shared" si="275"/>
        <v>97536.682916217906</v>
      </c>
      <c r="L379" s="62">
        <f t="shared" si="275"/>
        <v>97536.682916217906</v>
      </c>
      <c r="M379" s="62">
        <f t="shared" si="275"/>
        <v>97536.682916217906</v>
      </c>
      <c r="N379" s="62">
        <f t="shared" si="275"/>
        <v>97536.682916217906</v>
      </c>
      <c r="O379" s="62">
        <f t="shared" si="275"/>
        <v>97536.682916217906</v>
      </c>
      <c r="P379" s="62">
        <f t="shared" si="275"/>
        <v>97536.682916217906</v>
      </c>
      <c r="Q379" s="62">
        <f t="shared" si="275"/>
        <v>97536.682916217906</v>
      </c>
      <c r="R379" s="62">
        <f t="shared" si="275"/>
        <v>97536.682916217906</v>
      </c>
      <c r="S379" s="62">
        <f t="shared" si="275"/>
        <v>97536.682916217906</v>
      </c>
      <c r="T379" s="62">
        <f t="shared" si="275"/>
        <v>97536.682916217906</v>
      </c>
      <c r="U379" s="62">
        <f t="shared" si="275"/>
        <v>97536.682916217906</v>
      </c>
      <c r="V379" s="62">
        <f t="shared" si="275"/>
        <v>97536.682916217906</v>
      </c>
      <c r="W379" s="62">
        <f t="shared" si="275"/>
        <v>97536.682916217906</v>
      </c>
      <c r="X379" s="62">
        <f t="shared" si="275"/>
        <v>97536.682916217906</v>
      </c>
      <c r="Y379" s="62">
        <f t="shared" si="275"/>
        <v>97536.682916217906</v>
      </c>
      <c r="Z379" s="62">
        <f t="shared" si="275"/>
        <v>97536.682916217906</v>
      </c>
      <c r="AA379" s="62">
        <f t="shared" si="275"/>
        <v>97536.682916217906</v>
      </c>
      <c r="AB379" s="62">
        <f t="shared" si="275"/>
        <v>97536.682916217906</v>
      </c>
      <c r="AC379" s="62">
        <f t="shared" si="275"/>
        <v>97536.682916217906</v>
      </c>
    </row>
    <row r="380" spans="1:29" x14ac:dyDescent="0.25">
      <c r="A380" s="30" t="str">
        <f>A363</f>
        <v>Fuel Cost</v>
      </c>
      <c r="B380" s="62">
        <f>B362*B363*B370</f>
        <v>4498618.0304829236</v>
      </c>
      <c r="C380" s="62">
        <f t="shared" ref="C380:AC380" si="276">C362*C363*C370</f>
        <v>4188079.3759353086</v>
      </c>
      <c r="D380" s="62">
        <f t="shared" si="276"/>
        <v>3877468.0419729641</v>
      </c>
      <c r="E380" s="62">
        <f t="shared" si="276"/>
        <v>3566766.217460895</v>
      </c>
      <c r="F380" s="62">
        <f t="shared" si="276"/>
        <v>3255954.4458860727</v>
      </c>
      <c r="G380" s="62">
        <f t="shared" si="276"/>
        <v>2945013.6349047427</v>
      </c>
      <c r="H380" s="62">
        <f t="shared" si="276"/>
        <v>2633929.1365398113</v>
      </c>
      <c r="I380" s="62">
        <f t="shared" si="276"/>
        <v>2322698.2431000774</v>
      </c>
      <c r="J380" s="62">
        <f t="shared" si="276"/>
        <v>2273812.2520016357</v>
      </c>
      <c r="K380" s="62">
        <f t="shared" si="276"/>
        <v>2224260.4832576048</v>
      </c>
      <c r="L380" s="62">
        <f t="shared" si="276"/>
        <v>2173830.4324544049</v>
      </c>
      <c r="M380" s="62">
        <f t="shared" si="276"/>
        <v>2122275.575613555</v>
      </c>
      <c r="N380" s="62">
        <f t="shared" si="276"/>
        <v>2069342.0583988025</v>
      </c>
      <c r="O380" s="62">
        <f t="shared" si="276"/>
        <v>2014826.1691024788</v>
      </c>
      <c r="P380" s="62">
        <f t="shared" si="276"/>
        <v>1958668.2716916476</v>
      </c>
      <c r="Q380" s="62">
        <f t="shared" si="276"/>
        <v>1901067.0088093535</v>
      </c>
      <c r="R380" s="62">
        <f t="shared" si="276"/>
        <v>1842559.9816717752</v>
      </c>
      <c r="S380" s="62">
        <f t="shared" si="276"/>
        <v>1783992.1296651261</v>
      </c>
      <c r="T380" s="62">
        <f t="shared" si="276"/>
        <v>1726331.4306318762</v>
      </c>
      <c r="U380" s="62">
        <f t="shared" si="276"/>
        <v>1670398.7763802267</v>
      </c>
      <c r="V380" s="62">
        <f t="shared" si="276"/>
        <v>1616659.5725604114</v>
      </c>
      <c r="W380" s="62">
        <f t="shared" si="276"/>
        <v>1565180.5165969562</v>
      </c>
      <c r="X380" s="62">
        <f t="shared" si="276"/>
        <v>1515731.5068314851</v>
      </c>
      <c r="Y380" s="62">
        <f t="shared" si="276"/>
        <v>1467937.8982067783</v>
      </c>
      <c r="Z380" s="62">
        <f t="shared" si="276"/>
        <v>1421404.470279735</v>
      </c>
      <c r="AA380" s="62">
        <f t="shared" si="276"/>
        <v>1375784.7961731155</v>
      </c>
      <c r="AB380" s="62">
        <f t="shared" si="276"/>
        <v>1330805.4504176688</v>
      </c>
      <c r="AC380" s="62">
        <f t="shared" si="276"/>
        <v>1286264.2796700606</v>
      </c>
    </row>
    <row r="381" spans="1:29" ht="15.75" thickBot="1" x14ac:dyDescent="0.3">
      <c r="A381" s="59" t="str">
        <f>A344</f>
        <v>Emission Cost</v>
      </c>
      <c r="B381" s="62">
        <f>B364*B370</f>
        <v>0</v>
      </c>
      <c r="C381" s="62">
        <f t="shared" ref="C381:AC381" si="277">C364*C370</f>
        <v>0</v>
      </c>
      <c r="D381" s="62">
        <f t="shared" si="277"/>
        <v>0</v>
      </c>
      <c r="E381" s="62">
        <f t="shared" si="277"/>
        <v>0</v>
      </c>
      <c r="F381" s="62">
        <f t="shared" si="277"/>
        <v>0</v>
      </c>
      <c r="G381" s="62">
        <f t="shared" si="277"/>
        <v>0</v>
      </c>
      <c r="H381" s="62">
        <f t="shared" si="277"/>
        <v>0</v>
      </c>
      <c r="I381" s="62">
        <f t="shared" si="277"/>
        <v>0</v>
      </c>
      <c r="J381" s="62">
        <f t="shared" si="277"/>
        <v>0</v>
      </c>
      <c r="K381" s="62">
        <f t="shared" si="277"/>
        <v>0</v>
      </c>
      <c r="L381" s="62">
        <f t="shared" si="277"/>
        <v>0</v>
      </c>
      <c r="M381" s="62">
        <f t="shared" si="277"/>
        <v>0</v>
      </c>
      <c r="N381" s="62">
        <f t="shared" si="277"/>
        <v>0</v>
      </c>
      <c r="O381" s="62">
        <f t="shared" si="277"/>
        <v>0</v>
      </c>
      <c r="P381" s="62">
        <f t="shared" si="277"/>
        <v>0</v>
      </c>
      <c r="Q381" s="62">
        <f t="shared" si="277"/>
        <v>0</v>
      </c>
      <c r="R381" s="62">
        <f t="shared" si="277"/>
        <v>0</v>
      </c>
      <c r="S381" s="62">
        <f t="shared" si="277"/>
        <v>0</v>
      </c>
      <c r="T381" s="62">
        <f t="shared" si="277"/>
        <v>0</v>
      </c>
      <c r="U381" s="62">
        <f t="shared" si="277"/>
        <v>0</v>
      </c>
      <c r="V381" s="62">
        <f t="shared" si="277"/>
        <v>0</v>
      </c>
      <c r="W381" s="62">
        <f t="shared" si="277"/>
        <v>0</v>
      </c>
      <c r="X381" s="62">
        <f t="shared" si="277"/>
        <v>0</v>
      </c>
      <c r="Y381" s="62">
        <f t="shared" si="277"/>
        <v>0</v>
      </c>
      <c r="Z381" s="62">
        <f t="shared" si="277"/>
        <v>0</v>
      </c>
      <c r="AA381" s="62">
        <f t="shared" si="277"/>
        <v>0</v>
      </c>
      <c r="AB381" s="62">
        <f t="shared" si="277"/>
        <v>0</v>
      </c>
      <c r="AC381" s="62">
        <f t="shared" si="277"/>
        <v>0</v>
      </c>
    </row>
    <row r="382" spans="1:29" ht="15.75" thickBot="1" x14ac:dyDescent="0.3">
      <c r="A382" s="31" t="s">
        <v>209</v>
      </c>
      <c r="B382" s="64">
        <f>B373+B374+B375+B376+B377+B378+B379+B380+B381</f>
        <v>7419218.8982314281</v>
      </c>
      <c r="C382" s="64">
        <f t="shared" ref="C382:AC382" si="278">C373+C374+C375+C376+C377+C378+C379+C380+C381</f>
        <v>7108735.9891549423</v>
      </c>
      <c r="D382" s="64">
        <f t="shared" si="278"/>
        <v>6798204.4535928909</v>
      </c>
      <c r="E382" s="64">
        <f t="shared" si="278"/>
        <v>6487616.7863041144</v>
      </c>
      <c r="F382" s="64">
        <f t="shared" si="278"/>
        <v>6176968.1705914196</v>
      </c>
      <c r="G382" s="64">
        <f t="shared" si="278"/>
        <v>5866260.2182847885</v>
      </c>
      <c r="H382" s="64">
        <f t="shared" si="278"/>
        <v>5555507.3677991144</v>
      </c>
      <c r="I382" s="64">
        <f t="shared" si="278"/>
        <v>5244747.3668056112</v>
      </c>
      <c r="J382" s="64">
        <f t="shared" si="278"/>
        <v>5196526.9369300399</v>
      </c>
      <c r="K382" s="64">
        <f t="shared" si="278"/>
        <v>5147909.6041352022</v>
      </c>
      <c r="L382" s="64">
        <f t="shared" si="278"/>
        <v>5098778.7585121319</v>
      </c>
      <c r="M382" s="64">
        <f t="shared" si="278"/>
        <v>5049005.0633698786</v>
      </c>
      <c r="N382" s="64">
        <f t="shared" si="278"/>
        <v>4998465.2366164681</v>
      </c>
      <c r="O382" s="64">
        <f t="shared" si="278"/>
        <v>4947078.3631801065</v>
      </c>
      <c r="P382" s="64">
        <f t="shared" si="278"/>
        <v>4894860.9323725747</v>
      </c>
      <c r="Q382" s="64">
        <f t="shared" si="278"/>
        <v>4841988.1163031273</v>
      </c>
      <c r="R382" s="64">
        <f t="shared" si="278"/>
        <v>4788827.8922459213</v>
      </c>
      <c r="S382" s="64">
        <f t="shared" si="278"/>
        <v>4735904.6383138411</v>
      </c>
      <c r="T382" s="64">
        <f t="shared" si="278"/>
        <v>4683777.4622229757</v>
      </c>
      <c r="U382" s="64">
        <f t="shared" si="278"/>
        <v>4632882.0878053503</v>
      </c>
      <c r="V382" s="64">
        <f t="shared" si="278"/>
        <v>4583423.8545220131</v>
      </c>
      <c r="W382" s="64">
        <f t="shared" si="278"/>
        <v>4535373.0892798919</v>
      </c>
      <c r="X382" s="64">
        <f t="shared" si="278"/>
        <v>4488540.0174931996</v>
      </c>
      <c r="Y382" s="64">
        <f t="shared" si="278"/>
        <v>4442669.3330814233</v>
      </c>
      <c r="Z382" s="64">
        <f t="shared" si="278"/>
        <v>4397510.7681483263</v>
      </c>
      <c r="AA382" s="64">
        <f t="shared" si="278"/>
        <v>4352854.6699611768</v>
      </c>
      <c r="AB382" s="64">
        <f t="shared" si="278"/>
        <v>4308541.2143920893</v>
      </c>
      <c r="AC382" s="64">
        <f t="shared" si="278"/>
        <v>4264455.7454815861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79">A373</f>
        <v>Capex vehicle</v>
      </c>
      <c r="B385" s="65">
        <f>((1+B358)^B365)*B358/(((1+B358)^B365)-1)*(B354)/B370</f>
        <v>9.7783397765342439</v>
      </c>
      <c r="C385" s="65">
        <f t="shared" ref="C385:AC385" si="280">((1+C358)^C365)*C358/(((1+C358)^C365)-1)*(C354)/C370</f>
        <v>9.7783397765342439</v>
      </c>
      <c r="D385" s="65">
        <f t="shared" si="280"/>
        <v>9.7783397765342439</v>
      </c>
      <c r="E385" s="65">
        <f t="shared" si="280"/>
        <v>9.7783397765342439</v>
      </c>
      <c r="F385" s="65">
        <f t="shared" si="280"/>
        <v>9.7783397765342439</v>
      </c>
      <c r="G385" s="65">
        <f t="shared" si="280"/>
        <v>9.7783397765342439</v>
      </c>
      <c r="H385" s="65">
        <f t="shared" si="280"/>
        <v>9.7783397765342439</v>
      </c>
      <c r="I385" s="65">
        <f t="shared" si="280"/>
        <v>9.7783397765342439</v>
      </c>
      <c r="J385" s="65">
        <f t="shared" si="280"/>
        <v>9.7783397765342439</v>
      </c>
      <c r="K385" s="65">
        <f t="shared" si="280"/>
        <v>9.7783397765342439</v>
      </c>
      <c r="L385" s="65">
        <f t="shared" si="280"/>
        <v>9.7783397765342439</v>
      </c>
      <c r="M385" s="65">
        <f t="shared" si="280"/>
        <v>9.7783397765342439</v>
      </c>
      <c r="N385" s="65">
        <f t="shared" si="280"/>
        <v>9.7783397765342439</v>
      </c>
      <c r="O385" s="65">
        <f t="shared" si="280"/>
        <v>9.7783397765342439</v>
      </c>
      <c r="P385" s="65">
        <f t="shared" si="280"/>
        <v>9.7783397765342439</v>
      </c>
      <c r="Q385" s="65">
        <f t="shared" si="280"/>
        <v>9.7783397765342439</v>
      </c>
      <c r="R385" s="65">
        <f t="shared" si="280"/>
        <v>9.7783397765342439</v>
      </c>
      <c r="S385" s="65">
        <f t="shared" si="280"/>
        <v>9.7783397765342439</v>
      </c>
      <c r="T385" s="65">
        <f t="shared" si="280"/>
        <v>9.7783397765342439</v>
      </c>
      <c r="U385" s="65">
        <f t="shared" si="280"/>
        <v>9.7783397765342439</v>
      </c>
      <c r="V385" s="65">
        <f t="shared" si="280"/>
        <v>9.7783397765342439</v>
      </c>
      <c r="W385" s="65">
        <f t="shared" si="280"/>
        <v>9.7783397765342439</v>
      </c>
      <c r="X385" s="65">
        <f t="shared" si="280"/>
        <v>9.7783397765342439</v>
      </c>
      <c r="Y385" s="65">
        <f t="shared" si="280"/>
        <v>9.7783397765342439</v>
      </c>
      <c r="Z385" s="65">
        <f t="shared" si="280"/>
        <v>9.7783397765342439</v>
      </c>
      <c r="AA385" s="65">
        <f t="shared" si="280"/>
        <v>9.7783397765342439</v>
      </c>
      <c r="AB385" s="65">
        <f t="shared" si="280"/>
        <v>9.7783397765342439</v>
      </c>
      <c r="AC385" s="65">
        <f t="shared" si="280"/>
        <v>9.7783397765342439</v>
      </c>
    </row>
    <row r="386" spans="1:29" x14ac:dyDescent="0.25">
      <c r="A386" s="30" t="str">
        <f t="shared" si="279"/>
        <v>Residual value (vehicle)</v>
      </c>
      <c r="B386" s="66">
        <f>((1+B358)^B365)*B358/(((1+B358)^B365)-1)*(B355)/B370</f>
        <v>-0.97676019148470272</v>
      </c>
      <c r="C386" s="66">
        <f t="shared" ref="C386:AC386" si="281">((1+C358)^C365)*C358/(((1+C358)^C365)-1)*(C355)/C370</f>
        <v>-0.97629564589195228</v>
      </c>
      <c r="D386" s="66">
        <f t="shared" si="281"/>
        <v>-0.97563065922284864</v>
      </c>
      <c r="E386" s="66">
        <f t="shared" si="281"/>
        <v>-0.97467934902874298</v>
      </c>
      <c r="F386" s="66">
        <f t="shared" si="281"/>
        <v>-0.97331971684434948</v>
      </c>
      <c r="G386" s="66">
        <f t="shared" si="281"/>
        <v>-0.97137922788852038</v>
      </c>
      <c r="H386" s="66">
        <f t="shared" si="281"/>
        <v>-0.96861549556136939</v>
      </c>
      <c r="I386" s="66">
        <f t="shared" si="281"/>
        <v>-0.96469139184278574</v>
      </c>
      <c r="J386" s="66">
        <f t="shared" si="281"/>
        <v>-0.95914504831885961</v>
      </c>
      <c r="K386" s="66">
        <f t="shared" si="281"/>
        <v>-0.95135808207559314</v>
      </c>
      <c r="L386" s="66">
        <f t="shared" si="281"/>
        <v>-0.94053137224117322</v>
      </c>
      <c r="M386" s="66">
        <f t="shared" si="281"/>
        <v>-0.92568835808620409</v>
      </c>
      <c r="N386" s="66">
        <f t="shared" si="281"/>
        <v>-0.90574093757501994</v>
      </c>
      <c r="O386" s="66">
        <f t="shared" si="281"/>
        <v>-0.87966580540866446</v>
      </c>
      <c r="P386" s="66">
        <f t="shared" si="281"/>
        <v>-0.84682858371450898</v>
      </c>
      <c r="Q386" s="66">
        <f t="shared" si="281"/>
        <v>-0.80742486027411864</v>
      </c>
      <c r="R386" s="66">
        <f t="shared" si="281"/>
        <v>-0.7628681679376812</v>
      </c>
      <c r="S386" s="66">
        <f t="shared" si="281"/>
        <v>-0.71582985064961269</v>
      </c>
      <c r="T386" s="66">
        <f t="shared" si="281"/>
        <v>-0.66971715946306853</v>
      </c>
      <c r="U386" s="66">
        <f t="shared" si="281"/>
        <v>-0.62773982751286628</v>
      </c>
      <c r="V386" s="66">
        <f t="shared" si="281"/>
        <v>-0.59206507304221667</v>
      </c>
      <c r="W386" s="66">
        <f t="shared" si="281"/>
        <v>-0.56349598369776865</v>
      </c>
      <c r="X386" s="66">
        <f t="shared" si="281"/>
        <v>-0.54169650054128426</v>
      </c>
      <c r="Y386" s="66">
        <f t="shared" si="281"/>
        <v>-0.52567213210019181</v>
      </c>
      <c r="Z386" s="66">
        <f t="shared" si="281"/>
        <v>-0.51421494048397043</v>
      </c>
      <c r="AA386" s="66">
        <f t="shared" si="281"/>
        <v>-0.50618514115505298</v>
      </c>
      <c r="AB386" s="66">
        <f t="shared" si="281"/>
        <v>-0.50063605626873253</v>
      </c>
      <c r="AC386" s="66">
        <f t="shared" si="281"/>
        <v>-0.49683854095951707</v>
      </c>
    </row>
    <row r="387" spans="1:29" x14ac:dyDescent="0.25">
      <c r="A387" s="30" t="str">
        <f t="shared" si="279"/>
        <v>Capex costumization</v>
      </c>
      <c r="B387" s="66">
        <f>((1+B358)^B366)*B358/(((1+B358)^B366)-1)*(B356)/B370</f>
        <v>0.65188931843561626</v>
      </c>
      <c r="C387" s="66">
        <f t="shared" ref="C387:AC387" si="282">((1+C358)^C366)*C358/(((1+C358)^C366)-1)*(C356)/C370</f>
        <v>0.65188931843561626</v>
      </c>
      <c r="D387" s="66">
        <f t="shared" si="282"/>
        <v>0.65188931843561626</v>
      </c>
      <c r="E387" s="66">
        <f t="shared" si="282"/>
        <v>0.65188931843561626</v>
      </c>
      <c r="F387" s="66">
        <f t="shared" si="282"/>
        <v>0.65188931843561626</v>
      </c>
      <c r="G387" s="66">
        <f t="shared" si="282"/>
        <v>0.65188931843561626</v>
      </c>
      <c r="H387" s="66">
        <f t="shared" si="282"/>
        <v>0.65188931843561626</v>
      </c>
      <c r="I387" s="66">
        <f t="shared" si="282"/>
        <v>0.65188931843561626</v>
      </c>
      <c r="J387" s="66">
        <f t="shared" si="282"/>
        <v>0.65188931843561626</v>
      </c>
      <c r="K387" s="66">
        <f t="shared" si="282"/>
        <v>0.65188931843561626</v>
      </c>
      <c r="L387" s="66">
        <f t="shared" si="282"/>
        <v>0.65188931843561626</v>
      </c>
      <c r="M387" s="66">
        <f t="shared" si="282"/>
        <v>0.65188931843561626</v>
      </c>
      <c r="N387" s="66">
        <f t="shared" si="282"/>
        <v>0.65188931843561626</v>
      </c>
      <c r="O387" s="66">
        <f t="shared" si="282"/>
        <v>0.65188931843561626</v>
      </c>
      <c r="P387" s="66">
        <f t="shared" si="282"/>
        <v>0.65188931843561626</v>
      </c>
      <c r="Q387" s="66">
        <f t="shared" si="282"/>
        <v>0.65188931843561626</v>
      </c>
      <c r="R387" s="66">
        <f t="shared" si="282"/>
        <v>0.65188931843561626</v>
      </c>
      <c r="S387" s="66">
        <f t="shared" si="282"/>
        <v>0.65188931843561626</v>
      </c>
      <c r="T387" s="66">
        <f t="shared" si="282"/>
        <v>0.65188931843561626</v>
      </c>
      <c r="U387" s="66">
        <f t="shared" si="282"/>
        <v>0.65188931843561626</v>
      </c>
      <c r="V387" s="66">
        <f t="shared" si="282"/>
        <v>0.65188931843561626</v>
      </c>
      <c r="W387" s="66">
        <f t="shared" si="282"/>
        <v>0.65188931843561626</v>
      </c>
      <c r="X387" s="66">
        <f t="shared" si="282"/>
        <v>0.65188931843561626</v>
      </c>
      <c r="Y387" s="66">
        <f t="shared" si="282"/>
        <v>0.65188931843561626</v>
      </c>
      <c r="Z387" s="66">
        <f t="shared" si="282"/>
        <v>0.65188931843561626</v>
      </c>
      <c r="AA387" s="66">
        <f t="shared" si="282"/>
        <v>0.65188931843561626</v>
      </c>
      <c r="AB387" s="66">
        <f t="shared" si="282"/>
        <v>0.65188931843561626</v>
      </c>
      <c r="AC387" s="66">
        <f t="shared" si="282"/>
        <v>0.65188931843561626</v>
      </c>
    </row>
    <row r="388" spans="1:29" x14ac:dyDescent="0.25">
      <c r="A388" s="30" t="str">
        <f t="shared" si="279"/>
        <v>Residual value (costumization)</v>
      </c>
      <c r="B388" s="66">
        <f>((1+B358)^B366)*B358/(((1+B358)^B366)-1)*(B357)/B370</f>
        <v>-6.5188931843561615E-2</v>
      </c>
      <c r="C388" s="66">
        <f t="shared" ref="C388:AC388" si="283">((1+C358)^C366)*C358/(((1+C358)^C366)-1)*(C357)/C370</f>
        <v>-6.5188931843561615E-2</v>
      </c>
      <c r="D388" s="66">
        <f t="shared" si="283"/>
        <v>-6.5188931843561615E-2</v>
      </c>
      <c r="E388" s="66">
        <f t="shared" si="283"/>
        <v>-6.5188931843561615E-2</v>
      </c>
      <c r="F388" s="66">
        <f t="shared" si="283"/>
        <v>-6.5188931843561615E-2</v>
      </c>
      <c r="G388" s="66">
        <f t="shared" si="283"/>
        <v>-6.5188931843561615E-2</v>
      </c>
      <c r="H388" s="66">
        <f t="shared" si="283"/>
        <v>-6.5188931843561615E-2</v>
      </c>
      <c r="I388" s="66">
        <f t="shared" si="283"/>
        <v>-6.5188931843561615E-2</v>
      </c>
      <c r="J388" s="66">
        <f t="shared" si="283"/>
        <v>-6.5188931843561615E-2</v>
      </c>
      <c r="K388" s="66">
        <f t="shared" si="283"/>
        <v>-6.5188931843561615E-2</v>
      </c>
      <c r="L388" s="66">
        <f t="shared" si="283"/>
        <v>-6.5188931843561615E-2</v>
      </c>
      <c r="M388" s="66">
        <f t="shared" si="283"/>
        <v>-6.5188931843561615E-2</v>
      </c>
      <c r="N388" s="66">
        <f t="shared" si="283"/>
        <v>-6.5188931843561615E-2</v>
      </c>
      <c r="O388" s="66">
        <f t="shared" si="283"/>
        <v>-6.5188931843561615E-2</v>
      </c>
      <c r="P388" s="66">
        <f t="shared" si="283"/>
        <v>-6.5188931843561615E-2</v>
      </c>
      <c r="Q388" s="66">
        <f t="shared" si="283"/>
        <v>-6.5188931843561615E-2</v>
      </c>
      <c r="R388" s="66">
        <f t="shared" si="283"/>
        <v>-6.5188931843561615E-2</v>
      </c>
      <c r="S388" s="66">
        <f t="shared" si="283"/>
        <v>-6.5188931843561615E-2</v>
      </c>
      <c r="T388" s="66">
        <f t="shared" si="283"/>
        <v>-6.5188931843561615E-2</v>
      </c>
      <c r="U388" s="66">
        <f t="shared" si="283"/>
        <v>-6.5188931843561615E-2</v>
      </c>
      <c r="V388" s="66">
        <f t="shared" si="283"/>
        <v>-6.5188931843561615E-2</v>
      </c>
      <c r="W388" s="66">
        <f t="shared" si="283"/>
        <v>-6.5188931843561615E-2</v>
      </c>
      <c r="X388" s="66">
        <f t="shared" si="283"/>
        <v>-6.5188931843561615E-2</v>
      </c>
      <c r="Y388" s="66">
        <f t="shared" si="283"/>
        <v>-6.5188931843561615E-2</v>
      </c>
      <c r="Z388" s="66">
        <f t="shared" si="283"/>
        <v>-6.5188931843561615E-2</v>
      </c>
      <c r="AA388" s="66">
        <f t="shared" si="283"/>
        <v>-6.5188931843561615E-2</v>
      </c>
      <c r="AB388" s="66">
        <f t="shared" si="283"/>
        <v>-6.5188931843561615E-2</v>
      </c>
      <c r="AC388" s="66">
        <f t="shared" si="283"/>
        <v>-6.5188931843561615E-2</v>
      </c>
    </row>
    <row r="389" spans="1:29" x14ac:dyDescent="0.25">
      <c r="A389" s="30" t="str">
        <f t="shared" si="279"/>
        <v>Opex fix (admin, crew, insurance)</v>
      </c>
      <c r="B389" s="66">
        <f>B359/B370</f>
        <v>10.068627450980392</v>
      </c>
      <c r="C389" s="66">
        <f t="shared" ref="C389:AC389" si="284">C359/C370</f>
        <v>10.068627450980392</v>
      </c>
      <c r="D389" s="66">
        <f t="shared" si="284"/>
        <v>10.068627450980392</v>
      </c>
      <c r="E389" s="66">
        <f t="shared" si="284"/>
        <v>10.068627450980392</v>
      </c>
      <c r="F389" s="66">
        <f t="shared" si="284"/>
        <v>10.068627450980392</v>
      </c>
      <c r="G389" s="66">
        <f t="shared" si="284"/>
        <v>10.068627450980392</v>
      </c>
      <c r="H389" s="66">
        <f t="shared" si="284"/>
        <v>10.068627450980392</v>
      </c>
      <c r="I389" s="66">
        <f t="shared" si="284"/>
        <v>10.068627450980392</v>
      </c>
      <c r="J389" s="66">
        <f t="shared" si="284"/>
        <v>10.068627450980392</v>
      </c>
      <c r="K389" s="66">
        <f t="shared" si="284"/>
        <v>10.068627450980392</v>
      </c>
      <c r="L389" s="66">
        <f t="shared" si="284"/>
        <v>10.068627450980392</v>
      </c>
      <c r="M389" s="66">
        <f t="shared" si="284"/>
        <v>10.068627450980392</v>
      </c>
      <c r="N389" s="66">
        <f t="shared" si="284"/>
        <v>10.068627450980392</v>
      </c>
      <c r="O389" s="66">
        <f t="shared" si="284"/>
        <v>10.068627450980392</v>
      </c>
      <c r="P389" s="66">
        <f t="shared" si="284"/>
        <v>10.068627450980392</v>
      </c>
      <c r="Q389" s="66">
        <f t="shared" si="284"/>
        <v>10.068627450980392</v>
      </c>
      <c r="R389" s="66">
        <f t="shared" si="284"/>
        <v>10.068627450980392</v>
      </c>
      <c r="S389" s="66">
        <f t="shared" si="284"/>
        <v>10.068627450980392</v>
      </c>
      <c r="T389" s="66">
        <f t="shared" si="284"/>
        <v>10.068627450980392</v>
      </c>
      <c r="U389" s="66">
        <f t="shared" si="284"/>
        <v>10.068627450980392</v>
      </c>
      <c r="V389" s="66">
        <f t="shared" si="284"/>
        <v>10.068627450980392</v>
      </c>
      <c r="W389" s="66">
        <f t="shared" si="284"/>
        <v>10.068627450980392</v>
      </c>
      <c r="X389" s="66">
        <f t="shared" si="284"/>
        <v>10.068627450980392</v>
      </c>
      <c r="Y389" s="66">
        <f t="shared" si="284"/>
        <v>10.068627450980392</v>
      </c>
      <c r="Z389" s="66">
        <f t="shared" si="284"/>
        <v>10.068627450980392</v>
      </c>
      <c r="AA389" s="66">
        <f t="shared" si="284"/>
        <v>10.068627450980392</v>
      </c>
      <c r="AB389" s="66">
        <f t="shared" si="284"/>
        <v>10.068627450980392</v>
      </c>
      <c r="AC389" s="66">
        <f t="shared" si="284"/>
        <v>10.068627450980392</v>
      </c>
    </row>
    <row r="390" spans="1:29" x14ac:dyDescent="0.25">
      <c r="A390" s="30" t="str">
        <f t="shared" si="279"/>
        <v>Opex maintenance &amp; repair</v>
      </c>
      <c r="B390" s="66">
        <f>B360/B370</f>
        <v>4.0686274509803919</v>
      </c>
      <c r="C390" s="66">
        <f t="shared" ref="C390:AC390" si="285">C360/C370</f>
        <v>4.0686274509803919</v>
      </c>
      <c r="D390" s="66">
        <f t="shared" si="285"/>
        <v>4.0686274509803919</v>
      </c>
      <c r="E390" s="66">
        <f t="shared" si="285"/>
        <v>4.0686274509803919</v>
      </c>
      <c r="F390" s="66">
        <f t="shared" si="285"/>
        <v>4.0686274509803919</v>
      </c>
      <c r="G390" s="66">
        <f t="shared" si="285"/>
        <v>4.0686274509803919</v>
      </c>
      <c r="H390" s="66">
        <f t="shared" si="285"/>
        <v>4.0686274509803919</v>
      </c>
      <c r="I390" s="66">
        <f t="shared" si="285"/>
        <v>4.0686274509803919</v>
      </c>
      <c r="J390" s="66">
        <f t="shared" si="285"/>
        <v>4.0686274509803919</v>
      </c>
      <c r="K390" s="66">
        <f t="shared" si="285"/>
        <v>4.0686274509803919</v>
      </c>
      <c r="L390" s="66">
        <f t="shared" si="285"/>
        <v>4.0686274509803919</v>
      </c>
      <c r="M390" s="66">
        <f t="shared" si="285"/>
        <v>4.0686274509803919</v>
      </c>
      <c r="N390" s="66">
        <f t="shared" si="285"/>
        <v>4.0686274509803919</v>
      </c>
      <c r="O390" s="66">
        <f t="shared" si="285"/>
        <v>4.0686274509803919</v>
      </c>
      <c r="P390" s="66">
        <f t="shared" si="285"/>
        <v>4.0686274509803919</v>
      </c>
      <c r="Q390" s="66">
        <f t="shared" si="285"/>
        <v>4.0686274509803919</v>
      </c>
      <c r="R390" s="66">
        <f t="shared" si="285"/>
        <v>4.0686274509803919</v>
      </c>
      <c r="S390" s="66">
        <f t="shared" si="285"/>
        <v>4.0686274509803919</v>
      </c>
      <c r="T390" s="66">
        <f t="shared" si="285"/>
        <v>4.0686274509803919</v>
      </c>
      <c r="U390" s="66">
        <f t="shared" si="285"/>
        <v>4.0686274509803919</v>
      </c>
      <c r="V390" s="66">
        <f t="shared" si="285"/>
        <v>4.0686274509803919</v>
      </c>
      <c r="W390" s="66">
        <f t="shared" si="285"/>
        <v>4.0686274509803919</v>
      </c>
      <c r="X390" s="66">
        <f t="shared" si="285"/>
        <v>4.0686274509803919</v>
      </c>
      <c r="Y390" s="66">
        <f t="shared" si="285"/>
        <v>4.0686274509803919</v>
      </c>
      <c r="Z390" s="66">
        <f t="shared" si="285"/>
        <v>4.0686274509803919</v>
      </c>
      <c r="AA390" s="66">
        <f t="shared" si="285"/>
        <v>4.0686274509803919</v>
      </c>
      <c r="AB390" s="66">
        <f t="shared" si="285"/>
        <v>4.0686274509803919</v>
      </c>
      <c r="AC390" s="66">
        <f t="shared" si="285"/>
        <v>4.0686274509803919</v>
      </c>
    </row>
    <row r="391" spans="1:29" x14ac:dyDescent="0.25">
      <c r="A391" s="30" t="str">
        <f t="shared" si="279"/>
        <v>Opex var (mode-fees)</v>
      </c>
      <c r="B391" s="66">
        <f>B361*B370/B370</f>
        <v>0.81280569096848254</v>
      </c>
      <c r="C391" s="66">
        <f t="shared" ref="C391:AC391" si="286">C361*C370/C370</f>
        <v>0.81280569096848254</v>
      </c>
      <c r="D391" s="66">
        <f t="shared" si="286"/>
        <v>0.81280569096848254</v>
      </c>
      <c r="E391" s="66">
        <f t="shared" si="286"/>
        <v>0.81280569096848254</v>
      </c>
      <c r="F391" s="66">
        <f t="shared" si="286"/>
        <v>0.81280569096848254</v>
      </c>
      <c r="G391" s="66">
        <f t="shared" si="286"/>
        <v>0.81280569096848254</v>
      </c>
      <c r="H391" s="66">
        <f t="shared" si="286"/>
        <v>0.81280569096848254</v>
      </c>
      <c r="I391" s="66">
        <f t="shared" si="286"/>
        <v>0.81280569096848254</v>
      </c>
      <c r="J391" s="66">
        <f t="shared" si="286"/>
        <v>0.81280569096848254</v>
      </c>
      <c r="K391" s="66">
        <f t="shared" si="286"/>
        <v>0.81280569096848254</v>
      </c>
      <c r="L391" s="66">
        <f t="shared" si="286"/>
        <v>0.81280569096848254</v>
      </c>
      <c r="M391" s="66">
        <f t="shared" si="286"/>
        <v>0.81280569096848254</v>
      </c>
      <c r="N391" s="66">
        <f t="shared" si="286"/>
        <v>0.81280569096848254</v>
      </c>
      <c r="O391" s="66">
        <f t="shared" si="286"/>
        <v>0.81280569096848254</v>
      </c>
      <c r="P391" s="66">
        <f t="shared" si="286"/>
        <v>0.81280569096848254</v>
      </c>
      <c r="Q391" s="66">
        <f t="shared" si="286"/>
        <v>0.81280569096848254</v>
      </c>
      <c r="R391" s="66">
        <f t="shared" si="286"/>
        <v>0.81280569096848254</v>
      </c>
      <c r="S391" s="66">
        <f t="shared" si="286"/>
        <v>0.81280569096848254</v>
      </c>
      <c r="T391" s="66">
        <f t="shared" si="286"/>
        <v>0.81280569096848254</v>
      </c>
      <c r="U391" s="66">
        <f t="shared" si="286"/>
        <v>0.81280569096848254</v>
      </c>
      <c r="V391" s="66">
        <f t="shared" si="286"/>
        <v>0.81280569096848254</v>
      </c>
      <c r="W391" s="66">
        <f t="shared" si="286"/>
        <v>0.81280569096848254</v>
      </c>
      <c r="X391" s="66">
        <f t="shared" si="286"/>
        <v>0.81280569096848254</v>
      </c>
      <c r="Y391" s="66">
        <f t="shared" si="286"/>
        <v>0.81280569096848254</v>
      </c>
      <c r="Z391" s="66">
        <f t="shared" si="286"/>
        <v>0.81280569096848254</v>
      </c>
      <c r="AA391" s="66">
        <f t="shared" si="286"/>
        <v>0.81280569096848254</v>
      </c>
      <c r="AB391" s="66">
        <f t="shared" si="286"/>
        <v>0.81280569096848254</v>
      </c>
      <c r="AC391" s="66">
        <f t="shared" si="286"/>
        <v>0.81280569096848254</v>
      </c>
    </row>
    <row r="392" spans="1:29" x14ac:dyDescent="0.25">
      <c r="A392" s="30" t="str">
        <f t="shared" si="279"/>
        <v>Fuel Cost</v>
      </c>
      <c r="B392" s="66">
        <f>B362*B363*B370/B370</f>
        <v>37.488483587357699</v>
      </c>
      <c r="C392" s="66">
        <f t="shared" ref="C392:AC392" si="287">C362*C363*C370/C370</f>
        <v>34.900661466127573</v>
      </c>
      <c r="D392" s="66">
        <f t="shared" si="287"/>
        <v>32.312233683108033</v>
      </c>
      <c r="E392" s="66">
        <f t="shared" si="287"/>
        <v>29.723051812174123</v>
      </c>
      <c r="F392" s="66">
        <f t="shared" si="287"/>
        <v>27.132953715717271</v>
      </c>
      <c r="G392" s="66">
        <f t="shared" si="287"/>
        <v>24.541780290872858</v>
      </c>
      <c r="H392" s="66">
        <f t="shared" si="287"/>
        <v>21.949409471165094</v>
      </c>
      <c r="I392" s="66">
        <f t="shared" si="287"/>
        <v>19.355818692500645</v>
      </c>
      <c r="J392" s="66">
        <f t="shared" si="287"/>
        <v>18.948435433346965</v>
      </c>
      <c r="K392" s="66">
        <f t="shared" si="287"/>
        <v>18.535504027146708</v>
      </c>
      <c r="L392" s="66">
        <f t="shared" si="287"/>
        <v>18.115253603786709</v>
      </c>
      <c r="M392" s="66">
        <f t="shared" si="287"/>
        <v>17.685629796779626</v>
      </c>
      <c r="N392" s="66">
        <f t="shared" si="287"/>
        <v>17.244517153323354</v>
      </c>
      <c r="O392" s="66">
        <f t="shared" si="287"/>
        <v>16.790218075853989</v>
      </c>
      <c r="P392" s="66">
        <f t="shared" si="287"/>
        <v>16.322235597430396</v>
      </c>
      <c r="Q392" s="66">
        <f t="shared" si="287"/>
        <v>15.842225073411278</v>
      </c>
      <c r="R392" s="66">
        <f t="shared" si="287"/>
        <v>15.354666513931461</v>
      </c>
      <c r="S392" s="66">
        <f t="shared" si="287"/>
        <v>14.866601080542717</v>
      </c>
      <c r="T392" s="66">
        <f t="shared" si="287"/>
        <v>14.386095255265635</v>
      </c>
      <c r="U392" s="66">
        <f t="shared" si="287"/>
        <v>13.919989803168557</v>
      </c>
      <c r="V392" s="66">
        <f t="shared" si="287"/>
        <v>13.472163104670095</v>
      </c>
      <c r="W392" s="66">
        <f t="shared" si="287"/>
        <v>13.043170971641301</v>
      </c>
      <c r="X392" s="66">
        <f t="shared" si="287"/>
        <v>12.631095890262376</v>
      </c>
      <c r="Y392" s="66">
        <f t="shared" si="287"/>
        <v>12.23281581838982</v>
      </c>
      <c r="Z392" s="66">
        <f t="shared" si="287"/>
        <v>11.845037252331126</v>
      </c>
      <c r="AA392" s="66">
        <f t="shared" si="287"/>
        <v>11.46487330144263</v>
      </c>
      <c r="AB392" s="66">
        <f t="shared" si="287"/>
        <v>11.09004542014724</v>
      </c>
      <c r="AC392" s="66">
        <f t="shared" si="287"/>
        <v>10.718868997250505</v>
      </c>
    </row>
    <row r="393" spans="1:29" ht="15.75" thickBot="1" x14ac:dyDescent="0.3">
      <c r="A393" s="59" t="str">
        <f>A344</f>
        <v>Emission Cost</v>
      </c>
      <c r="B393" s="66">
        <f>B364</f>
        <v>0</v>
      </c>
      <c r="C393" s="66">
        <f t="shared" ref="C393:AC393" si="288">C364</f>
        <v>0</v>
      </c>
      <c r="D393" s="66">
        <f t="shared" si="288"/>
        <v>0</v>
      </c>
      <c r="E393" s="66">
        <f t="shared" si="288"/>
        <v>0</v>
      </c>
      <c r="F393" s="66">
        <f t="shared" si="288"/>
        <v>0</v>
      </c>
      <c r="G393" s="66">
        <f t="shared" si="288"/>
        <v>0</v>
      </c>
      <c r="H393" s="66">
        <f t="shared" si="288"/>
        <v>0</v>
      </c>
      <c r="I393" s="66">
        <f t="shared" si="288"/>
        <v>0</v>
      </c>
      <c r="J393" s="66">
        <f t="shared" si="288"/>
        <v>0</v>
      </c>
      <c r="K393" s="66">
        <f t="shared" si="288"/>
        <v>0</v>
      </c>
      <c r="L393" s="66">
        <f t="shared" si="288"/>
        <v>0</v>
      </c>
      <c r="M393" s="66">
        <f t="shared" si="288"/>
        <v>0</v>
      </c>
      <c r="N393" s="66">
        <f t="shared" si="288"/>
        <v>0</v>
      </c>
      <c r="O393" s="66">
        <f t="shared" si="288"/>
        <v>0</v>
      </c>
      <c r="P393" s="66">
        <f t="shared" si="288"/>
        <v>0</v>
      </c>
      <c r="Q393" s="66">
        <f t="shared" si="288"/>
        <v>0</v>
      </c>
      <c r="R393" s="66">
        <f t="shared" si="288"/>
        <v>0</v>
      </c>
      <c r="S393" s="66">
        <f t="shared" si="288"/>
        <v>0</v>
      </c>
      <c r="T393" s="66">
        <f t="shared" si="288"/>
        <v>0</v>
      </c>
      <c r="U393" s="66">
        <f t="shared" si="288"/>
        <v>0</v>
      </c>
      <c r="V393" s="66">
        <f t="shared" si="288"/>
        <v>0</v>
      </c>
      <c r="W393" s="66">
        <f t="shared" si="288"/>
        <v>0</v>
      </c>
      <c r="X393" s="66">
        <f t="shared" si="288"/>
        <v>0</v>
      </c>
      <c r="Y393" s="66">
        <f t="shared" si="288"/>
        <v>0</v>
      </c>
      <c r="Z393" s="66">
        <f t="shared" si="288"/>
        <v>0</v>
      </c>
      <c r="AA393" s="66">
        <f t="shared" si="288"/>
        <v>0</v>
      </c>
      <c r="AB393" s="66">
        <f t="shared" si="288"/>
        <v>0</v>
      </c>
      <c r="AC393" s="66">
        <f t="shared" si="288"/>
        <v>0</v>
      </c>
    </row>
    <row r="394" spans="1:29" ht="15.75" thickBot="1" x14ac:dyDescent="0.3">
      <c r="A394" s="31" t="s">
        <v>63</v>
      </c>
      <c r="B394" s="76">
        <f>B385+B386+B387-B388+B389+B390+B391+B392+B393</f>
        <v>61.957202015615685</v>
      </c>
      <c r="C394" s="76">
        <f t="shared" ref="C394:AC394" si="289">C385+C386+C387-C388+C389+C390+C391+C392+C393</f>
        <v>59.369844439978309</v>
      </c>
      <c r="D394" s="76">
        <f t="shared" si="289"/>
        <v>56.782081643627869</v>
      </c>
      <c r="E394" s="76">
        <f t="shared" si="289"/>
        <v>54.193851082888074</v>
      </c>
      <c r="F394" s="76">
        <f t="shared" si="289"/>
        <v>51.605112618615607</v>
      </c>
      <c r="G394" s="76">
        <f t="shared" si="289"/>
        <v>49.015879682727025</v>
      </c>
      <c r="H394" s="76">
        <f t="shared" si="289"/>
        <v>46.426272595346418</v>
      </c>
      <c r="I394" s="76">
        <f t="shared" si="289"/>
        <v>43.836605920400544</v>
      </c>
      <c r="J394" s="76">
        <f t="shared" si="289"/>
        <v>43.434769004770793</v>
      </c>
      <c r="K394" s="76">
        <f t="shared" si="289"/>
        <v>43.029624564813801</v>
      </c>
      <c r="L394" s="76">
        <f t="shared" si="289"/>
        <v>42.620200851288217</v>
      </c>
      <c r="M394" s="76">
        <f t="shared" si="289"/>
        <v>42.205420058436104</v>
      </c>
      <c r="N394" s="76">
        <f t="shared" si="289"/>
        <v>41.784254835491026</v>
      </c>
      <c r="O394" s="76">
        <f t="shared" si="289"/>
        <v>41.356030890188009</v>
      </c>
      <c r="P394" s="76">
        <f t="shared" si="289"/>
        <v>40.920885633458582</v>
      </c>
      <c r="Q394" s="76">
        <f t="shared" si="289"/>
        <v>40.480278832879847</v>
      </c>
      <c r="R394" s="76">
        <f t="shared" si="289"/>
        <v>40.037276965736467</v>
      </c>
      <c r="S394" s="76">
        <f t="shared" si="289"/>
        <v>39.59624984963579</v>
      </c>
      <c r="T394" s="76">
        <f t="shared" si="289"/>
        <v>39.161856715545255</v>
      </c>
      <c r="U394" s="76">
        <f t="shared" si="289"/>
        <v>38.737728595398373</v>
      </c>
      <c r="V394" s="76">
        <f t="shared" si="289"/>
        <v>38.325576651370568</v>
      </c>
      <c r="W394" s="76">
        <f t="shared" si="289"/>
        <v>37.925153607686219</v>
      </c>
      <c r="X394" s="76">
        <f t="shared" si="289"/>
        <v>37.534878009463782</v>
      </c>
      <c r="Y394" s="76">
        <f t="shared" si="289"/>
        <v>37.152622306032313</v>
      </c>
      <c r="Z394" s="76">
        <f t="shared" si="289"/>
        <v>36.776300931589844</v>
      </c>
      <c r="AA394" s="76">
        <f t="shared" si="289"/>
        <v>36.404166780030266</v>
      </c>
      <c r="AB394" s="76">
        <f t="shared" si="289"/>
        <v>36.034887983621196</v>
      </c>
      <c r="AC394" s="76">
        <f t="shared" si="289"/>
        <v>35.667509076033674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0">A373</f>
        <v>Capex vehicle</v>
      </c>
      <c r="B397" s="65">
        <f>((1+B358)^B365)*B358/(((1+B358)^B365)-1)*(B354)/B370/(B367)</f>
        <v>1.0347449498978036E-3</v>
      </c>
      <c r="C397" s="65">
        <f t="shared" ref="C397:AC397" si="291">((1+C358)^C365)*C358/(((1+C358)^C365)-1)*(C354)/C370/(C367)</f>
        <v>1.0347449498978036E-3</v>
      </c>
      <c r="D397" s="65">
        <f t="shared" si="291"/>
        <v>1.0347449498978036E-3</v>
      </c>
      <c r="E397" s="65">
        <f t="shared" si="291"/>
        <v>1.0347449498978036E-3</v>
      </c>
      <c r="F397" s="65">
        <f t="shared" si="291"/>
        <v>1.0347449498978036E-3</v>
      </c>
      <c r="G397" s="65">
        <f t="shared" si="291"/>
        <v>1.0347449498978036E-3</v>
      </c>
      <c r="H397" s="65">
        <f t="shared" si="291"/>
        <v>1.0347449498978036E-3</v>
      </c>
      <c r="I397" s="65">
        <f t="shared" si="291"/>
        <v>1.0347449498978036E-3</v>
      </c>
      <c r="J397" s="65">
        <f t="shared" si="291"/>
        <v>1.0347449498978036E-3</v>
      </c>
      <c r="K397" s="65">
        <f t="shared" si="291"/>
        <v>1.0347449498978036E-3</v>
      </c>
      <c r="L397" s="65">
        <f t="shared" si="291"/>
        <v>1.0347449498978036E-3</v>
      </c>
      <c r="M397" s="65">
        <f t="shared" si="291"/>
        <v>1.0347449498978036E-3</v>
      </c>
      <c r="N397" s="65">
        <f t="shared" si="291"/>
        <v>1.0347449498978036E-3</v>
      </c>
      <c r="O397" s="65">
        <f t="shared" si="291"/>
        <v>1.0347449498978036E-3</v>
      </c>
      <c r="P397" s="65">
        <f t="shared" si="291"/>
        <v>1.0347449498978036E-3</v>
      </c>
      <c r="Q397" s="65">
        <f t="shared" si="291"/>
        <v>1.0347449498978036E-3</v>
      </c>
      <c r="R397" s="65">
        <f t="shared" si="291"/>
        <v>1.0347449498978036E-3</v>
      </c>
      <c r="S397" s="65">
        <f t="shared" si="291"/>
        <v>1.0347449498978036E-3</v>
      </c>
      <c r="T397" s="65">
        <f t="shared" si="291"/>
        <v>1.0347449498978036E-3</v>
      </c>
      <c r="U397" s="65">
        <f t="shared" si="291"/>
        <v>1.0347449498978036E-3</v>
      </c>
      <c r="V397" s="65">
        <f t="shared" si="291"/>
        <v>1.0347449498978036E-3</v>
      </c>
      <c r="W397" s="65">
        <f t="shared" si="291"/>
        <v>1.0347449498978036E-3</v>
      </c>
      <c r="X397" s="65">
        <f t="shared" si="291"/>
        <v>1.0347449498978036E-3</v>
      </c>
      <c r="Y397" s="65">
        <f t="shared" si="291"/>
        <v>1.0347449498978036E-3</v>
      </c>
      <c r="Z397" s="65">
        <f t="shared" si="291"/>
        <v>1.0347449498978036E-3</v>
      </c>
      <c r="AA397" s="65">
        <f t="shared" si="291"/>
        <v>1.0347449498978036E-3</v>
      </c>
      <c r="AB397" s="65">
        <f t="shared" si="291"/>
        <v>1.0347449498978036E-3</v>
      </c>
      <c r="AC397" s="65">
        <f t="shared" si="291"/>
        <v>1.0347449498978036E-3</v>
      </c>
    </row>
    <row r="398" spans="1:29" x14ac:dyDescent="0.25">
      <c r="A398" s="30" t="str">
        <f t="shared" si="290"/>
        <v>Residual value (vehicle)</v>
      </c>
      <c r="B398" s="68">
        <f>((1+B358)^B365)*B358/(((1+B358)^B365)-1)*(B355)/B370/(B367)</f>
        <v>-1.0336086682377807E-4</v>
      </c>
      <c r="C398" s="68">
        <f t="shared" ref="C398:AC398" si="292">((1+C358)^C365)*C358/(((1+C358)^C365)-1)*(C355)/C370/(C367)</f>
        <v>-1.0331170855999495E-4</v>
      </c>
      <c r="D398" s="68">
        <f t="shared" si="292"/>
        <v>-1.0324133960030145E-4</v>
      </c>
      <c r="E398" s="68">
        <f t="shared" si="292"/>
        <v>-1.0314067185489343E-4</v>
      </c>
      <c r="F398" s="68">
        <f t="shared" si="292"/>
        <v>-1.0299679543326449E-4</v>
      </c>
      <c r="G398" s="68">
        <f t="shared" si="292"/>
        <v>-1.0279145268661591E-4</v>
      </c>
      <c r="H398" s="68">
        <f t="shared" si="292"/>
        <v>-1.0249899423929835E-4</v>
      </c>
      <c r="I398" s="68">
        <f t="shared" si="292"/>
        <v>-1.0208374516854875E-4</v>
      </c>
      <c r="J398" s="68">
        <f t="shared" si="292"/>
        <v>-1.0149683050993223E-4</v>
      </c>
      <c r="K398" s="68">
        <f t="shared" si="292"/>
        <v>-1.0067281291805218E-4</v>
      </c>
      <c r="L398" s="68">
        <f t="shared" si="292"/>
        <v>-9.9527129337690295E-5</v>
      </c>
      <c r="M398" s="68">
        <f t="shared" si="292"/>
        <v>-9.7956440009122124E-5</v>
      </c>
      <c r="N398" s="68">
        <f t="shared" si="292"/>
        <v>-9.5845601859790468E-5</v>
      </c>
      <c r="O398" s="68">
        <f t="shared" si="292"/>
        <v>-9.3086328614673487E-5</v>
      </c>
      <c r="P398" s="68">
        <f t="shared" si="292"/>
        <v>-8.9611490340159677E-5</v>
      </c>
      <c r="Q398" s="68">
        <f t="shared" si="292"/>
        <v>-8.5441784155991385E-5</v>
      </c>
      <c r="R398" s="68">
        <f t="shared" si="292"/>
        <v>-8.0726790257955685E-5</v>
      </c>
      <c r="S398" s="68">
        <f t="shared" si="292"/>
        <v>-7.5749190544932557E-5</v>
      </c>
      <c r="T398" s="68">
        <f t="shared" si="292"/>
        <v>-7.086954068392259E-5</v>
      </c>
      <c r="U398" s="68">
        <f t="shared" si="292"/>
        <v>-6.6427494974906487E-5</v>
      </c>
      <c r="V398" s="68">
        <f t="shared" si="292"/>
        <v>-6.2652388681716054E-5</v>
      </c>
      <c r="W398" s="68">
        <f t="shared" si="292"/>
        <v>-5.9629204624102501E-5</v>
      </c>
      <c r="X398" s="68">
        <f t="shared" si="292"/>
        <v>-5.7322381009659713E-5</v>
      </c>
      <c r="Y398" s="68">
        <f t="shared" si="292"/>
        <v>-5.5626680645522941E-5</v>
      </c>
      <c r="Z398" s="68">
        <f t="shared" si="292"/>
        <v>-5.4414279416293167E-5</v>
      </c>
      <c r="AA398" s="68">
        <f t="shared" si="292"/>
        <v>-5.3564565201592909E-5</v>
      </c>
      <c r="AB398" s="68">
        <f t="shared" si="292"/>
        <v>-5.2977360451717727E-5</v>
      </c>
      <c r="AC398" s="68">
        <f t="shared" si="292"/>
        <v>-5.2575506979843073E-5</v>
      </c>
    </row>
    <row r="399" spans="1:29" x14ac:dyDescent="0.25">
      <c r="A399" s="30" t="str">
        <f t="shared" si="290"/>
        <v>Capex costumization</v>
      </c>
      <c r="B399" s="66">
        <f>((1+B358)^B366)*B358/(((1+B358)^B366)-1)*(B356)/B370/(B367)</f>
        <v>6.8982996659853576E-5</v>
      </c>
      <c r="C399" s="66">
        <f t="shared" ref="C399:AC399" si="293">((1+C358)^C366)*C358/(((1+C358)^C366)-1)*(C356)/C370/(C367)</f>
        <v>6.8982996659853576E-5</v>
      </c>
      <c r="D399" s="66">
        <f t="shared" si="293"/>
        <v>6.8982996659853576E-5</v>
      </c>
      <c r="E399" s="66">
        <f t="shared" si="293"/>
        <v>6.8982996659853576E-5</v>
      </c>
      <c r="F399" s="66">
        <f t="shared" si="293"/>
        <v>6.8982996659853576E-5</v>
      </c>
      <c r="G399" s="66">
        <f t="shared" si="293"/>
        <v>6.8982996659853576E-5</v>
      </c>
      <c r="H399" s="66">
        <f t="shared" si="293"/>
        <v>6.8982996659853576E-5</v>
      </c>
      <c r="I399" s="66">
        <f t="shared" si="293"/>
        <v>6.8982996659853576E-5</v>
      </c>
      <c r="J399" s="66">
        <f t="shared" si="293"/>
        <v>6.8982996659853576E-5</v>
      </c>
      <c r="K399" s="66">
        <f t="shared" si="293"/>
        <v>6.8982996659853576E-5</v>
      </c>
      <c r="L399" s="66">
        <f t="shared" si="293"/>
        <v>6.8982996659853576E-5</v>
      </c>
      <c r="M399" s="66">
        <f t="shared" si="293"/>
        <v>6.8982996659853576E-5</v>
      </c>
      <c r="N399" s="66">
        <f t="shared" si="293"/>
        <v>6.8982996659853576E-5</v>
      </c>
      <c r="O399" s="66">
        <f t="shared" si="293"/>
        <v>6.8982996659853576E-5</v>
      </c>
      <c r="P399" s="66">
        <f t="shared" si="293"/>
        <v>6.8982996659853576E-5</v>
      </c>
      <c r="Q399" s="66">
        <f t="shared" si="293"/>
        <v>6.8982996659853576E-5</v>
      </c>
      <c r="R399" s="66">
        <f t="shared" si="293"/>
        <v>6.8982996659853576E-5</v>
      </c>
      <c r="S399" s="66">
        <f t="shared" si="293"/>
        <v>6.8982996659853576E-5</v>
      </c>
      <c r="T399" s="66">
        <f t="shared" si="293"/>
        <v>6.8982996659853576E-5</v>
      </c>
      <c r="U399" s="66">
        <f t="shared" si="293"/>
        <v>6.8982996659853576E-5</v>
      </c>
      <c r="V399" s="66">
        <f t="shared" si="293"/>
        <v>6.8982996659853576E-5</v>
      </c>
      <c r="W399" s="66">
        <f t="shared" si="293"/>
        <v>6.8982996659853576E-5</v>
      </c>
      <c r="X399" s="66">
        <f t="shared" si="293"/>
        <v>6.8982996659853576E-5</v>
      </c>
      <c r="Y399" s="66">
        <f t="shared" si="293"/>
        <v>6.8982996659853576E-5</v>
      </c>
      <c r="Z399" s="66">
        <f t="shared" si="293"/>
        <v>6.8982996659853576E-5</v>
      </c>
      <c r="AA399" s="66">
        <f t="shared" si="293"/>
        <v>6.8982996659853576E-5</v>
      </c>
      <c r="AB399" s="66">
        <f t="shared" si="293"/>
        <v>6.8982996659853576E-5</v>
      </c>
      <c r="AC399" s="66">
        <f t="shared" si="293"/>
        <v>6.8982996659853576E-5</v>
      </c>
    </row>
    <row r="400" spans="1:29" x14ac:dyDescent="0.25">
      <c r="A400" s="30" t="str">
        <f t="shared" si="290"/>
        <v>Residual value (costumization)</v>
      </c>
      <c r="B400" s="69">
        <f>((1+B358)^B366)*B358/(((1+B358)^B366)-1)*(B357)/B370/(B367)</f>
        <v>-6.8982996659853564E-6</v>
      </c>
      <c r="C400" s="69">
        <f t="shared" ref="C400:AC400" si="294">((1+C358)^C366)*C358/(((1+C358)^C366)-1)*(C357)/C370/(C367)</f>
        <v>-6.8982996659853564E-6</v>
      </c>
      <c r="D400" s="69">
        <f t="shared" si="294"/>
        <v>-6.8982996659853564E-6</v>
      </c>
      <c r="E400" s="69">
        <f t="shared" si="294"/>
        <v>-6.8982996659853564E-6</v>
      </c>
      <c r="F400" s="69">
        <f t="shared" si="294"/>
        <v>-6.8982996659853564E-6</v>
      </c>
      <c r="G400" s="69">
        <f t="shared" si="294"/>
        <v>-6.8982996659853564E-6</v>
      </c>
      <c r="H400" s="69">
        <f t="shared" si="294"/>
        <v>-6.8982996659853564E-6</v>
      </c>
      <c r="I400" s="69">
        <f t="shared" si="294"/>
        <v>-6.8982996659853564E-6</v>
      </c>
      <c r="J400" s="69">
        <f t="shared" si="294"/>
        <v>-6.8982996659853564E-6</v>
      </c>
      <c r="K400" s="69">
        <f t="shared" si="294"/>
        <v>-6.8982996659853564E-6</v>
      </c>
      <c r="L400" s="69">
        <f t="shared" si="294"/>
        <v>-6.8982996659853564E-6</v>
      </c>
      <c r="M400" s="69">
        <f t="shared" si="294"/>
        <v>-6.8982996659853564E-6</v>
      </c>
      <c r="N400" s="69">
        <f t="shared" si="294"/>
        <v>-6.8982996659853564E-6</v>
      </c>
      <c r="O400" s="69">
        <f t="shared" si="294"/>
        <v>-6.8982996659853564E-6</v>
      </c>
      <c r="P400" s="69">
        <f t="shared" si="294"/>
        <v>-6.8982996659853564E-6</v>
      </c>
      <c r="Q400" s="69">
        <f t="shared" si="294"/>
        <v>-6.8982996659853564E-6</v>
      </c>
      <c r="R400" s="69">
        <f t="shared" si="294"/>
        <v>-6.8982996659853564E-6</v>
      </c>
      <c r="S400" s="69">
        <f t="shared" si="294"/>
        <v>-6.8982996659853564E-6</v>
      </c>
      <c r="T400" s="69">
        <f t="shared" si="294"/>
        <v>-6.8982996659853564E-6</v>
      </c>
      <c r="U400" s="69">
        <f t="shared" si="294"/>
        <v>-6.8982996659853564E-6</v>
      </c>
      <c r="V400" s="69">
        <f t="shared" si="294"/>
        <v>-6.8982996659853564E-6</v>
      </c>
      <c r="W400" s="69">
        <f t="shared" si="294"/>
        <v>-6.8982996659853564E-6</v>
      </c>
      <c r="X400" s="69">
        <f t="shared" si="294"/>
        <v>-6.8982996659853564E-6</v>
      </c>
      <c r="Y400" s="69">
        <f t="shared" si="294"/>
        <v>-6.8982996659853564E-6</v>
      </c>
      <c r="Z400" s="69">
        <f t="shared" si="294"/>
        <v>-6.8982996659853564E-6</v>
      </c>
      <c r="AA400" s="69">
        <f t="shared" si="294"/>
        <v>-6.8982996659853564E-6</v>
      </c>
      <c r="AB400" s="69">
        <f t="shared" si="294"/>
        <v>-6.8982996659853564E-6</v>
      </c>
      <c r="AC400" s="69">
        <f t="shared" si="294"/>
        <v>-6.8982996659853564E-6</v>
      </c>
    </row>
    <row r="401" spans="1:29" x14ac:dyDescent="0.25">
      <c r="A401" s="30" t="str">
        <f t="shared" si="290"/>
        <v>Opex fix (admin, crew, insurance)</v>
      </c>
      <c r="B401" s="66">
        <f>B359/B370/(B367)</f>
        <v>1.0654632223259673E-3</v>
      </c>
      <c r="C401" s="66">
        <f t="shared" ref="C401:AC401" si="295">C359/C370/(C367)</f>
        <v>1.0654632223259673E-3</v>
      </c>
      <c r="D401" s="66">
        <f t="shared" si="295"/>
        <v>1.0654632223259673E-3</v>
      </c>
      <c r="E401" s="66">
        <f t="shared" si="295"/>
        <v>1.0654632223259673E-3</v>
      </c>
      <c r="F401" s="66">
        <f t="shared" si="295"/>
        <v>1.0654632223259673E-3</v>
      </c>
      <c r="G401" s="66">
        <f t="shared" si="295"/>
        <v>1.0654632223259673E-3</v>
      </c>
      <c r="H401" s="66">
        <f t="shared" si="295"/>
        <v>1.0654632223259673E-3</v>
      </c>
      <c r="I401" s="66">
        <f t="shared" si="295"/>
        <v>1.0654632223259673E-3</v>
      </c>
      <c r="J401" s="66">
        <f t="shared" si="295"/>
        <v>1.0654632223259673E-3</v>
      </c>
      <c r="K401" s="66">
        <f t="shared" si="295"/>
        <v>1.0654632223259673E-3</v>
      </c>
      <c r="L401" s="66">
        <f t="shared" si="295"/>
        <v>1.0654632223259673E-3</v>
      </c>
      <c r="M401" s="66">
        <f t="shared" si="295"/>
        <v>1.0654632223259673E-3</v>
      </c>
      <c r="N401" s="66">
        <f t="shared" si="295"/>
        <v>1.0654632223259673E-3</v>
      </c>
      <c r="O401" s="66">
        <f t="shared" si="295"/>
        <v>1.0654632223259673E-3</v>
      </c>
      <c r="P401" s="66">
        <f t="shared" si="295"/>
        <v>1.0654632223259673E-3</v>
      </c>
      <c r="Q401" s="66">
        <f t="shared" si="295"/>
        <v>1.0654632223259673E-3</v>
      </c>
      <c r="R401" s="66">
        <f t="shared" si="295"/>
        <v>1.0654632223259673E-3</v>
      </c>
      <c r="S401" s="66">
        <f t="shared" si="295"/>
        <v>1.0654632223259673E-3</v>
      </c>
      <c r="T401" s="66">
        <f t="shared" si="295"/>
        <v>1.0654632223259673E-3</v>
      </c>
      <c r="U401" s="66">
        <f t="shared" si="295"/>
        <v>1.0654632223259673E-3</v>
      </c>
      <c r="V401" s="66">
        <f t="shared" si="295"/>
        <v>1.0654632223259673E-3</v>
      </c>
      <c r="W401" s="66">
        <f t="shared" si="295"/>
        <v>1.0654632223259673E-3</v>
      </c>
      <c r="X401" s="66">
        <f t="shared" si="295"/>
        <v>1.0654632223259673E-3</v>
      </c>
      <c r="Y401" s="66">
        <f t="shared" si="295"/>
        <v>1.0654632223259673E-3</v>
      </c>
      <c r="Z401" s="66">
        <f t="shared" si="295"/>
        <v>1.0654632223259673E-3</v>
      </c>
      <c r="AA401" s="66">
        <f t="shared" si="295"/>
        <v>1.0654632223259673E-3</v>
      </c>
      <c r="AB401" s="66">
        <f t="shared" si="295"/>
        <v>1.0654632223259673E-3</v>
      </c>
      <c r="AC401" s="66">
        <f t="shared" si="295"/>
        <v>1.0654632223259673E-3</v>
      </c>
    </row>
    <row r="402" spans="1:29" x14ac:dyDescent="0.25">
      <c r="A402" s="30" t="str">
        <f t="shared" si="290"/>
        <v>Opex maintenance &amp; repair</v>
      </c>
      <c r="B402" s="66">
        <f>B360/B370/(B367)</f>
        <v>4.305425874053325E-4</v>
      </c>
      <c r="C402" s="66">
        <f t="shared" ref="C402:AC402" si="296">C360/C370/(C367)</f>
        <v>4.305425874053325E-4</v>
      </c>
      <c r="D402" s="66">
        <f t="shared" si="296"/>
        <v>4.305425874053325E-4</v>
      </c>
      <c r="E402" s="66">
        <f t="shared" si="296"/>
        <v>4.305425874053325E-4</v>
      </c>
      <c r="F402" s="66">
        <f t="shared" si="296"/>
        <v>4.305425874053325E-4</v>
      </c>
      <c r="G402" s="66">
        <f t="shared" si="296"/>
        <v>4.305425874053325E-4</v>
      </c>
      <c r="H402" s="66">
        <f t="shared" si="296"/>
        <v>4.305425874053325E-4</v>
      </c>
      <c r="I402" s="66">
        <f t="shared" si="296"/>
        <v>4.305425874053325E-4</v>
      </c>
      <c r="J402" s="66">
        <f t="shared" si="296"/>
        <v>4.305425874053325E-4</v>
      </c>
      <c r="K402" s="66">
        <f t="shared" si="296"/>
        <v>4.305425874053325E-4</v>
      </c>
      <c r="L402" s="66">
        <f t="shared" si="296"/>
        <v>4.305425874053325E-4</v>
      </c>
      <c r="M402" s="66">
        <f t="shared" si="296"/>
        <v>4.305425874053325E-4</v>
      </c>
      <c r="N402" s="66">
        <f t="shared" si="296"/>
        <v>4.305425874053325E-4</v>
      </c>
      <c r="O402" s="66">
        <f t="shared" si="296"/>
        <v>4.305425874053325E-4</v>
      </c>
      <c r="P402" s="66">
        <f t="shared" si="296"/>
        <v>4.305425874053325E-4</v>
      </c>
      <c r="Q402" s="66">
        <f t="shared" si="296"/>
        <v>4.305425874053325E-4</v>
      </c>
      <c r="R402" s="66">
        <f t="shared" si="296"/>
        <v>4.305425874053325E-4</v>
      </c>
      <c r="S402" s="66">
        <f t="shared" si="296"/>
        <v>4.305425874053325E-4</v>
      </c>
      <c r="T402" s="66">
        <f t="shared" si="296"/>
        <v>4.305425874053325E-4</v>
      </c>
      <c r="U402" s="66">
        <f t="shared" si="296"/>
        <v>4.305425874053325E-4</v>
      </c>
      <c r="V402" s="66">
        <f t="shared" si="296"/>
        <v>4.305425874053325E-4</v>
      </c>
      <c r="W402" s="66">
        <f t="shared" si="296"/>
        <v>4.305425874053325E-4</v>
      </c>
      <c r="X402" s="66">
        <f t="shared" si="296"/>
        <v>4.305425874053325E-4</v>
      </c>
      <c r="Y402" s="66">
        <f t="shared" si="296"/>
        <v>4.305425874053325E-4</v>
      </c>
      <c r="Z402" s="66">
        <f t="shared" si="296"/>
        <v>4.305425874053325E-4</v>
      </c>
      <c r="AA402" s="66">
        <f t="shared" si="296"/>
        <v>4.305425874053325E-4</v>
      </c>
      <c r="AB402" s="66">
        <f t="shared" si="296"/>
        <v>4.305425874053325E-4</v>
      </c>
      <c r="AC402" s="66">
        <f t="shared" si="296"/>
        <v>4.305425874053325E-4</v>
      </c>
    </row>
    <row r="403" spans="1:29" x14ac:dyDescent="0.25">
      <c r="A403" s="30" t="str">
        <f t="shared" si="290"/>
        <v>Opex var (mode-fees)</v>
      </c>
      <c r="B403" s="66">
        <f>B361*B370/B370/(B367)</f>
        <v>8.6011184229469056E-5</v>
      </c>
      <c r="C403" s="66">
        <f t="shared" ref="C403:AC403" si="297">C361*C370/C370/(C367)</f>
        <v>8.6011184229469056E-5</v>
      </c>
      <c r="D403" s="66">
        <f t="shared" si="297"/>
        <v>8.6011184229469056E-5</v>
      </c>
      <c r="E403" s="66">
        <f t="shared" si="297"/>
        <v>8.6011184229469056E-5</v>
      </c>
      <c r="F403" s="66">
        <f t="shared" si="297"/>
        <v>8.6011184229469056E-5</v>
      </c>
      <c r="G403" s="66">
        <f t="shared" si="297"/>
        <v>8.6011184229469056E-5</v>
      </c>
      <c r="H403" s="66">
        <f t="shared" si="297"/>
        <v>8.6011184229469056E-5</v>
      </c>
      <c r="I403" s="66">
        <f t="shared" si="297"/>
        <v>8.6011184229469056E-5</v>
      </c>
      <c r="J403" s="66">
        <f t="shared" si="297"/>
        <v>8.6011184229469056E-5</v>
      </c>
      <c r="K403" s="66">
        <f t="shared" si="297"/>
        <v>8.6011184229469056E-5</v>
      </c>
      <c r="L403" s="66">
        <f t="shared" si="297"/>
        <v>8.6011184229469056E-5</v>
      </c>
      <c r="M403" s="66">
        <f t="shared" si="297"/>
        <v>8.6011184229469056E-5</v>
      </c>
      <c r="N403" s="66">
        <f t="shared" si="297"/>
        <v>8.6011184229469056E-5</v>
      </c>
      <c r="O403" s="66">
        <f t="shared" si="297"/>
        <v>8.6011184229469056E-5</v>
      </c>
      <c r="P403" s="66">
        <f t="shared" si="297"/>
        <v>8.6011184229469056E-5</v>
      </c>
      <c r="Q403" s="66">
        <f t="shared" si="297"/>
        <v>8.6011184229469056E-5</v>
      </c>
      <c r="R403" s="66">
        <f t="shared" si="297"/>
        <v>8.6011184229469056E-5</v>
      </c>
      <c r="S403" s="66">
        <f t="shared" si="297"/>
        <v>8.6011184229469056E-5</v>
      </c>
      <c r="T403" s="66">
        <f t="shared" si="297"/>
        <v>8.6011184229469056E-5</v>
      </c>
      <c r="U403" s="66">
        <f t="shared" si="297"/>
        <v>8.6011184229469056E-5</v>
      </c>
      <c r="V403" s="66">
        <f t="shared" si="297"/>
        <v>8.6011184229469056E-5</v>
      </c>
      <c r="W403" s="66">
        <f t="shared" si="297"/>
        <v>8.6011184229469056E-5</v>
      </c>
      <c r="X403" s="66">
        <f t="shared" si="297"/>
        <v>8.6011184229469056E-5</v>
      </c>
      <c r="Y403" s="66">
        <f t="shared" si="297"/>
        <v>8.6011184229469056E-5</v>
      </c>
      <c r="Z403" s="66">
        <f t="shared" si="297"/>
        <v>8.6011184229469056E-5</v>
      </c>
      <c r="AA403" s="66">
        <f t="shared" si="297"/>
        <v>8.6011184229469056E-5</v>
      </c>
      <c r="AB403" s="66">
        <f t="shared" si="297"/>
        <v>8.6011184229469056E-5</v>
      </c>
      <c r="AC403" s="66">
        <f t="shared" si="297"/>
        <v>8.6011184229469056E-5</v>
      </c>
    </row>
    <row r="404" spans="1:29" x14ac:dyDescent="0.25">
      <c r="A404" s="30" t="str">
        <f t="shared" si="290"/>
        <v>Fuel Cost</v>
      </c>
      <c r="B404" s="66">
        <f>B362*B363*B370/B370/(B367)</f>
        <v>3.9670353002494918E-3</v>
      </c>
      <c r="C404" s="66">
        <f t="shared" ref="C404:AC404" si="298">C362*C363*C370/C370/(C367)</f>
        <v>3.6931916895373094E-3</v>
      </c>
      <c r="D404" s="66">
        <f t="shared" si="298"/>
        <v>3.4192839876304795E-3</v>
      </c>
      <c r="E404" s="66">
        <f t="shared" si="298"/>
        <v>3.1452964880607538E-3</v>
      </c>
      <c r="F404" s="66">
        <f t="shared" si="298"/>
        <v>2.8712120334092352E-3</v>
      </c>
      <c r="G404" s="66">
        <f t="shared" si="298"/>
        <v>2.597013787393953E-3</v>
      </c>
      <c r="H404" s="66">
        <f t="shared" si="298"/>
        <v>2.3226888329275232E-3</v>
      </c>
      <c r="I404" s="66">
        <f t="shared" si="298"/>
        <v>2.0482347822752007E-3</v>
      </c>
      <c r="J404" s="66">
        <f t="shared" si="298"/>
        <v>2.0051254426822185E-3</v>
      </c>
      <c r="K404" s="66">
        <f t="shared" si="298"/>
        <v>1.9614289975816621E-3</v>
      </c>
      <c r="L404" s="66">
        <f t="shared" si="298"/>
        <v>1.9169580533107628E-3</v>
      </c>
      <c r="M404" s="66">
        <f t="shared" si="298"/>
        <v>1.8714952165904367E-3</v>
      </c>
      <c r="N404" s="66">
        <f t="shared" si="298"/>
        <v>1.8248166299813073E-3</v>
      </c>
      <c r="O404" s="66">
        <f t="shared" si="298"/>
        <v>1.7767426535295226E-3</v>
      </c>
      <c r="P404" s="66">
        <f t="shared" si="298"/>
        <v>1.7272206981407826E-3</v>
      </c>
      <c r="Q404" s="66">
        <f t="shared" si="298"/>
        <v>1.6764259336943151E-3</v>
      </c>
      <c r="R404" s="66">
        <f t="shared" si="298"/>
        <v>1.6248324353366624E-3</v>
      </c>
      <c r="S404" s="66">
        <f t="shared" si="298"/>
        <v>1.5731852995283298E-3</v>
      </c>
      <c r="T404" s="66">
        <f t="shared" si="298"/>
        <v>1.5223381222503319E-3</v>
      </c>
      <c r="U404" s="66">
        <f t="shared" si="298"/>
        <v>1.4730147939860906E-3</v>
      </c>
      <c r="V404" s="66">
        <f t="shared" si="298"/>
        <v>1.4256257253619149E-3</v>
      </c>
      <c r="W404" s="66">
        <f t="shared" si="298"/>
        <v>1.3802297324488149E-3</v>
      </c>
      <c r="X404" s="66">
        <f t="shared" si="298"/>
        <v>1.3366239037314685E-3</v>
      </c>
      <c r="Y404" s="66">
        <f t="shared" si="298"/>
        <v>1.2944778643798752E-3</v>
      </c>
      <c r="Z404" s="66">
        <f t="shared" si="298"/>
        <v>1.2534430954847752E-3</v>
      </c>
      <c r="AA404" s="66">
        <f t="shared" si="298"/>
        <v>1.2132141059727651E-3</v>
      </c>
      <c r="AB404" s="66">
        <f t="shared" si="298"/>
        <v>1.1735497799097608E-3</v>
      </c>
      <c r="AC404" s="66">
        <f t="shared" si="298"/>
        <v>1.1342718515609E-3</v>
      </c>
    </row>
    <row r="405" spans="1:29" x14ac:dyDescent="0.25">
      <c r="A405" s="59" t="str">
        <f>A368</f>
        <v>Market failure (av. utilization)</v>
      </c>
      <c r="B405" s="66">
        <f t="shared" ref="B405:AC405" si="299">B394/B368-B394/B367</f>
        <v>3.0853259640518226E-3</v>
      </c>
      <c r="C405" s="66">
        <f t="shared" si="299"/>
        <v>2.9564815158408114E-3</v>
      </c>
      <c r="D405" s="66">
        <f t="shared" si="299"/>
        <v>2.8276168885715694E-3</v>
      </c>
      <c r="E405" s="66">
        <f t="shared" si="299"/>
        <v>2.6987289677130677E-3</v>
      </c>
      <c r="F405" s="66">
        <f t="shared" si="299"/>
        <v>2.5698157544284134E-3</v>
      </c>
      <c r="G405" s="66">
        <f t="shared" si="299"/>
        <v>2.4408779175961164E-3</v>
      </c>
      <c r="H405" s="66">
        <f t="shared" si="299"/>
        <v>2.3119214488812401E-3</v>
      </c>
      <c r="I405" s="66">
        <f t="shared" si="299"/>
        <v>2.1829620128428527E-3</v>
      </c>
      <c r="J405" s="66">
        <f t="shared" si="299"/>
        <v>2.1629514599325632E-3</v>
      </c>
      <c r="K405" s="66">
        <f t="shared" si="299"/>
        <v>2.1427761999284799E-3</v>
      </c>
      <c r="L405" s="66">
        <f t="shared" si="299"/>
        <v>2.1223878419564619E-3</v>
      </c>
      <c r="M405" s="66">
        <f t="shared" si="299"/>
        <v>2.101732713772105E-3</v>
      </c>
      <c r="N405" s="66">
        <f t="shared" si="299"/>
        <v>2.0807596556733773E-3</v>
      </c>
      <c r="O405" s="66">
        <f t="shared" si="299"/>
        <v>2.0594350894584746E-3</v>
      </c>
      <c r="P405" s="66">
        <f t="shared" si="299"/>
        <v>2.0377658578753094E-3</v>
      </c>
      <c r="Q405" s="66">
        <f t="shared" si="299"/>
        <v>2.0158246539871685E-3</v>
      </c>
      <c r="R405" s="66">
        <f t="shared" si="299"/>
        <v>1.9937641813002902E-3</v>
      </c>
      <c r="S405" s="66">
        <f t="shared" si="299"/>
        <v>1.971802046667203E-3</v>
      </c>
      <c r="T405" s="66">
        <f t="shared" si="299"/>
        <v>1.9501702690592083E-3</v>
      </c>
      <c r="U405" s="66">
        <f t="shared" si="299"/>
        <v>1.9290496655038087E-3</v>
      </c>
      <c r="V405" s="66">
        <f t="shared" si="299"/>
        <v>1.9085254479362865E-3</v>
      </c>
      <c r="W405" s="66">
        <f t="shared" si="299"/>
        <v>1.8885853025925282E-3</v>
      </c>
      <c r="X405" s="66">
        <f t="shared" si="299"/>
        <v>1.8691504766617491E-3</v>
      </c>
      <c r="Y405" s="66">
        <f t="shared" si="299"/>
        <v>1.8501150230205935E-3</v>
      </c>
      <c r="Z405" s="66">
        <f t="shared" si="299"/>
        <v>1.8313750852954787E-3</v>
      </c>
      <c r="AA405" s="66">
        <f t="shared" si="299"/>
        <v>1.812843661626156E-3</v>
      </c>
      <c r="AB405" s="66">
        <f t="shared" si="299"/>
        <v>1.7944544280670363E-3</v>
      </c>
      <c r="AC405" s="66">
        <f t="shared" si="299"/>
        <v>1.7761598045955142E-3</v>
      </c>
    </row>
    <row r="406" spans="1:29" x14ac:dyDescent="0.25">
      <c r="A406" s="59" t="str">
        <f>A369</f>
        <v>Payload loss (fuel)</v>
      </c>
      <c r="B406" s="66">
        <f>B394/(B367-B369)-B394/B367</f>
        <v>0</v>
      </c>
      <c r="C406" s="66">
        <f t="shared" ref="C406:AC406" si="300">C394/(C367-C369)-C394/C367</f>
        <v>0</v>
      </c>
      <c r="D406" s="66">
        <f t="shared" si="300"/>
        <v>0</v>
      </c>
      <c r="E406" s="66">
        <f t="shared" si="300"/>
        <v>0</v>
      </c>
      <c r="F406" s="66">
        <f t="shared" si="300"/>
        <v>0</v>
      </c>
      <c r="G406" s="66">
        <f t="shared" si="300"/>
        <v>0</v>
      </c>
      <c r="H406" s="66">
        <f t="shared" si="300"/>
        <v>0</v>
      </c>
      <c r="I406" s="66">
        <f t="shared" si="300"/>
        <v>0</v>
      </c>
      <c r="J406" s="66">
        <f t="shared" si="300"/>
        <v>0</v>
      </c>
      <c r="K406" s="66">
        <f t="shared" si="300"/>
        <v>0</v>
      </c>
      <c r="L406" s="66">
        <f t="shared" si="300"/>
        <v>0</v>
      </c>
      <c r="M406" s="66">
        <f t="shared" si="300"/>
        <v>0</v>
      </c>
      <c r="N406" s="66">
        <f t="shared" si="300"/>
        <v>0</v>
      </c>
      <c r="O406" s="66">
        <f t="shared" si="300"/>
        <v>0</v>
      </c>
      <c r="P406" s="66">
        <f t="shared" si="300"/>
        <v>0</v>
      </c>
      <c r="Q406" s="66">
        <f t="shared" si="300"/>
        <v>0</v>
      </c>
      <c r="R406" s="66">
        <f t="shared" si="300"/>
        <v>0</v>
      </c>
      <c r="S406" s="66">
        <f t="shared" si="300"/>
        <v>0</v>
      </c>
      <c r="T406" s="66">
        <f t="shared" si="300"/>
        <v>0</v>
      </c>
      <c r="U406" s="66">
        <f t="shared" si="300"/>
        <v>0</v>
      </c>
      <c r="V406" s="66">
        <f t="shared" si="300"/>
        <v>0</v>
      </c>
      <c r="W406" s="66">
        <f t="shared" si="300"/>
        <v>0</v>
      </c>
      <c r="X406" s="66">
        <f t="shared" si="300"/>
        <v>0</v>
      </c>
      <c r="Y406" s="66">
        <f t="shared" si="300"/>
        <v>0</v>
      </c>
      <c r="Z406" s="66">
        <f t="shared" si="300"/>
        <v>0</v>
      </c>
      <c r="AA406" s="66">
        <f t="shared" si="300"/>
        <v>0</v>
      </c>
      <c r="AB406" s="66">
        <f t="shared" si="300"/>
        <v>0</v>
      </c>
      <c r="AC406" s="66">
        <f t="shared" si="300"/>
        <v>0</v>
      </c>
    </row>
    <row r="407" spans="1:29" ht="15.75" thickBot="1" x14ac:dyDescent="0.3">
      <c r="A407" s="59" t="str">
        <f>A344</f>
        <v>Emission Cost</v>
      </c>
      <c r="B407" s="68">
        <f>B364*B370/B370/(B367)</f>
        <v>0</v>
      </c>
      <c r="C407" s="68">
        <f t="shared" ref="C407:AC407" si="301">C364*C370/C370/(C367)</f>
        <v>0</v>
      </c>
      <c r="D407" s="68">
        <f t="shared" si="301"/>
        <v>0</v>
      </c>
      <c r="E407" s="68">
        <f t="shared" si="301"/>
        <v>0</v>
      </c>
      <c r="F407" s="68">
        <f t="shared" si="301"/>
        <v>0</v>
      </c>
      <c r="G407" s="68">
        <f t="shared" si="301"/>
        <v>0</v>
      </c>
      <c r="H407" s="68">
        <f t="shared" si="301"/>
        <v>0</v>
      </c>
      <c r="I407" s="68">
        <f t="shared" si="301"/>
        <v>0</v>
      </c>
      <c r="J407" s="68">
        <f t="shared" si="301"/>
        <v>0</v>
      </c>
      <c r="K407" s="68">
        <f t="shared" si="301"/>
        <v>0</v>
      </c>
      <c r="L407" s="68">
        <f t="shared" si="301"/>
        <v>0</v>
      </c>
      <c r="M407" s="68">
        <f t="shared" si="301"/>
        <v>0</v>
      </c>
      <c r="N407" s="68">
        <f t="shared" si="301"/>
        <v>0</v>
      </c>
      <c r="O407" s="68">
        <f t="shared" si="301"/>
        <v>0</v>
      </c>
      <c r="P407" s="68">
        <f t="shared" si="301"/>
        <v>0</v>
      </c>
      <c r="Q407" s="68">
        <f t="shared" si="301"/>
        <v>0</v>
      </c>
      <c r="R407" s="68">
        <f t="shared" si="301"/>
        <v>0</v>
      </c>
      <c r="S407" s="68">
        <f t="shared" si="301"/>
        <v>0</v>
      </c>
      <c r="T407" s="68">
        <f t="shared" si="301"/>
        <v>0</v>
      </c>
      <c r="U407" s="68">
        <f t="shared" si="301"/>
        <v>0</v>
      </c>
      <c r="V407" s="68">
        <f t="shared" si="301"/>
        <v>0</v>
      </c>
      <c r="W407" s="68">
        <f t="shared" si="301"/>
        <v>0</v>
      </c>
      <c r="X407" s="68">
        <f t="shared" si="301"/>
        <v>0</v>
      </c>
      <c r="Y407" s="68">
        <f t="shared" si="301"/>
        <v>0</v>
      </c>
      <c r="Z407" s="68">
        <f t="shared" si="301"/>
        <v>0</v>
      </c>
      <c r="AA407" s="68">
        <f t="shared" si="301"/>
        <v>0</v>
      </c>
      <c r="AB407" s="68">
        <f t="shared" si="301"/>
        <v>0</v>
      </c>
      <c r="AC407" s="68">
        <f t="shared" si="301"/>
        <v>0</v>
      </c>
    </row>
    <row r="408" spans="1:29" ht="15.75" thickBot="1" x14ac:dyDescent="0.3">
      <c r="A408" s="31" t="s">
        <v>210</v>
      </c>
      <c r="B408" s="76">
        <f>B397+B398+B399+B400+B401+B402+B403+B404+B405+B406+B407</f>
        <v>9.6278470383299765E-3</v>
      </c>
      <c r="C408" s="67">
        <f t="shared" ref="C408:AC408" si="302">C397+C398+C399+C400+C401+C402+C403+C404+C405+C406+C407</f>
        <v>9.2252081376705663E-3</v>
      </c>
      <c r="D408" s="67">
        <f t="shared" si="302"/>
        <v>8.8225061774541876E-3</v>
      </c>
      <c r="E408" s="67">
        <f t="shared" si="302"/>
        <v>8.4197314247713689E-3</v>
      </c>
      <c r="F408" s="67">
        <f t="shared" si="302"/>
        <v>8.0168776332568241E-3</v>
      </c>
      <c r="G408" s="67">
        <f t="shared" si="302"/>
        <v>7.6139468931558946E-3</v>
      </c>
      <c r="H408" s="67">
        <f t="shared" si="302"/>
        <v>7.2109579284219049E-3</v>
      </c>
      <c r="I408" s="67">
        <f t="shared" si="302"/>
        <v>6.8079596908019449E-3</v>
      </c>
      <c r="J408" s="67">
        <f t="shared" si="302"/>
        <v>6.7454267129572901E-3</v>
      </c>
      <c r="K408" s="67">
        <f t="shared" si="302"/>
        <v>6.6823790254445297E-3</v>
      </c>
      <c r="L408" s="67">
        <f t="shared" si="302"/>
        <v>6.6186654067819746E-3</v>
      </c>
      <c r="M408" s="67">
        <f t="shared" si="302"/>
        <v>6.5541181312058598E-3</v>
      </c>
      <c r="N408" s="67">
        <f t="shared" si="302"/>
        <v>6.4885773246473348E-3</v>
      </c>
      <c r="O408" s="67">
        <f t="shared" si="302"/>
        <v>6.4219380552257644E-3</v>
      </c>
      <c r="P408" s="67">
        <f t="shared" si="302"/>
        <v>6.3542217065283733E-3</v>
      </c>
      <c r="Q408" s="67">
        <f t="shared" si="302"/>
        <v>6.2856554443779331E-3</v>
      </c>
      <c r="R408" s="67">
        <f t="shared" si="302"/>
        <v>6.2167164672314373E-3</v>
      </c>
      <c r="S408" s="67">
        <f t="shared" si="302"/>
        <v>6.1480847965030404E-3</v>
      </c>
      <c r="T408" s="67">
        <f t="shared" si="302"/>
        <v>6.080485491478058E-3</v>
      </c>
      <c r="U408" s="67">
        <f t="shared" si="302"/>
        <v>6.0144836053674334E-3</v>
      </c>
      <c r="V408" s="67">
        <f t="shared" si="302"/>
        <v>5.9503454254689267E-3</v>
      </c>
      <c r="W408" s="67">
        <f t="shared" si="302"/>
        <v>5.8880324712696818E-3</v>
      </c>
      <c r="X408" s="67">
        <f t="shared" si="302"/>
        <v>5.8272986402359986E-3</v>
      </c>
      <c r="Y408" s="67">
        <f t="shared" si="302"/>
        <v>5.7678128476073868E-3</v>
      </c>
      <c r="Z408" s="67">
        <f t="shared" si="302"/>
        <v>5.7092505422164019E-3</v>
      </c>
      <c r="AA408" s="67">
        <f t="shared" si="302"/>
        <v>5.6513398432497686E-3</v>
      </c>
      <c r="AB408" s="67">
        <f t="shared" si="302"/>
        <v>5.5938734883775199E-3</v>
      </c>
      <c r="AC408" s="67">
        <f t="shared" si="302"/>
        <v>5.5367027900290119E-3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85"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Input'!$L$237</f>
        <v>30000000</v>
      </c>
      <c r="C11" s="42">
        <f>'Parameter Input'!$M$237</f>
        <v>19500000</v>
      </c>
      <c r="D11" s="1" t="s">
        <v>15</v>
      </c>
      <c r="L11" s="51">
        <f>'Parameter Input'!$O$237</f>
        <v>17</v>
      </c>
      <c r="M11" s="52">
        <v>0</v>
      </c>
      <c r="N11" s="52">
        <v>1</v>
      </c>
      <c r="O11" s="52">
        <f>'Parameter Input'!$P$237</f>
        <v>0.9</v>
      </c>
      <c r="P11" s="53">
        <f>'Parameter Input'!$Q$237</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Input'!$L$238</f>
        <v>-1500000</v>
      </c>
      <c r="C12" s="61">
        <f>'Parameter Input'!$M$238</f>
        <v>-1950000</v>
      </c>
      <c r="D12" s="1" t="s">
        <v>15</v>
      </c>
      <c r="L12" s="54">
        <f>'Parameter Input'!$O$238</f>
        <v>17</v>
      </c>
      <c r="M12" s="37">
        <v>0</v>
      </c>
      <c r="N12" s="37">
        <v>1</v>
      </c>
      <c r="O12" s="37">
        <f>'Parameter Input'!$P$238</f>
        <v>0.9</v>
      </c>
      <c r="P12" s="55">
        <f>'Parameter Input'!$Q$238</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Input'!$L$244</f>
        <v>0.06</v>
      </c>
      <c r="C15" s="91">
        <f>'Parameter Input'!$M$244</f>
        <v>0.06</v>
      </c>
      <c r="D15" s="1" t="s">
        <v>57</v>
      </c>
      <c r="L15" s="54">
        <f>'Parameter Input'!$O$244</f>
        <v>17</v>
      </c>
      <c r="M15" s="37">
        <v>0</v>
      </c>
      <c r="N15" s="37">
        <v>1</v>
      </c>
      <c r="O15" s="37">
        <f>'Parameter Input'!$P$244</f>
        <v>0.9</v>
      </c>
      <c r="P15" s="55">
        <f>'Parameter Input'!$Q$244</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Input'!$L$240</f>
        <v>338823.5294117647</v>
      </c>
      <c r="C17" s="61">
        <f>'Parameter Input'!$M$240</f>
        <v>338823.5294117647</v>
      </c>
      <c r="D17" s="1" t="s">
        <v>38</v>
      </c>
      <c r="L17" s="54">
        <f>'Parameter Input'!$O$240</f>
        <v>17</v>
      </c>
      <c r="M17" s="37">
        <v>0</v>
      </c>
      <c r="N17" s="37">
        <v>1</v>
      </c>
      <c r="O17" s="37">
        <f>'Parameter Input'!$P$240</f>
        <v>0.9</v>
      </c>
      <c r="P17" s="55">
        <f>'Parameter Input'!$Q$240</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Input'!$L$241</f>
        <v>589</v>
      </c>
      <c r="C19" s="61">
        <f>'Parameter Input'!$M$241</f>
        <v>519</v>
      </c>
      <c r="D19" s="1" t="s">
        <v>60</v>
      </c>
      <c r="L19" s="54">
        <f>'Parameter Input'!$O$241</f>
        <v>17</v>
      </c>
      <c r="M19" s="37">
        <v>0</v>
      </c>
      <c r="N19" s="37">
        <v>1</v>
      </c>
      <c r="O19" s="37">
        <f>'Parameter Input'!$P$241</f>
        <v>0.9</v>
      </c>
      <c r="P19" s="55">
        <f>'Parameter Input'!$Q$241</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Input'!$L$242</f>
        <v>0.2544561408768215</v>
      </c>
      <c r="C20" s="61">
        <f>'Parameter Input'!$M$242</f>
        <v>0.10949010032952979</v>
      </c>
      <c r="D20" s="1" t="s">
        <v>68</v>
      </c>
      <c r="L20" s="54">
        <f>'Parameter Input'!$O$242</f>
        <v>12</v>
      </c>
      <c r="M20" s="37">
        <v>0</v>
      </c>
      <c r="N20" s="37">
        <v>1</v>
      </c>
      <c r="O20" s="37">
        <f>'Parameter Input'!$P$242</f>
        <v>0.9</v>
      </c>
      <c r="P20" s="55">
        <f>'Parameter Input'!$Q$242</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Input'!$L$245</f>
        <v>0</v>
      </c>
      <c r="C21" s="116">
        <f>'Parameter Input'!$M$245</f>
        <v>0</v>
      </c>
      <c r="D21" s="1" t="s">
        <v>76</v>
      </c>
      <c r="L21" s="54">
        <f>'Parameter Input'!$O$245</f>
        <v>17</v>
      </c>
      <c r="M21" s="37">
        <v>0</v>
      </c>
      <c r="N21" s="37">
        <v>1</v>
      </c>
      <c r="O21" s="37">
        <f>'Parameter Input'!$P$245</f>
        <v>0.9</v>
      </c>
      <c r="P21" s="55">
        <f>'Parameter Input'!$Q$245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Input'!$L$239</f>
        <v>25</v>
      </c>
      <c r="C22" s="61">
        <f>'Parameter Input'!$M$239</f>
        <v>25</v>
      </c>
      <c r="D22" s="1" t="s">
        <v>42</v>
      </c>
      <c r="L22" s="54">
        <f>'Parameter Input'!$O$239</f>
        <v>17</v>
      </c>
      <c r="M22" s="37">
        <v>0</v>
      </c>
      <c r="N22" s="37">
        <v>1</v>
      </c>
      <c r="O22" s="37">
        <f>'Parameter Input'!$P$239</f>
        <v>0.9</v>
      </c>
      <c r="P22" s="55">
        <f>'Parameter Input'!$Q$239</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Input'!$L$243</f>
        <v>0.1</v>
      </c>
      <c r="C26" s="46">
        <f>'Parameter Input'!$M$243</f>
        <v>0.08</v>
      </c>
      <c r="D26" s="1" t="s">
        <v>57</v>
      </c>
      <c r="L26" s="54">
        <f>'Parameter Input'!$O$243</f>
        <v>17</v>
      </c>
      <c r="M26" s="37">
        <v>0</v>
      </c>
      <c r="N26" s="37">
        <v>1</v>
      </c>
      <c r="O26" s="37">
        <f>'Parameter Input'!$P$243</f>
        <v>0.9</v>
      </c>
      <c r="P26" s="55">
        <f>'Parameter Input'!$Q$243</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944.5849078871745</v>
      </c>
      <c r="C46" s="62">
        <f t="shared" si="38"/>
        <v>944.40532910583465</v>
      </c>
      <c r="D46" s="62">
        <f t="shared" si="38"/>
        <v>944.14826608014141</v>
      </c>
      <c r="E46" s="62">
        <f t="shared" si="38"/>
        <v>943.78051934440748</v>
      </c>
      <c r="F46" s="62">
        <f t="shared" si="38"/>
        <v>943.25492811169715</v>
      </c>
      <c r="G46" s="62">
        <f t="shared" si="38"/>
        <v>942.50479583764434</v>
      </c>
      <c r="H46" s="62">
        <f t="shared" si="38"/>
        <v>941.43642345180217</v>
      </c>
      <c r="I46" s="62">
        <f t="shared" si="38"/>
        <v>939.91948781699818</v>
      </c>
      <c r="J46" s="62">
        <f t="shared" si="38"/>
        <v>937.77544506541028</v>
      </c>
      <c r="K46" s="62">
        <f t="shared" si="38"/>
        <v>934.76524772391656</v>
      </c>
      <c r="L46" s="62">
        <f t="shared" si="39"/>
        <v>930.57998068376753</v>
      </c>
      <c r="M46" s="62">
        <f t="shared" si="39"/>
        <v>924.84213614287444</v>
      </c>
      <c r="N46" s="62">
        <f t="shared" si="39"/>
        <v>917.13108792247806</v>
      </c>
      <c r="O46" s="62">
        <f t="shared" si="39"/>
        <v>907.05125823345929</v>
      </c>
      <c r="P46" s="62">
        <f t="shared" si="39"/>
        <v>894.35741645248754</v>
      </c>
      <c r="Q46" s="62">
        <f t="shared" si="39"/>
        <v>879.12517069210696</v>
      </c>
      <c r="R46" s="62">
        <f t="shared" si="39"/>
        <v>861.90094849480568</v>
      </c>
      <c r="S46" s="62">
        <f t="shared" si="39"/>
        <v>843.71740779032029</v>
      </c>
      <c r="T46" s="62">
        <f t="shared" si="39"/>
        <v>825.89168515554024</v>
      </c>
      <c r="U46" s="62">
        <f t="shared" si="39"/>
        <v>809.66456292436703</v>
      </c>
      <c r="V46" s="62">
        <f t="shared" si="40"/>
        <v>795.87381981451244</v>
      </c>
      <c r="W46" s="62">
        <f t="shared" si="40"/>
        <v>784.82990436567866</v>
      </c>
      <c r="X46" s="62">
        <f t="shared" si="40"/>
        <v>776.40290671427192</v>
      </c>
      <c r="Y46" s="62">
        <f t="shared" si="40"/>
        <v>770.20838759429932</v>
      </c>
      <c r="Z46" s="62">
        <f t="shared" si="40"/>
        <v>765.77939603754794</v>
      </c>
      <c r="AA46" s="62">
        <f t="shared" si="40"/>
        <v>762.6753270281904</v>
      </c>
      <c r="AB46" s="62">
        <f t="shared" si="40"/>
        <v>760.53022455173243</v>
      </c>
      <c r="AC46" s="62">
        <f t="shared" si="40"/>
        <v>759.0622240325356</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2">((1+C35)^C42)*C35/(((1+C35)^C42)-1)*(C31)</f>
        <v>2344217.1490089451</v>
      </c>
      <c r="D50" s="63">
        <f t="shared" si="42"/>
        <v>2343099.9714048514</v>
      </c>
      <c r="E50" s="63">
        <f t="shared" si="42"/>
        <v>2341501.7702787537</v>
      </c>
      <c r="F50" s="63">
        <f t="shared" si="42"/>
        <v>2339217.5882089725</v>
      </c>
      <c r="G50" s="63">
        <f t="shared" si="42"/>
        <v>2335957.5667631798</v>
      </c>
      <c r="H50" s="63">
        <f t="shared" si="42"/>
        <v>2331314.496453566</v>
      </c>
      <c r="I50" s="63">
        <f t="shared" si="42"/>
        <v>2324722.0022063456</v>
      </c>
      <c r="J50" s="63">
        <f t="shared" si="42"/>
        <v>2315404.1450861497</v>
      </c>
      <c r="K50" s="63">
        <f t="shared" si="42"/>
        <v>2302322.0417974619</v>
      </c>
      <c r="L50" s="63">
        <f t="shared" si="42"/>
        <v>2284133.1692756363</v>
      </c>
      <c r="M50" s="63">
        <f t="shared" si="42"/>
        <v>2259196.9054952883</v>
      </c>
      <c r="N50" s="63">
        <f t="shared" si="42"/>
        <v>2225685.2390364991</v>
      </c>
      <c r="O50" s="63">
        <f t="shared" si="42"/>
        <v>2181879.0169970216</v>
      </c>
      <c r="P50" s="63">
        <f t="shared" si="42"/>
        <v>2126712.4845508407</v>
      </c>
      <c r="Q50" s="63">
        <f t="shared" si="42"/>
        <v>2060514.2291709851</v>
      </c>
      <c r="R50" s="63">
        <f t="shared" si="42"/>
        <v>1985658.9860457699</v>
      </c>
      <c r="S50" s="63">
        <f t="shared" si="42"/>
        <v>1906634.6130018148</v>
      </c>
      <c r="T50" s="63">
        <f t="shared" si="42"/>
        <v>1829165.2918084206</v>
      </c>
      <c r="U50" s="63">
        <f t="shared" si="42"/>
        <v>1758643.3741320807</v>
      </c>
      <c r="V50" s="63">
        <f t="shared" si="42"/>
        <v>1698709.7866213897</v>
      </c>
      <c r="W50" s="63">
        <f t="shared" si="42"/>
        <v>1650713.7165227169</v>
      </c>
      <c r="X50" s="63">
        <f t="shared" si="42"/>
        <v>1614090.584819823</v>
      </c>
      <c r="Y50" s="63">
        <f t="shared" si="42"/>
        <v>1587169.645838788</v>
      </c>
      <c r="Z50" s="63">
        <f t="shared" si="42"/>
        <v>1567921.5639235359</v>
      </c>
      <c r="AA50" s="63">
        <f t="shared" si="42"/>
        <v>1554431.5010509547</v>
      </c>
      <c r="AB50" s="63">
        <f t="shared" si="42"/>
        <v>1545109.0384419363</v>
      </c>
      <c r="AC50" s="63">
        <f t="shared" si="42"/>
        <v>1538729.2127224542</v>
      </c>
    </row>
    <row r="51" spans="1:29" x14ac:dyDescent="0.25">
      <c r="A51" s="30" t="str">
        <f>A32</f>
        <v>Residual value (vehicle)</v>
      </c>
      <c r="B51" s="62">
        <f>((1+B35)^B42)*B35/(((1+B35)^B42)-1)*(B32)</f>
        <v>-117417.38992255888</v>
      </c>
      <c r="C51" s="62">
        <f t="shared" ref="C51:AC51" si="43">((1+C35)^C42)*C35/(((1+C35)^C42)-1)*(C32)</f>
        <v>-117450.83720523692</v>
      </c>
      <c r="D51" s="62">
        <f t="shared" si="43"/>
        <v>-117498.71624541239</v>
      </c>
      <c r="E51" s="62">
        <f t="shared" si="43"/>
        <v>-117567.21057938797</v>
      </c>
      <c r="F51" s="62">
        <f t="shared" si="43"/>
        <v>-117665.10409666432</v>
      </c>
      <c r="G51" s="62">
        <f t="shared" si="43"/>
        <v>-117804.81930148401</v>
      </c>
      <c r="H51" s="62">
        <f t="shared" si="43"/>
        <v>-118003.80802903889</v>
      </c>
      <c r="I51" s="62">
        <f t="shared" si="43"/>
        <v>-118286.34349677691</v>
      </c>
      <c r="J51" s="62">
        <f t="shared" si="43"/>
        <v>-118685.68023049959</v>
      </c>
      <c r="K51" s="62">
        <f t="shared" si="43"/>
        <v>-119246.34180001476</v>
      </c>
      <c r="L51" s="62">
        <f t="shared" si="43"/>
        <v>-120025.864908093</v>
      </c>
      <c r="M51" s="62">
        <f t="shared" si="43"/>
        <v>-121094.56192725079</v>
      </c>
      <c r="N51" s="62">
        <f t="shared" si="43"/>
        <v>-122530.77620405605</v>
      </c>
      <c r="O51" s="62">
        <f t="shared" si="43"/>
        <v>-124408.18572003364</v>
      </c>
      <c r="P51" s="62">
        <f t="shared" si="43"/>
        <v>-126772.46568201284</v>
      </c>
      <c r="Q51" s="62">
        <f t="shared" si="43"/>
        <v>-129609.53376972093</v>
      </c>
      <c r="R51" s="62">
        <f t="shared" si="43"/>
        <v>-132817.61561794442</v>
      </c>
      <c r="S51" s="62">
        <f t="shared" si="43"/>
        <v>-136204.37446268537</v>
      </c>
      <c r="T51" s="62">
        <f t="shared" si="43"/>
        <v>-139524.48822811653</v>
      </c>
      <c r="U51" s="62">
        <f t="shared" si="43"/>
        <v>-142546.8561285311</v>
      </c>
      <c r="V51" s="62">
        <f t="shared" si="43"/>
        <v>-145115.43845041786</v>
      </c>
      <c r="W51" s="62">
        <f t="shared" si="43"/>
        <v>-147172.41288321812</v>
      </c>
      <c r="X51" s="62">
        <f t="shared" si="43"/>
        <v>-148741.975670485</v>
      </c>
      <c r="Y51" s="62">
        <f t="shared" si="43"/>
        <v>-149895.73019824366</v>
      </c>
      <c r="Z51" s="62">
        <f t="shared" si="43"/>
        <v>-150720.64799461162</v>
      </c>
      <c r="AA51" s="62">
        <f t="shared" si="43"/>
        <v>-151298.79354629366</v>
      </c>
      <c r="AB51" s="62">
        <f t="shared" si="43"/>
        <v>-151698.32765810873</v>
      </c>
      <c r="AC51" s="62">
        <f t="shared" si="43"/>
        <v>-151971.74876037225</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13917441.016853284</v>
      </c>
      <c r="C57" s="62">
        <f t="shared" ref="C57:AC57" si="49">C39*C40*C47</f>
        <v>13554502.313185614</v>
      </c>
      <c r="D57" s="62">
        <f t="shared" si="49"/>
        <v>13191002.201981308</v>
      </c>
      <c r="E57" s="62">
        <f t="shared" si="49"/>
        <v>12936205.269684833</v>
      </c>
      <c r="F57" s="62">
        <f t="shared" si="49"/>
        <v>12680264.89911822</v>
      </c>
      <c r="G57" s="62">
        <f t="shared" si="49"/>
        <v>12422734.285056066</v>
      </c>
      <c r="H57" s="62">
        <f t="shared" si="49"/>
        <v>12163001.901296917</v>
      </c>
      <c r="I57" s="62">
        <f t="shared" si="49"/>
        <v>11900240.66071108</v>
      </c>
      <c r="J57" s="62">
        <f t="shared" si="49"/>
        <v>11873871.346602231</v>
      </c>
      <c r="K57" s="62">
        <f t="shared" si="49"/>
        <v>11841038.882806974</v>
      </c>
      <c r="L57" s="62">
        <f t="shared" si="49"/>
        <v>11799447.122225013</v>
      </c>
      <c r="M57" s="62">
        <f t="shared" si="49"/>
        <v>11746294.792433945</v>
      </c>
      <c r="N57" s="62">
        <f t="shared" si="49"/>
        <v>11678468.130519712</v>
      </c>
      <c r="O57" s="62">
        <f t="shared" si="49"/>
        <v>11348251.239766695</v>
      </c>
      <c r="P57" s="62">
        <f t="shared" si="49"/>
        <v>11002664.095027352</v>
      </c>
      <c r="Q57" s="62">
        <f t="shared" si="49"/>
        <v>10643522.145833924</v>
      </c>
      <c r="R57" s="62">
        <f t="shared" si="49"/>
        <v>10275801.141218064</v>
      </c>
      <c r="S57" s="62">
        <f t="shared" si="49"/>
        <v>9907353.1579891834</v>
      </c>
      <c r="T57" s="62">
        <f t="shared" si="49"/>
        <v>9564523.398017589</v>
      </c>
      <c r="U57" s="62">
        <f t="shared" si="49"/>
        <v>9237276.4634616822</v>
      </c>
      <c r="V57" s="62">
        <f t="shared" si="49"/>
        <v>8930072.6288987473</v>
      </c>
      <c r="W57" s="62">
        <f t="shared" si="49"/>
        <v>8643674.253544854</v>
      </c>
      <c r="X57" s="62">
        <f t="shared" si="49"/>
        <v>8376060.0331768915</v>
      </c>
      <c r="Y57" s="62">
        <f t="shared" si="49"/>
        <v>8161140.6420521922</v>
      </c>
      <c r="Z57" s="62">
        <f t="shared" si="49"/>
        <v>7957739.5207671775</v>
      </c>
      <c r="AA57" s="62">
        <f t="shared" si="49"/>
        <v>7762759.7976934081</v>
      </c>
      <c r="AB57" s="62">
        <f t="shared" si="49"/>
        <v>7573728.9150236854</v>
      </c>
      <c r="AC57" s="62">
        <f t="shared" si="49"/>
        <v>7388801.2611698182</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17863980.305950634</v>
      </c>
      <c r="C59" s="64">
        <f t="shared" ref="C59:AC59" si="51">C50+C51+C52+C53+C54+C55+C56+C57+C58</f>
        <v>17500227.718404464</v>
      </c>
      <c r="D59" s="64">
        <f t="shared" si="51"/>
        <v>17135562.550555889</v>
      </c>
      <c r="E59" s="64">
        <f t="shared" si="51"/>
        <v>16879098.922799341</v>
      </c>
      <c r="F59" s="64">
        <f t="shared" si="51"/>
        <v>16620776.476645671</v>
      </c>
      <c r="G59" s="64">
        <f t="shared" si="51"/>
        <v>16359846.125932904</v>
      </c>
      <c r="H59" s="64">
        <f t="shared" si="51"/>
        <v>16095271.683136586</v>
      </c>
      <c r="I59" s="64">
        <f t="shared" si="51"/>
        <v>15825635.412835792</v>
      </c>
      <c r="J59" s="64">
        <f t="shared" si="51"/>
        <v>15789548.904873025</v>
      </c>
      <c r="K59" s="64">
        <f t="shared" si="51"/>
        <v>15743073.676219564</v>
      </c>
      <c r="L59" s="64">
        <f t="shared" si="51"/>
        <v>15682513.5200077</v>
      </c>
      <c r="M59" s="64">
        <f t="shared" si="51"/>
        <v>15603356.229417127</v>
      </c>
      <c r="N59" s="64">
        <f t="shared" si="51"/>
        <v>15500581.686767299</v>
      </c>
      <c r="O59" s="64">
        <f t="shared" si="51"/>
        <v>15124681.164458826</v>
      </c>
      <c r="P59" s="64">
        <f t="shared" si="51"/>
        <v>14721563.207311321</v>
      </c>
      <c r="Q59" s="64">
        <f t="shared" si="51"/>
        <v>14293385.934650332</v>
      </c>
      <c r="R59" s="64">
        <f t="shared" si="51"/>
        <v>13847601.605061032</v>
      </c>
      <c r="S59" s="64">
        <f t="shared" si="51"/>
        <v>13396742.489943456</v>
      </c>
      <c r="T59" s="64">
        <f t="shared" si="51"/>
        <v>12973123.295013037</v>
      </c>
      <c r="U59" s="64">
        <f t="shared" si="51"/>
        <v>12572332.074880375</v>
      </c>
      <c r="V59" s="64">
        <f t="shared" si="51"/>
        <v>12202626.070484862</v>
      </c>
      <c r="W59" s="64">
        <f t="shared" si="51"/>
        <v>11866174.650599495</v>
      </c>
      <c r="X59" s="64">
        <f t="shared" si="51"/>
        <v>11560367.735741373</v>
      </c>
      <c r="Y59" s="64">
        <f t="shared" si="51"/>
        <v>11317373.651107879</v>
      </c>
      <c r="Z59" s="64">
        <f t="shared" si="51"/>
        <v>11093899.530111244</v>
      </c>
      <c r="AA59" s="64">
        <f t="shared" si="51"/>
        <v>10884851.598613212</v>
      </c>
      <c r="AB59" s="64">
        <f t="shared" si="51"/>
        <v>10686098.719222656</v>
      </c>
      <c r="AC59" s="64">
        <f t="shared" si="51"/>
        <v>10494517.818547044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19.541646546706382</v>
      </c>
      <c r="C62" s="65">
        <f t="shared" ref="C62:AC62" si="53">((1+C35)^C42)*C35/(((1+C35)^C42)-1)*(C31)/C47</f>
        <v>19.535142908407877</v>
      </c>
      <c r="D62" s="65">
        <f t="shared" si="53"/>
        <v>19.525833095040429</v>
      </c>
      <c r="E62" s="65">
        <f t="shared" si="53"/>
        <v>19.512514752322947</v>
      </c>
      <c r="F62" s="65">
        <f t="shared" si="53"/>
        <v>19.493479901741438</v>
      </c>
      <c r="G62" s="65">
        <f t="shared" si="53"/>
        <v>19.466313056359834</v>
      </c>
      <c r="H62" s="65">
        <f t="shared" si="53"/>
        <v>19.427620803779718</v>
      </c>
      <c r="I62" s="65">
        <f t="shared" si="53"/>
        <v>19.372683351719548</v>
      </c>
      <c r="J62" s="65">
        <f t="shared" si="53"/>
        <v>19.295034542384581</v>
      </c>
      <c r="K62" s="65">
        <f t="shared" si="53"/>
        <v>19.186017014978848</v>
      </c>
      <c r="L62" s="65">
        <f t="shared" si="53"/>
        <v>19.03444307729697</v>
      </c>
      <c r="M62" s="65">
        <f t="shared" si="53"/>
        <v>18.826640879127403</v>
      </c>
      <c r="N62" s="65">
        <f t="shared" si="53"/>
        <v>18.547376991970825</v>
      </c>
      <c r="O62" s="65">
        <f t="shared" si="53"/>
        <v>18.182325141641847</v>
      </c>
      <c r="P62" s="65">
        <f t="shared" si="53"/>
        <v>17.722604037923674</v>
      </c>
      <c r="Q62" s="65">
        <f t="shared" si="53"/>
        <v>17.170951909758209</v>
      </c>
      <c r="R62" s="65">
        <f t="shared" si="53"/>
        <v>16.547158217048082</v>
      </c>
      <c r="S62" s="65">
        <f t="shared" si="53"/>
        <v>15.888621775015123</v>
      </c>
      <c r="T62" s="65">
        <f t="shared" si="53"/>
        <v>15.243044098403505</v>
      </c>
      <c r="U62" s="65">
        <f t="shared" si="53"/>
        <v>14.655361451100672</v>
      </c>
      <c r="V62" s="65">
        <f t="shared" si="53"/>
        <v>14.15591488851158</v>
      </c>
      <c r="W62" s="65">
        <f t="shared" si="53"/>
        <v>13.755947637689308</v>
      </c>
      <c r="X62" s="65">
        <f t="shared" si="53"/>
        <v>13.450754873498525</v>
      </c>
      <c r="Y62" s="65">
        <f t="shared" si="53"/>
        <v>13.226413715323233</v>
      </c>
      <c r="Z62" s="65">
        <f t="shared" si="53"/>
        <v>13.066013032696132</v>
      </c>
      <c r="AA62" s="65">
        <f t="shared" si="53"/>
        <v>12.953595842091289</v>
      </c>
      <c r="AB62" s="65">
        <f t="shared" si="53"/>
        <v>12.875908653682803</v>
      </c>
      <c r="AC62" s="65">
        <f t="shared" si="53"/>
        <v>12.822743439353784</v>
      </c>
    </row>
    <row r="63" spans="1:29" x14ac:dyDescent="0.25">
      <c r="A63" s="30" t="str">
        <f t="shared" si="52"/>
        <v>Residual value (vehicle)</v>
      </c>
      <c r="B63" s="66">
        <f>((1+B35)^B42)*B35/(((1+B35)^B42)-1)*(B32)/B47</f>
        <v>-0.97847824935465733</v>
      </c>
      <c r="C63" s="66">
        <f t="shared" ref="C63:AC63" si="54">((1+C35)^C42)*C35/(((1+C35)^C42)-1)*(C32)/C47</f>
        <v>-0.9787569767103077</v>
      </c>
      <c r="D63" s="66">
        <f t="shared" si="54"/>
        <v>-0.97915596871176991</v>
      </c>
      <c r="E63" s="66">
        <f t="shared" si="54"/>
        <v>-0.97972675482823313</v>
      </c>
      <c r="F63" s="66">
        <f t="shared" si="54"/>
        <v>-0.98054253413886938</v>
      </c>
      <c r="G63" s="66">
        <f t="shared" si="54"/>
        <v>-0.98170682751236671</v>
      </c>
      <c r="H63" s="66">
        <f t="shared" si="54"/>
        <v>-0.98336506690865744</v>
      </c>
      <c r="I63" s="66">
        <f t="shared" si="54"/>
        <v>-0.98571952913980765</v>
      </c>
      <c r="J63" s="66">
        <f t="shared" si="54"/>
        <v>-0.98904733525416333</v>
      </c>
      <c r="K63" s="66">
        <f t="shared" si="54"/>
        <v>-0.99371951500012301</v>
      </c>
      <c r="L63" s="66">
        <f t="shared" si="54"/>
        <v>-1.0002155409007751</v>
      </c>
      <c r="M63" s="66">
        <f t="shared" si="54"/>
        <v>-1.0091213493937565</v>
      </c>
      <c r="N63" s="66">
        <f t="shared" si="54"/>
        <v>-1.021089801700467</v>
      </c>
      <c r="O63" s="66">
        <f t="shared" si="54"/>
        <v>-1.0367348810002803</v>
      </c>
      <c r="P63" s="66">
        <f t="shared" si="54"/>
        <v>-1.0564372140167737</v>
      </c>
      <c r="Q63" s="66">
        <f t="shared" si="54"/>
        <v>-1.0800794480810079</v>
      </c>
      <c r="R63" s="66">
        <f t="shared" si="54"/>
        <v>-1.1068134634828701</v>
      </c>
      <c r="S63" s="66">
        <f t="shared" si="54"/>
        <v>-1.1350364538557114</v>
      </c>
      <c r="T63" s="66">
        <f t="shared" si="54"/>
        <v>-1.1627040685676377</v>
      </c>
      <c r="U63" s="66">
        <f t="shared" si="54"/>
        <v>-1.1878904677377591</v>
      </c>
      <c r="V63" s="66">
        <f t="shared" si="54"/>
        <v>-1.2092953204201489</v>
      </c>
      <c r="W63" s="66">
        <f t="shared" si="54"/>
        <v>-1.2264367740268176</v>
      </c>
      <c r="X63" s="66">
        <f t="shared" si="54"/>
        <v>-1.2395164639207084</v>
      </c>
      <c r="Y63" s="66">
        <f t="shared" si="54"/>
        <v>-1.2491310849853638</v>
      </c>
      <c r="Z63" s="66">
        <f t="shared" si="54"/>
        <v>-1.2560053999550969</v>
      </c>
      <c r="AA63" s="66">
        <f t="shared" si="54"/>
        <v>-1.2608232795524472</v>
      </c>
      <c r="AB63" s="66">
        <f t="shared" si="54"/>
        <v>-1.2641527304842395</v>
      </c>
      <c r="AC63" s="66">
        <f t="shared" si="54"/>
        <v>-1.2664312396697688</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115.97867514044404</v>
      </c>
      <c r="C69" s="66">
        <f t="shared" ref="C69:AC69" si="60">C39*C40*C47/C47</f>
        <v>112.95418594321345</v>
      </c>
      <c r="D69" s="66">
        <f t="shared" si="60"/>
        <v>109.92501834984424</v>
      </c>
      <c r="E69" s="66">
        <f t="shared" si="60"/>
        <v>107.80171058070694</v>
      </c>
      <c r="F69" s="66">
        <f t="shared" si="60"/>
        <v>105.66887415931851</v>
      </c>
      <c r="G69" s="66">
        <f t="shared" si="60"/>
        <v>103.52278570880055</v>
      </c>
      <c r="H69" s="66">
        <f t="shared" si="60"/>
        <v>101.35834917747431</v>
      </c>
      <c r="I69" s="66">
        <f t="shared" si="60"/>
        <v>99.168672172592338</v>
      </c>
      <c r="J69" s="66">
        <f t="shared" si="60"/>
        <v>98.948927888351932</v>
      </c>
      <c r="K69" s="66">
        <f t="shared" si="60"/>
        <v>98.67532402339144</v>
      </c>
      <c r="L69" s="66">
        <f t="shared" si="60"/>
        <v>98.328726018541772</v>
      </c>
      <c r="M69" s="66">
        <f t="shared" si="60"/>
        <v>97.88578993694955</v>
      </c>
      <c r="N69" s="66">
        <f t="shared" si="60"/>
        <v>97.320567754330938</v>
      </c>
      <c r="O69" s="66">
        <f t="shared" si="60"/>
        <v>94.568760331389129</v>
      </c>
      <c r="P69" s="66">
        <f t="shared" si="60"/>
        <v>91.688867458561262</v>
      </c>
      <c r="Q69" s="66">
        <f t="shared" si="60"/>
        <v>88.696017881949373</v>
      </c>
      <c r="R69" s="66">
        <f t="shared" si="60"/>
        <v>85.631676176817209</v>
      </c>
      <c r="S69" s="66">
        <f t="shared" si="60"/>
        <v>82.561276316576524</v>
      </c>
      <c r="T69" s="66">
        <f t="shared" si="60"/>
        <v>79.704361650146581</v>
      </c>
      <c r="U69" s="66">
        <f t="shared" si="60"/>
        <v>76.97730386218069</v>
      </c>
      <c r="V69" s="66">
        <f t="shared" si="60"/>
        <v>74.417271907489564</v>
      </c>
      <c r="W69" s="66">
        <f t="shared" si="60"/>
        <v>72.030618779540447</v>
      </c>
      <c r="X69" s="66">
        <f t="shared" si="60"/>
        <v>69.800500276474096</v>
      </c>
      <c r="Y69" s="66">
        <f t="shared" si="60"/>
        <v>68.009505350434935</v>
      </c>
      <c r="Z69" s="66">
        <f t="shared" si="60"/>
        <v>66.314496006393142</v>
      </c>
      <c r="AA69" s="66">
        <f t="shared" si="60"/>
        <v>64.689664980778403</v>
      </c>
      <c r="AB69" s="66">
        <f t="shared" si="60"/>
        <v>63.11440762519738</v>
      </c>
      <c r="AC69" s="66">
        <f t="shared" si="60"/>
        <v>61.573343843081815</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148.99688041327573</v>
      </c>
      <c r="C71" s="76">
        <f t="shared" ref="C71:AC71" si="63">C62+C63+C64-C65+C66+C67+C68+C69+C70</f>
        <v>145.96560885039099</v>
      </c>
      <c r="D71" s="76">
        <f t="shared" si="63"/>
        <v>142.92673245165287</v>
      </c>
      <c r="E71" s="76">
        <f t="shared" si="63"/>
        <v>140.78953555368162</v>
      </c>
      <c r="F71" s="76">
        <f t="shared" si="63"/>
        <v>138.63684850240105</v>
      </c>
      <c r="G71" s="76">
        <f t="shared" si="63"/>
        <v>136.46242891312801</v>
      </c>
      <c r="H71" s="76">
        <f t="shared" si="63"/>
        <v>134.25764188982535</v>
      </c>
      <c r="I71" s="76">
        <f t="shared" si="63"/>
        <v>132.01067297065205</v>
      </c>
      <c r="J71" s="76">
        <f t="shared" si="63"/>
        <v>131.70995207096232</v>
      </c>
      <c r="K71" s="76">
        <f t="shared" si="63"/>
        <v>131.32265849885013</v>
      </c>
      <c r="L71" s="76">
        <f t="shared" si="63"/>
        <v>130.81799053041794</v>
      </c>
      <c r="M71" s="76">
        <f t="shared" si="63"/>
        <v>130.15834644216318</v>
      </c>
      <c r="N71" s="76">
        <f t="shared" si="63"/>
        <v>129.30189192008126</v>
      </c>
      <c r="O71" s="76">
        <f t="shared" si="63"/>
        <v>126.16938756751067</v>
      </c>
      <c r="P71" s="76">
        <f t="shared" si="63"/>
        <v>122.81007125794814</v>
      </c>
      <c r="Q71" s="76">
        <f t="shared" si="63"/>
        <v>119.24192731910655</v>
      </c>
      <c r="R71" s="76">
        <f t="shared" si="63"/>
        <v>115.52705790586239</v>
      </c>
      <c r="S71" s="76">
        <f t="shared" si="63"/>
        <v>111.76989861321591</v>
      </c>
      <c r="T71" s="76">
        <f t="shared" si="63"/>
        <v>108.23973865546242</v>
      </c>
      <c r="U71" s="76">
        <f t="shared" si="63"/>
        <v>104.89981182102358</v>
      </c>
      <c r="V71" s="76">
        <f t="shared" si="63"/>
        <v>101.81892845106097</v>
      </c>
      <c r="W71" s="76">
        <f t="shared" si="63"/>
        <v>99.015166618682912</v>
      </c>
      <c r="X71" s="76">
        <f t="shared" si="63"/>
        <v>96.466775661531898</v>
      </c>
      <c r="Y71" s="76">
        <f t="shared" si="63"/>
        <v>94.441824956252788</v>
      </c>
      <c r="Z71" s="76">
        <f t="shared" si="63"/>
        <v>92.57954061461416</v>
      </c>
      <c r="AA71" s="76">
        <f t="shared" si="63"/>
        <v>90.837474518797222</v>
      </c>
      <c r="AB71" s="76">
        <f t="shared" si="63"/>
        <v>89.181200523875916</v>
      </c>
      <c r="AC71" s="76">
        <f t="shared" si="63"/>
        <v>87.584693018245815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2.0678991054715748E-3</v>
      </c>
      <c r="C74" s="65">
        <f t="shared" ref="C74:AC74" si="65">((1+C35)^C42)*C35/(((1+C35)^C42)-1)*(C31)/C47/(C44)</f>
        <v>2.0672108897786113E-3</v>
      </c>
      <c r="D74" s="65">
        <f t="shared" si="65"/>
        <v>2.0662257243429026E-3</v>
      </c>
      <c r="E74" s="65">
        <f t="shared" si="65"/>
        <v>2.0648163759071901E-3</v>
      </c>
      <c r="F74" s="65">
        <f t="shared" si="65"/>
        <v>2.0628021060043848E-3</v>
      </c>
      <c r="G74" s="65">
        <f t="shared" si="65"/>
        <v>2.0599273075513052E-3</v>
      </c>
      <c r="H74" s="65">
        <f t="shared" si="65"/>
        <v>2.0558328892888592E-3</v>
      </c>
      <c r="I74" s="65">
        <f t="shared" si="65"/>
        <v>2.0500194022983649E-3</v>
      </c>
      <c r="J74" s="65">
        <f t="shared" si="65"/>
        <v>2.0418025970777333E-3</v>
      </c>
      <c r="K74" s="65">
        <f t="shared" si="65"/>
        <v>2.0302663507914126E-3</v>
      </c>
      <c r="L74" s="65">
        <f t="shared" si="65"/>
        <v>2.0142267806663458E-3</v>
      </c>
      <c r="M74" s="65">
        <f t="shared" si="65"/>
        <v>1.9922371300663917E-3</v>
      </c>
      <c r="N74" s="65">
        <f t="shared" si="65"/>
        <v>1.9626853959757488E-3</v>
      </c>
      <c r="O74" s="65">
        <f t="shared" si="65"/>
        <v>1.9240555705441109E-3</v>
      </c>
      <c r="P74" s="65">
        <f t="shared" si="65"/>
        <v>1.8754078347009179E-3</v>
      </c>
      <c r="Q74" s="65">
        <f t="shared" si="65"/>
        <v>1.8170319481225618E-3</v>
      </c>
      <c r="R74" s="65">
        <f t="shared" si="65"/>
        <v>1.7510220335500617E-3</v>
      </c>
      <c r="S74" s="65">
        <f t="shared" si="65"/>
        <v>1.6813356375677379E-3</v>
      </c>
      <c r="T74" s="65">
        <f t="shared" si="65"/>
        <v>1.6130205395135985E-3</v>
      </c>
      <c r="U74" s="65">
        <f t="shared" si="65"/>
        <v>1.5508318995873728E-3</v>
      </c>
      <c r="V74" s="65">
        <f t="shared" si="65"/>
        <v>1.497980411482707E-3</v>
      </c>
      <c r="W74" s="65">
        <f t="shared" si="65"/>
        <v>1.4556558346761172E-3</v>
      </c>
      <c r="X74" s="65">
        <f t="shared" si="65"/>
        <v>1.423360304073918E-3</v>
      </c>
      <c r="Y74" s="65">
        <f t="shared" si="65"/>
        <v>1.3996204989760034E-3</v>
      </c>
      <c r="Z74" s="65">
        <f t="shared" si="65"/>
        <v>1.3826468817667865E-3</v>
      </c>
      <c r="AA74" s="65">
        <f t="shared" si="65"/>
        <v>1.370750882760983E-3</v>
      </c>
      <c r="AB74" s="65">
        <f t="shared" si="65"/>
        <v>1.3625300162627306E-3</v>
      </c>
      <c r="AC74" s="65">
        <f t="shared" si="65"/>
        <v>1.3569040676564852E-3</v>
      </c>
    </row>
    <row r="75" spans="1:29" x14ac:dyDescent="0.25">
      <c r="A75" s="30" t="str">
        <f t="shared" si="64"/>
        <v>Residual value (vehicle)</v>
      </c>
      <c r="B75" s="68">
        <f>((1+B35)^B42)*B35/(((1+B35)^B42)-1)*(B32)/B47/(B44)</f>
        <v>-1.0354267188938173E-4</v>
      </c>
      <c r="C75" s="68">
        <f t="shared" ref="C75:AC75" si="66">((1+C35)^C42)*C35/(((1+C35)^C42)-1)*(C32)/C47/(C44)</f>
        <v>-1.0357216684765161E-4</v>
      </c>
      <c r="D75" s="68">
        <f t="shared" si="66"/>
        <v>-1.0361438822346771E-4</v>
      </c>
      <c r="E75" s="68">
        <f t="shared" si="66"/>
        <v>-1.036747888707125E-4</v>
      </c>
      <c r="F75" s="68">
        <f t="shared" si="66"/>
        <v>-1.0376111472368988E-4</v>
      </c>
      <c r="G75" s="68">
        <f t="shared" si="66"/>
        <v>-1.0388432037167901E-4</v>
      </c>
      <c r="H75" s="68">
        <f t="shared" si="66"/>
        <v>-1.0405979544006957E-4</v>
      </c>
      <c r="I75" s="68">
        <f t="shared" si="66"/>
        <v>-1.0430894488251933E-4</v>
      </c>
      <c r="J75" s="68">
        <f t="shared" si="66"/>
        <v>-1.0466109367768924E-4</v>
      </c>
      <c r="K75" s="68">
        <f t="shared" si="66"/>
        <v>-1.0515550423281725E-4</v>
      </c>
      <c r="L75" s="68">
        <f t="shared" si="66"/>
        <v>-1.0584291438103441E-4</v>
      </c>
      <c r="M75" s="68">
        <f t="shared" si="66"/>
        <v>-1.067853279781753E-4</v>
      </c>
      <c r="N75" s="68">
        <f t="shared" si="66"/>
        <v>-1.0805183086777429E-4</v>
      </c>
      <c r="O75" s="68">
        <f t="shared" si="66"/>
        <v>-1.0970739481484449E-4</v>
      </c>
      <c r="P75" s="68">
        <f t="shared" si="66"/>
        <v>-1.1179229777955277E-4</v>
      </c>
      <c r="Q75" s="68">
        <f t="shared" si="66"/>
        <v>-1.1429412149005375E-4</v>
      </c>
      <c r="R75" s="68">
        <f t="shared" si="66"/>
        <v>-1.1712311782887515E-4</v>
      </c>
      <c r="S75" s="68">
        <f t="shared" si="66"/>
        <v>-1.2010967765668903E-4</v>
      </c>
      <c r="T75" s="68">
        <f t="shared" si="66"/>
        <v>-1.2303746757329499E-4</v>
      </c>
      <c r="U75" s="68">
        <f t="shared" si="66"/>
        <v>-1.2570269499870466E-4</v>
      </c>
      <c r="V75" s="68">
        <f t="shared" si="66"/>
        <v>-1.2796775877461892E-4</v>
      </c>
      <c r="W75" s="68">
        <f t="shared" si="66"/>
        <v>-1.2978166920918704E-4</v>
      </c>
      <c r="X75" s="68">
        <f t="shared" si="66"/>
        <v>-1.3116576337785275E-4</v>
      </c>
      <c r="Y75" s="68">
        <f t="shared" si="66"/>
        <v>-1.321831835963348E-4</v>
      </c>
      <c r="Z75" s="68">
        <f t="shared" si="66"/>
        <v>-1.3291062433387269E-4</v>
      </c>
      <c r="AA75" s="68">
        <f t="shared" si="66"/>
        <v>-1.3342045286269283E-4</v>
      </c>
      <c r="AB75" s="68">
        <f t="shared" si="66"/>
        <v>-1.3377277571261794E-4</v>
      </c>
      <c r="AC75" s="68">
        <f t="shared" si="66"/>
        <v>-1.3401388779574273E-4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1.2272875676237464E-2</v>
      </c>
      <c r="C81" s="66">
        <f t="shared" ref="C81:AC81" si="72">C39*C40*C47/C47/(C44)</f>
        <v>1.1952823909334756E-2</v>
      </c>
      <c r="D81" s="66">
        <f t="shared" si="72"/>
        <v>1.1632277074057592E-2</v>
      </c>
      <c r="E81" s="66">
        <f t="shared" si="72"/>
        <v>1.140758842123883E-2</v>
      </c>
      <c r="F81" s="66">
        <f t="shared" si="72"/>
        <v>1.118189144543053E-2</v>
      </c>
      <c r="G81" s="66">
        <f t="shared" si="72"/>
        <v>1.0954792138497413E-2</v>
      </c>
      <c r="H81" s="66">
        <f t="shared" si="72"/>
        <v>1.0725751235711567E-2</v>
      </c>
      <c r="I81" s="66">
        <f t="shared" si="72"/>
        <v>1.0494039383343104E-2</v>
      </c>
      <c r="J81" s="66">
        <f t="shared" si="72"/>
        <v>1.0470786019931422E-2</v>
      </c>
      <c r="K81" s="66">
        <f t="shared" si="72"/>
        <v>1.0441833229988512E-2</v>
      </c>
      <c r="L81" s="66">
        <f t="shared" si="72"/>
        <v>1.0405156192438283E-2</v>
      </c>
      <c r="M81" s="66">
        <f t="shared" si="72"/>
        <v>1.0358284649412651E-2</v>
      </c>
      <c r="N81" s="66">
        <f t="shared" si="72"/>
        <v>1.0298472778236077E-2</v>
      </c>
      <c r="O81" s="66">
        <f t="shared" si="72"/>
        <v>1.0007276225543824E-2</v>
      </c>
      <c r="P81" s="66">
        <f t="shared" si="72"/>
        <v>9.7025256569906095E-3</v>
      </c>
      <c r="Q81" s="66">
        <f t="shared" si="72"/>
        <v>9.3858219980898806E-3</v>
      </c>
      <c r="R81" s="66">
        <f t="shared" si="72"/>
        <v>9.0615530345838323E-3</v>
      </c>
      <c r="S81" s="66">
        <f t="shared" si="72"/>
        <v>8.7366429964631249E-3</v>
      </c>
      <c r="T81" s="66">
        <f t="shared" si="72"/>
        <v>8.4343239841424954E-3</v>
      </c>
      <c r="U81" s="66">
        <f t="shared" si="72"/>
        <v>8.1457464404424019E-3</v>
      </c>
      <c r="V81" s="66">
        <f t="shared" si="72"/>
        <v>7.8748435880941336E-3</v>
      </c>
      <c r="W81" s="66">
        <f t="shared" si="72"/>
        <v>7.6222877015386719E-3</v>
      </c>
      <c r="X81" s="66">
        <f t="shared" si="72"/>
        <v>7.3862963255528144E-3</v>
      </c>
      <c r="Y81" s="66">
        <f t="shared" si="72"/>
        <v>7.1967730529560779E-3</v>
      </c>
      <c r="Z81" s="66">
        <f t="shared" si="72"/>
        <v>7.0174069848035073E-3</v>
      </c>
      <c r="AA81" s="66">
        <f t="shared" si="72"/>
        <v>6.8454671937331641E-3</v>
      </c>
      <c r="AB81" s="66">
        <f t="shared" si="72"/>
        <v>6.6787732936716806E-3</v>
      </c>
      <c r="AC81" s="66">
        <f t="shared" si="72"/>
        <v>6.5156977611726787E-3</v>
      </c>
    </row>
    <row r="82" spans="1:29" x14ac:dyDescent="0.25">
      <c r="A82" s="59" t="str">
        <f>A45</f>
        <v>Market failure (av. utilization)</v>
      </c>
      <c r="B82" s="66">
        <f t="shared" ref="B82:AC82" si="73">B71/B45-B71/B44</f>
        <v>7.4197014833875218E-3</v>
      </c>
      <c r="C82" s="66">
        <f t="shared" si="73"/>
        <v>7.268751141009196E-3</v>
      </c>
      <c r="D82" s="66">
        <f t="shared" si="73"/>
        <v>7.1174220953204026E-3</v>
      </c>
      <c r="E82" s="66">
        <f t="shared" si="73"/>
        <v>7.0109946120725328E-3</v>
      </c>
      <c r="F82" s="66">
        <f t="shared" si="73"/>
        <v>6.9037957548659067E-3</v>
      </c>
      <c r="G82" s="66">
        <f t="shared" si="73"/>
        <v>6.795514667320408E-3</v>
      </c>
      <c r="H82" s="66">
        <f t="shared" si="73"/>
        <v>6.6857213515007941E-3</v>
      </c>
      <c r="I82" s="66">
        <f t="shared" si="73"/>
        <v>6.5738274744177767E-3</v>
      </c>
      <c r="J82" s="66">
        <f t="shared" si="73"/>
        <v>6.55885226621661E-3</v>
      </c>
      <c r="K82" s="66">
        <f t="shared" si="73"/>
        <v>6.5395659383180853E-3</v>
      </c>
      <c r="L82" s="66">
        <f t="shared" si="73"/>
        <v>6.5144346358129053E-3</v>
      </c>
      <c r="M82" s="66">
        <f t="shared" si="73"/>
        <v>6.4815858794727982E-3</v>
      </c>
      <c r="N82" s="66">
        <f t="shared" si="73"/>
        <v>6.4389364168107675E-3</v>
      </c>
      <c r="O82" s="66">
        <f t="shared" si="73"/>
        <v>6.2829449146597251E-3</v>
      </c>
      <c r="P82" s="66">
        <f t="shared" si="73"/>
        <v>6.1156586994309675E-3</v>
      </c>
      <c r="Q82" s="66">
        <f t="shared" si="73"/>
        <v>5.9379733492241019E-3</v>
      </c>
      <c r="R82" s="66">
        <f t="shared" si="73"/>
        <v>5.7529814083218094E-3</v>
      </c>
      <c r="S82" s="66">
        <f t="shared" si="73"/>
        <v>5.5658835288249411E-3</v>
      </c>
      <c r="T82" s="66">
        <f t="shared" si="73"/>
        <v>5.390089693393706E-3</v>
      </c>
      <c r="U82" s="66">
        <f t="shared" si="73"/>
        <v>5.2237690293693642E-3</v>
      </c>
      <c r="V82" s="66">
        <f t="shared" si="73"/>
        <v>5.0703481332616696E-3</v>
      </c>
      <c r="W82" s="66">
        <f t="shared" si="73"/>
        <v>4.9307272514750259E-3</v>
      </c>
      <c r="X82" s="66">
        <f t="shared" si="73"/>
        <v>4.803823251118923E-3</v>
      </c>
      <c r="Y82" s="66">
        <f t="shared" si="73"/>
        <v>4.7029853697480358E-3</v>
      </c>
      <c r="Z82" s="66">
        <f t="shared" si="73"/>
        <v>4.6102478986424708E-3</v>
      </c>
      <c r="AA82" s="66">
        <f t="shared" si="73"/>
        <v>4.5234970192989561E-3</v>
      </c>
      <c r="AB82" s="66">
        <f t="shared" si="73"/>
        <v>4.4410183889885269E-3</v>
      </c>
      <c r="AC82" s="66">
        <f t="shared" si="73"/>
        <v>4.3615159921940021E-3</v>
      </c>
    </row>
    <row r="83" spans="1:29" x14ac:dyDescent="0.25">
      <c r="A83" s="59" t="str">
        <f>A46</f>
        <v>Payload loss (fuel)</v>
      </c>
      <c r="B83" s="66">
        <f>B71/(B44-B46)-B71/B44</f>
        <v>1.7510189894861146E-3</v>
      </c>
      <c r="C83" s="66">
        <f t="shared" ref="C83:AC83" si="74">C71/(C44-C46)-C71/C44</f>
        <v>1.7150329995306527E-3</v>
      </c>
      <c r="D83" s="66">
        <f t="shared" si="74"/>
        <v>1.6788196671535353E-3</v>
      </c>
      <c r="E83" s="66">
        <f t="shared" si="74"/>
        <v>1.6530005275780229E-3</v>
      </c>
      <c r="F83" s="66">
        <f t="shared" si="74"/>
        <v>1.6267189790010669E-3</v>
      </c>
      <c r="G83" s="66">
        <f t="shared" si="74"/>
        <v>1.5997906137081314E-3</v>
      </c>
      <c r="H83" s="66">
        <f t="shared" si="74"/>
        <v>1.5719616800230398E-3</v>
      </c>
      <c r="I83" s="66">
        <f t="shared" si="74"/>
        <v>1.5428873623229717E-3</v>
      </c>
      <c r="J83" s="66">
        <f t="shared" si="74"/>
        <v>1.5354743577512733E-3</v>
      </c>
      <c r="K83" s="66">
        <f t="shared" si="74"/>
        <v>1.5255055436959944E-3</v>
      </c>
      <c r="L83" s="66">
        <f t="shared" si="74"/>
        <v>1.5120959165187235E-3</v>
      </c>
      <c r="M83" s="66">
        <f t="shared" si="74"/>
        <v>1.494188510107259E-3</v>
      </c>
      <c r="N83" s="66">
        <f t="shared" si="74"/>
        <v>1.4706502873132743E-3</v>
      </c>
      <c r="O83" s="66">
        <f t="shared" si="74"/>
        <v>1.4175755565033095E-3</v>
      </c>
      <c r="P83" s="66">
        <f t="shared" si="74"/>
        <v>1.3585031637831976E-3</v>
      </c>
      <c r="Q83" s="66">
        <f t="shared" si="74"/>
        <v>1.294263610028084E-3</v>
      </c>
      <c r="R83" s="66">
        <f t="shared" si="74"/>
        <v>1.2269086230121632E-3</v>
      </c>
      <c r="S83" s="66">
        <f t="shared" si="74"/>
        <v>1.1595098861748258E-3</v>
      </c>
      <c r="T83" s="66">
        <f t="shared" si="74"/>
        <v>1.0968918706937125E-3</v>
      </c>
      <c r="U83" s="66">
        <f t="shared" si="74"/>
        <v>1.0402013885822108E-3</v>
      </c>
      <c r="V83" s="66">
        <f t="shared" si="74"/>
        <v>9.9087234941482721E-4</v>
      </c>
      <c r="W83" s="66">
        <f t="shared" si="74"/>
        <v>9.4900470254512086E-4</v>
      </c>
      <c r="X83" s="66">
        <f t="shared" si="74"/>
        <v>9.1376361822187099E-4</v>
      </c>
      <c r="Y83" s="66">
        <f t="shared" si="74"/>
        <v>8.8681188996969293E-4</v>
      </c>
      <c r="Z83" s="66">
        <f t="shared" si="74"/>
        <v>8.6388521795660415E-4</v>
      </c>
      <c r="AA83" s="66">
        <f t="shared" si="74"/>
        <v>8.4389203339915904E-4</v>
      </c>
      <c r="AB83" s="66">
        <f t="shared" si="74"/>
        <v>8.2597082443253665E-4</v>
      </c>
      <c r="AC83" s="66">
        <f t="shared" si="74"/>
        <v>8.094818986598834E-4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2.4923789525740158E-2</v>
      </c>
      <c r="C85" s="67">
        <f t="shared" ref="C85:AC85" si="76">C74+C75+C76+C77+C78+C79+C80+C81+C82+C83+C84</f>
        <v>2.4416083715852424E-2</v>
      </c>
      <c r="D85" s="67">
        <f t="shared" si="76"/>
        <v>2.3906967115697828E-2</v>
      </c>
      <c r="E85" s="67">
        <f t="shared" si="76"/>
        <v>2.3548562090972724E-2</v>
      </c>
      <c r="F85" s="67">
        <f t="shared" si="76"/>
        <v>2.3187284113625063E-2</v>
      </c>
      <c r="G85" s="67">
        <f t="shared" si="76"/>
        <v>2.2821977349752443E-2</v>
      </c>
      <c r="H85" s="67">
        <f t="shared" si="76"/>
        <v>2.2451044304131057E-2</v>
      </c>
      <c r="I85" s="67">
        <f t="shared" si="76"/>
        <v>2.2072301620546561E-2</v>
      </c>
      <c r="J85" s="67">
        <f t="shared" si="76"/>
        <v>2.2018091090346213E-2</v>
      </c>
      <c r="K85" s="67">
        <f t="shared" si="76"/>
        <v>2.1947852501608051E-2</v>
      </c>
      <c r="L85" s="67">
        <f t="shared" si="76"/>
        <v>2.1855907554102088E-2</v>
      </c>
      <c r="M85" s="67">
        <f t="shared" si="76"/>
        <v>2.1735347784127789E-2</v>
      </c>
      <c r="N85" s="67">
        <f t="shared" si="76"/>
        <v>2.1578529990514954E-2</v>
      </c>
      <c r="O85" s="67">
        <f t="shared" si="76"/>
        <v>2.1037981815482987E-2</v>
      </c>
      <c r="P85" s="67">
        <f t="shared" si="76"/>
        <v>2.0456140000173005E-2</v>
      </c>
      <c r="Q85" s="67">
        <f t="shared" si="76"/>
        <v>1.9836633727021439E-2</v>
      </c>
      <c r="R85" s="67">
        <f t="shared" si="76"/>
        <v>1.9191178924685852E-2</v>
      </c>
      <c r="S85" s="67">
        <f t="shared" si="76"/>
        <v>1.8539099314420805E-2</v>
      </c>
      <c r="T85" s="67">
        <f t="shared" si="76"/>
        <v>1.7927125563217079E-2</v>
      </c>
      <c r="U85" s="67">
        <f t="shared" si="76"/>
        <v>1.7350683006029509E-2</v>
      </c>
      <c r="V85" s="67">
        <f t="shared" si="76"/>
        <v>1.6821913666525579E-2</v>
      </c>
      <c r="W85" s="67">
        <f t="shared" si="76"/>
        <v>1.6343730764072611E-2</v>
      </c>
      <c r="X85" s="67">
        <f t="shared" si="76"/>
        <v>1.5911914678636535E-2</v>
      </c>
      <c r="Y85" s="67">
        <f t="shared" si="76"/>
        <v>1.5569844571100338E-2</v>
      </c>
      <c r="Z85" s="67">
        <f t="shared" si="76"/>
        <v>1.5257113301882359E-2</v>
      </c>
      <c r="AA85" s="67">
        <f t="shared" si="76"/>
        <v>1.4966023619376432E-2</v>
      </c>
      <c r="AB85" s="67">
        <f t="shared" si="76"/>
        <v>1.4690356690689721E-2</v>
      </c>
      <c r="AC85" s="67">
        <f t="shared" si="76"/>
        <v>1.4425422774934169E-2</v>
      </c>
    </row>
    <row r="87" spans="1:29" x14ac:dyDescent="0.25">
      <c r="B87" s="40"/>
    </row>
    <row r="107" spans="1:2" s="3" customFormat="1" ht="21" x14ac:dyDescent="0.35">
      <c r="A107" s="2" t="str">
        <f>'Parameter Input'!A223</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Input'!$L$237</f>
        <v>30000000</v>
      </c>
      <c r="C117" s="42">
        <f>'Parameter Input'!$M$237</f>
        <v>19500000</v>
      </c>
      <c r="D117" s="1" t="s">
        <v>15</v>
      </c>
      <c r="L117" s="51">
        <f>'Parameter Input'!$O$237</f>
        <v>17</v>
      </c>
      <c r="M117" s="52">
        <v>0</v>
      </c>
      <c r="N117" s="52">
        <v>1</v>
      </c>
      <c r="O117" s="52">
        <f>'Parameter Input'!$P$237</f>
        <v>0.9</v>
      </c>
      <c r="P117" s="53">
        <f>'Parameter Input'!$Q$237</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Input'!$L$238</f>
        <v>-1500000</v>
      </c>
      <c r="C118" s="61">
        <f>'Parameter Input'!$M$238</f>
        <v>-1950000</v>
      </c>
      <c r="D118" s="1" t="s">
        <v>15</v>
      </c>
      <c r="L118" s="54">
        <f>'Parameter Input'!$O$238</f>
        <v>17</v>
      </c>
      <c r="M118" s="37">
        <v>0</v>
      </c>
      <c r="N118" s="37">
        <v>1</v>
      </c>
      <c r="O118" s="37">
        <f>'Parameter Input'!$P$238</f>
        <v>0.9</v>
      </c>
      <c r="P118" s="55">
        <f>'Parameter Input'!$Q$238</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Input'!$L$244</f>
        <v>0.06</v>
      </c>
      <c r="C121" s="91">
        <f>'Parameter Input'!$M$244</f>
        <v>0.06</v>
      </c>
      <c r="D121" s="1" t="s">
        <v>57</v>
      </c>
      <c r="L121" s="54">
        <f>'Parameter Input'!$O$244</f>
        <v>17</v>
      </c>
      <c r="M121" s="37">
        <v>0</v>
      </c>
      <c r="N121" s="37">
        <v>1</v>
      </c>
      <c r="O121" s="37">
        <f>'Parameter Input'!$P$244</f>
        <v>0.9</v>
      </c>
      <c r="P121" s="55">
        <f>'Parameter Input'!$Q$244</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Input'!$L$240</f>
        <v>338823.5294117647</v>
      </c>
      <c r="C123" s="61">
        <f>'Parameter Input'!$M$240</f>
        <v>338823.5294117647</v>
      </c>
      <c r="D123" s="1" t="s">
        <v>38</v>
      </c>
      <c r="L123" s="54">
        <f>'Parameter Input'!$O$240</f>
        <v>17</v>
      </c>
      <c r="M123" s="37">
        <v>0</v>
      </c>
      <c r="N123" s="37">
        <v>1</v>
      </c>
      <c r="O123" s="37">
        <f>'Parameter Input'!$P$240</f>
        <v>0.9</v>
      </c>
      <c r="P123" s="55">
        <f>'Parameter Input'!$Q$240</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Input'!$L$241</f>
        <v>589</v>
      </c>
      <c r="C125" s="61">
        <f>'Parameter Input'!$M$241</f>
        <v>519</v>
      </c>
      <c r="D125" s="1" t="s">
        <v>60</v>
      </c>
      <c r="L125" s="54">
        <f>'Parameter Input'!$O$241</f>
        <v>17</v>
      </c>
      <c r="M125" s="37">
        <v>0</v>
      </c>
      <c r="N125" s="37">
        <v>1</v>
      </c>
      <c r="O125" s="37">
        <f>'Parameter Input'!$P$241</f>
        <v>0.9</v>
      </c>
      <c r="P125" s="55">
        <f>'Parameter Input'!$Q$241</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Input'!$L$242</f>
        <v>0.2544561408768215</v>
      </c>
      <c r="C126" s="61">
        <f>'Parameter Input'!$M$242</f>
        <v>0.10949010032952979</v>
      </c>
      <c r="D126" s="1" t="s">
        <v>68</v>
      </c>
      <c r="L126" s="54">
        <f>'Parameter Input'!$O$242</f>
        <v>12</v>
      </c>
      <c r="M126" s="37">
        <v>0</v>
      </c>
      <c r="N126" s="37">
        <v>1</v>
      </c>
      <c r="O126" s="37">
        <f>'Parameter Input'!$P$242</f>
        <v>0.9</v>
      </c>
      <c r="P126" s="55">
        <f>'Parameter Input'!$Q$242</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Input'!$L$245</f>
        <v>0</v>
      </c>
      <c r="C127" s="116">
        <f>'Parameter Input'!$M$245</f>
        <v>0</v>
      </c>
      <c r="D127" s="1" t="s">
        <v>76</v>
      </c>
      <c r="L127" s="54">
        <f>'Parameter Input'!$O$245</f>
        <v>17</v>
      </c>
      <c r="M127" s="37">
        <v>0</v>
      </c>
      <c r="N127" s="37">
        <v>1</v>
      </c>
      <c r="O127" s="37">
        <f>'Parameter Input'!$P$245</f>
        <v>0.9</v>
      </c>
      <c r="P127" s="55">
        <f>'Parameter Input'!$Q$245</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Input'!$L$239</f>
        <v>25</v>
      </c>
      <c r="C128" s="61">
        <f>'Parameter Input'!$M$239</f>
        <v>25</v>
      </c>
      <c r="D128" s="1" t="s">
        <v>42</v>
      </c>
      <c r="L128" s="54">
        <f>'Parameter Input'!$O$239</f>
        <v>17</v>
      </c>
      <c r="M128" s="37">
        <v>0</v>
      </c>
      <c r="N128" s="37">
        <v>1</v>
      </c>
      <c r="O128" s="37">
        <f>'Parameter Input'!$P$239</f>
        <v>0.9</v>
      </c>
      <c r="P128" s="55">
        <f>'Parameter Input'!$Q$239</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Input'!$L$243</f>
        <v>0.1</v>
      </c>
      <c r="C132" s="46">
        <f>'Parameter Input'!$M$243</f>
        <v>0.08</v>
      </c>
      <c r="D132" s="1" t="s">
        <v>57</v>
      </c>
      <c r="L132" s="54">
        <f>'Parameter Input'!$O$243</f>
        <v>17</v>
      </c>
      <c r="M132" s="37">
        <v>0</v>
      </c>
      <c r="N132" s="37">
        <v>1</v>
      </c>
      <c r="O132" s="37">
        <f>'Parameter Input'!$P$243</f>
        <v>0.9</v>
      </c>
      <c r="P132" s="55">
        <f>'Parameter Input'!$Q$243</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29976939.327065244</v>
      </c>
      <c r="C137" s="62">
        <f t="shared" ref="C137:C145" si="84">$B117+($C117-$B117)*(1-R117)</f>
        <v>29966962.72810192</v>
      </c>
      <c r="D137" s="62">
        <f t="shared" ref="D137:D145" si="85">$B117+($C117-$B117)*(1-S117)</f>
        <v>29952681.448896747</v>
      </c>
      <c r="E137" s="62">
        <f t="shared" ref="E137:E145" si="86">$B117+($C117-$B117)*(1-T117)</f>
        <v>29932251.074689295</v>
      </c>
      <c r="F137" s="62">
        <f t="shared" ref="F137:F145" si="87">$B117+($C117-$B117)*(1-U117)</f>
        <v>29903051.561760955</v>
      </c>
      <c r="G137" s="62">
        <f t="shared" ref="G137:G145" si="88">$B117+($C117-$B117)*(1-V117)</f>
        <v>29861377.546535794</v>
      </c>
      <c r="H137" s="62">
        <f t="shared" ref="H137:H145" si="89">$B117+($C117-$B117)*(1-W117)</f>
        <v>29802023.525100116</v>
      </c>
      <c r="I137" s="62">
        <f t="shared" ref="I137:I145" si="90">$B117+($C117-$B117)*(1-X117)</f>
        <v>29717749.323166564</v>
      </c>
      <c r="J137" s="62">
        <f t="shared" ref="J137:J145" si="91">$B117+($C117-$B117)*(1-Y117)</f>
        <v>29598635.836967241</v>
      </c>
      <c r="K137" s="62">
        <f t="shared" ref="K137:K145" si="92">$B117+($C117-$B117)*(1-Z117)</f>
        <v>29431402.651328694</v>
      </c>
      <c r="L137" s="62">
        <f t="shared" ref="L137:L145" si="93">$B117+($C117-$B117)*(1-AA117)</f>
        <v>29198887.815764856</v>
      </c>
      <c r="M137" s="62">
        <f t="shared" ref="M137:M145" si="94">$B117+($C117-$B117)*(1-AB117)</f>
        <v>28880118.674604136</v>
      </c>
      <c r="N137" s="62">
        <f t="shared" ref="N137:N145" si="95">$B117+($C117-$B117)*(1-AC117)</f>
        <v>28451727.106804334</v>
      </c>
      <c r="O137" s="62">
        <f t="shared" ref="O137:O145" si="96">$B117+($C117-$B117)*(1-AD117)</f>
        <v>27891736.568525508</v>
      </c>
      <c r="P137" s="62">
        <f t="shared" ref="P137:P145" si="97">$B117+($C117-$B117)*(1-AE117)</f>
        <v>27186523.136249304</v>
      </c>
      <c r="Q137" s="62">
        <f t="shared" ref="Q137:Q145" si="98">$B117+($C117-$B117)*(1-AF117)</f>
        <v>26340287.260672603</v>
      </c>
      <c r="R137" s="62">
        <f t="shared" ref="R137:R145" si="99">$B117+($C117-$B117)*(1-AG117)</f>
        <v>25383386.027489204</v>
      </c>
      <c r="S137" s="62">
        <f t="shared" ref="S137:S145" si="100">$B117+($C117-$B117)*(1-AH117)</f>
        <v>24373189.321684461</v>
      </c>
      <c r="T137" s="62">
        <f t="shared" ref="T137:T145" si="101">$B117+($C117-$B117)*(1-AI117)</f>
        <v>23382871.397530012</v>
      </c>
      <c r="U137" s="62">
        <f t="shared" ref="U137:U145" si="102">$B117+($C117-$B117)*(1-AJ117)</f>
        <v>22481364.606909275</v>
      </c>
      <c r="V137" s="62">
        <f t="shared" ref="V137:V145" si="103">$B117+($C117-$B117)*(1-AK117)</f>
        <v>21715212.211917363</v>
      </c>
      <c r="W137" s="62">
        <f t="shared" ref="W137:W145" si="104">$B117+($C117-$B117)*(1-AL117)</f>
        <v>21101661.353648812</v>
      </c>
      <c r="X137" s="62">
        <f t="shared" ref="X137:X145" si="105">$B117+($C117-$B117)*(1-AM117)</f>
        <v>20633494.81745955</v>
      </c>
      <c r="Y137" s="62">
        <f t="shared" ref="Y137:Y145" si="106">$B117+($C117-$B117)*(1-AN117)</f>
        <v>20289354.866349965</v>
      </c>
      <c r="Z137" s="62">
        <f t="shared" ref="Z137:Z145" si="107">$B117+($C117-$B117)*(1-AO117)</f>
        <v>20043299.779863775</v>
      </c>
      <c r="AA137" s="62">
        <f t="shared" ref="AA137:AA145" si="108">$B117+($C117-$B117)*(1-AP117)</f>
        <v>19870851.501566134</v>
      </c>
      <c r="AB137" s="62">
        <f t="shared" ref="AB137:AB145" si="109">$B117+($C117-$B117)*(1-AQ117)</f>
        <v>19751679.141762912</v>
      </c>
      <c r="AC137" s="62">
        <f t="shared" ref="AC137:AC145" si="110">$B117+($C117-$B117)*(1-AR117)</f>
        <v>19670123.557363093</v>
      </c>
    </row>
    <row r="138" spans="1:44" x14ac:dyDescent="0.25">
      <c r="A138" s="30" t="str">
        <f t="shared" si="82"/>
        <v>Residual value (vehicle)</v>
      </c>
      <c r="B138" s="62">
        <f t="shared" si="83"/>
        <v>-1500988.3145543465</v>
      </c>
      <c r="C138" s="62">
        <f t="shared" si="84"/>
        <v>-1501415.8830813463</v>
      </c>
      <c r="D138" s="62">
        <f t="shared" si="85"/>
        <v>-1502027.9379044252</v>
      </c>
      <c r="E138" s="62">
        <f t="shared" si="86"/>
        <v>-1502903.5253704586</v>
      </c>
      <c r="F138" s="62">
        <f t="shared" si="87"/>
        <v>-1504154.9330673877</v>
      </c>
      <c r="G138" s="62">
        <f t="shared" si="88"/>
        <v>-1505940.9622913231</v>
      </c>
      <c r="H138" s="62">
        <f t="shared" si="89"/>
        <v>-1508484.7060671379</v>
      </c>
      <c r="I138" s="62">
        <f t="shared" si="90"/>
        <v>-1512096.4575785759</v>
      </c>
      <c r="J138" s="62">
        <f t="shared" si="91"/>
        <v>-1517201.3212728326</v>
      </c>
      <c r="K138" s="62">
        <f t="shared" si="92"/>
        <v>-1524368.4578001988</v>
      </c>
      <c r="L138" s="62">
        <f t="shared" si="93"/>
        <v>-1534333.3793243633</v>
      </c>
      <c r="M138" s="62">
        <f t="shared" si="94"/>
        <v>-1547994.9139455371</v>
      </c>
      <c r="N138" s="62">
        <f t="shared" si="95"/>
        <v>-1566354.5525655285</v>
      </c>
      <c r="O138" s="62">
        <f t="shared" si="96"/>
        <v>-1590354.1470631924</v>
      </c>
      <c r="P138" s="62">
        <f t="shared" si="97"/>
        <v>-1620577.5798750299</v>
      </c>
      <c r="Q138" s="62">
        <f t="shared" si="98"/>
        <v>-1656844.8316854599</v>
      </c>
      <c r="R138" s="62">
        <f t="shared" si="99"/>
        <v>-1697854.8845361769</v>
      </c>
      <c r="S138" s="62">
        <f t="shared" si="100"/>
        <v>-1741149.0290706661</v>
      </c>
      <c r="T138" s="62">
        <f t="shared" si="101"/>
        <v>-1783591.2258201423</v>
      </c>
      <c r="U138" s="62">
        <f t="shared" si="102"/>
        <v>-1822227.2311324596</v>
      </c>
      <c r="V138" s="62">
        <f t="shared" si="103"/>
        <v>-1855062.3337749701</v>
      </c>
      <c r="W138" s="62">
        <f t="shared" si="104"/>
        <v>-1881357.370557908</v>
      </c>
      <c r="X138" s="62">
        <f t="shared" si="105"/>
        <v>-1901421.650680305</v>
      </c>
      <c r="Y138" s="62">
        <f t="shared" si="106"/>
        <v>-1916170.5057278587</v>
      </c>
      <c r="Z138" s="62">
        <f t="shared" si="107"/>
        <v>-1926715.723720124</v>
      </c>
      <c r="AA138" s="62">
        <f t="shared" si="108"/>
        <v>-1934106.3642185943</v>
      </c>
      <c r="AB138" s="62">
        <f t="shared" si="109"/>
        <v>-1939213.7510673038</v>
      </c>
      <c r="AC138" s="62">
        <f t="shared" si="110"/>
        <v>-1942708.9903987246</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2">
        <f>'Parameter Input'!J5</f>
        <v>0.19695917693522813</v>
      </c>
      <c r="C146" s="62">
        <f>'Parameter Input'!K5</f>
        <v>0.1918445490889919</v>
      </c>
      <c r="D146" s="62">
        <f>'Parameter Input'!L5</f>
        <v>0.1867299212427557</v>
      </c>
      <c r="E146" s="62">
        <f>'Parameter Input'!M5</f>
        <v>0.18316543121930073</v>
      </c>
      <c r="F146" s="62">
        <f>'Parameter Input'!N5</f>
        <v>0.1796009411958458</v>
      </c>
      <c r="G146" s="62">
        <f>'Parameter Input'!O5</f>
        <v>0.17603645117239083</v>
      </c>
      <c r="H146" s="62">
        <f>'Parameter Input'!P5</f>
        <v>0.17247196114893587</v>
      </c>
      <c r="I146" s="62">
        <f>'Parameter Input'!Q5</f>
        <v>0.16890747112548093</v>
      </c>
      <c r="J146" s="62">
        <f>'Parameter Input'!R5</f>
        <v>0.16876144856602932</v>
      </c>
      <c r="K146" s="62">
        <f>'Parameter Input'!S5</f>
        <v>0.16861542600657767</v>
      </c>
      <c r="L146" s="62">
        <f>'Parameter Input'!T5</f>
        <v>0.16846940344712602</v>
      </c>
      <c r="M146" s="62">
        <f>'Parameter Input'!U5</f>
        <v>0.1683233808876744</v>
      </c>
      <c r="N146" s="62">
        <f>'Parameter Input'!V5</f>
        <v>0.16817735832822278</v>
      </c>
      <c r="O146" s="62">
        <f>'Parameter Input'!W5</f>
        <v>0.16448316805908789</v>
      </c>
      <c r="P146" s="62">
        <f>'Parameter Input'!X5</f>
        <v>0.16078897778995299</v>
      </c>
      <c r="Q146" s="62">
        <f>'Parameter Input'!Y5</f>
        <v>0.15709478752081807</v>
      </c>
      <c r="R146" s="62">
        <f>'Parameter Input'!Z5</f>
        <v>0.15340059725168312</v>
      </c>
      <c r="S146" s="62">
        <f>'Parameter Input'!AA5</f>
        <v>0.1497064069825482</v>
      </c>
      <c r="T146" s="62">
        <f>'Parameter Input'!AB5</f>
        <v>0.14627718374621171</v>
      </c>
      <c r="U146" s="62">
        <f>'Parameter Input'!AC5</f>
        <v>0.14284796050987525</v>
      </c>
      <c r="V146" s="62">
        <f>'Parameter Input'!AD5</f>
        <v>0.13941873727353876</v>
      </c>
      <c r="W146" s="62">
        <f>'Parameter Input'!AE5</f>
        <v>0.13598951403720227</v>
      </c>
      <c r="X146" s="62">
        <f>'Parameter Input'!AF5</f>
        <v>0.13256029080086582</v>
      </c>
      <c r="Y146" s="62">
        <f>'Parameter Input'!AG5</f>
        <v>0.12972417970496936</v>
      </c>
      <c r="Z146" s="62">
        <f>'Parameter Input'!AH5</f>
        <v>0.12688806860907287</v>
      </c>
      <c r="AA146" s="62">
        <f>'Parameter Input'!AI5</f>
        <v>0.12405195751317638</v>
      </c>
      <c r="AB146" s="62">
        <f>'Parameter Input'!AJ5</f>
        <v>0.12121584641727991</v>
      </c>
      <c r="AC146" s="62">
        <f>'Parameter Input'!AK5</f>
        <v>0.11837973532138339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944.5849078871745</v>
      </c>
      <c r="C152" s="62">
        <f t="shared" si="116"/>
        <v>944.40532910583465</v>
      </c>
      <c r="D152" s="62">
        <f t="shared" si="116"/>
        <v>944.14826608014141</v>
      </c>
      <c r="E152" s="62">
        <f t="shared" si="116"/>
        <v>943.78051934440748</v>
      </c>
      <c r="F152" s="62">
        <f t="shared" si="116"/>
        <v>943.25492811169715</v>
      </c>
      <c r="G152" s="62">
        <f t="shared" si="116"/>
        <v>942.50479583764434</v>
      </c>
      <c r="H152" s="62">
        <f t="shared" si="116"/>
        <v>941.43642345180217</v>
      </c>
      <c r="I152" s="62">
        <f t="shared" si="116"/>
        <v>939.91948781699818</v>
      </c>
      <c r="J152" s="62">
        <f t="shared" si="116"/>
        <v>937.77544506541028</v>
      </c>
      <c r="K152" s="62">
        <f t="shared" si="116"/>
        <v>934.76524772391656</v>
      </c>
      <c r="L152" s="62">
        <f t="shared" si="117"/>
        <v>930.57998068376753</v>
      </c>
      <c r="M152" s="62">
        <f t="shared" si="117"/>
        <v>924.84213614287444</v>
      </c>
      <c r="N152" s="62">
        <f t="shared" si="117"/>
        <v>917.13108792247806</v>
      </c>
      <c r="O152" s="62">
        <f t="shared" si="117"/>
        <v>907.05125823345929</v>
      </c>
      <c r="P152" s="62">
        <f t="shared" si="117"/>
        <v>894.35741645248754</v>
      </c>
      <c r="Q152" s="62">
        <f t="shared" si="117"/>
        <v>879.12517069210696</v>
      </c>
      <c r="R152" s="62">
        <f t="shared" si="117"/>
        <v>861.90094849480568</v>
      </c>
      <c r="S152" s="62">
        <f t="shared" si="117"/>
        <v>843.71740779032029</v>
      </c>
      <c r="T152" s="62">
        <f t="shared" si="117"/>
        <v>825.89168515554024</v>
      </c>
      <c r="U152" s="62">
        <f t="shared" si="117"/>
        <v>809.66456292436703</v>
      </c>
      <c r="V152" s="62">
        <f t="shared" si="118"/>
        <v>795.87381981451244</v>
      </c>
      <c r="W152" s="62">
        <f t="shared" si="118"/>
        <v>784.82990436567866</v>
      </c>
      <c r="X152" s="62">
        <f t="shared" si="118"/>
        <v>776.40290671427192</v>
      </c>
      <c r="Y152" s="62">
        <f t="shared" si="118"/>
        <v>770.20838759429932</v>
      </c>
      <c r="Z152" s="62">
        <f t="shared" si="118"/>
        <v>765.77939603754794</v>
      </c>
      <c r="AA152" s="62">
        <f t="shared" si="118"/>
        <v>762.6753270281904</v>
      </c>
      <c r="AB152" s="62">
        <f t="shared" si="118"/>
        <v>760.53022455173243</v>
      </c>
      <c r="AC152" s="62">
        <f t="shared" si="118"/>
        <v>759.0622240325356</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0">((1+C141)^C148)*C141/(((1+C141)^C148)-1)*(C137)</f>
        <v>2344217.1490089451</v>
      </c>
      <c r="D156" s="63">
        <f t="shared" si="120"/>
        <v>2343099.9714048514</v>
      </c>
      <c r="E156" s="63">
        <f t="shared" si="120"/>
        <v>2341501.7702787537</v>
      </c>
      <c r="F156" s="63">
        <f t="shared" si="120"/>
        <v>2339217.5882089725</v>
      </c>
      <c r="G156" s="63">
        <f t="shared" si="120"/>
        <v>2335957.5667631798</v>
      </c>
      <c r="H156" s="63">
        <f t="shared" si="120"/>
        <v>2331314.496453566</v>
      </c>
      <c r="I156" s="63">
        <f t="shared" si="120"/>
        <v>2324722.0022063456</v>
      </c>
      <c r="J156" s="63">
        <f t="shared" si="120"/>
        <v>2315404.1450861497</v>
      </c>
      <c r="K156" s="63">
        <f t="shared" si="120"/>
        <v>2302322.0417974619</v>
      </c>
      <c r="L156" s="63">
        <f t="shared" si="120"/>
        <v>2284133.1692756363</v>
      </c>
      <c r="M156" s="63">
        <f t="shared" si="120"/>
        <v>2259196.9054952883</v>
      </c>
      <c r="N156" s="63">
        <f t="shared" si="120"/>
        <v>2225685.2390364991</v>
      </c>
      <c r="O156" s="63">
        <f t="shared" si="120"/>
        <v>2181879.0169970216</v>
      </c>
      <c r="P156" s="63">
        <f t="shared" si="120"/>
        <v>2126712.4845508407</v>
      </c>
      <c r="Q156" s="63">
        <f t="shared" si="120"/>
        <v>2060514.2291709851</v>
      </c>
      <c r="R156" s="63">
        <f t="shared" si="120"/>
        <v>1985658.9860457699</v>
      </c>
      <c r="S156" s="63">
        <f t="shared" si="120"/>
        <v>1906634.6130018148</v>
      </c>
      <c r="T156" s="63">
        <f t="shared" si="120"/>
        <v>1829165.2918084206</v>
      </c>
      <c r="U156" s="63">
        <f t="shared" si="120"/>
        <v>1758643.3741320807</v>
      </c>
      <c r="V156" s="63">
        <f t="shared" si="120"/>
        <v>1698709.7866213897</v>
      </c>
      <c r="W156" s="63">
        <f t="shared" si="120"/>
        <v>1650713.7165227169</v>
      </c>
      <c r="X156" s="63">
        <f t="shared" si="120"/>
        <v>1614090.584819823</v>
      </c>
      <c r="Y156" s="63">
        <f t="shared" si="120"/>
        <v>1587169.645838788</v>
      </c>
      <c r="Z156" s="63">
        <f t="shared" si="120"/>
        <v>1567921.5639235359</v>
      </c>
      <c r="AA156" s="63">
        <f t="shared" si="120"/>
        <v>1554431.5010509547</v>
      </c>
      <c r="AB156" s="63">
        <f t="shared" si="120"/>
        <v>1545109.0384419363</v>
      </c>
      <c r="AC156" s="63">
        <f t="shared" si="120"/>
        <v>1538729.2127224542</v>
      </c>
    </row>
    <row r="157" spans="1:29" x14ac:dyDescent="0.25">
      <c r="A157" s="30" t="str">
        <f>A138</f>
        <v>Residual value (vehicle)</v>
      </c>
      <c r="B157" s="62">
        <f>((1+B141)^B148)*B141/(((1+B141)^B148)-1)*(B138)</f>
        <v>-117417.38992255888</v>
      </c>
      <c r="C157" s="62">
        <f t="shared" ref="C157:AC157" si="121">((1+C141)^C148)*C141/(((1+C141)^C148)-1)*(C138)</f>
        <v>-117450.83720523692</v>
      </c>
      <c r="D157" s="62">
        <f t="shared" si="121"/>
        <v>-117498.71624541239</v>
      </c>
      <c r="E157" s="62">
        <f t="shared" si="121"/>
        <v>-117567.21057938797</v>
      </c>
      <c r="F157" s="62">
        <f t="shared" si="121"/>
        <v>-117665.10409666432</v>
      </c>
      <c r="G157" s="62">
        <f t="shared" si="121"/>
        <v>-117804.81930148401</v>
      </c>
      <c r="H157" s="62">
        <f t="shared" si="121"/>
        <v>-118003.80802903889</v>
      </c>
      <c r="I157" s="62">
        <f t="shared" si="121"/>
        <v>-118286.34349677691</v>
      </c>
      <c r="J157" s="62">
        <f t="shared" si="121"/>
        <v>-118685.68023049959</v>
      </c>
      <c r="K157" s="62">
        <f t="shared" si="121"/>
        <v>-119246.34180001476</v>
      </c>
      <c r="L157" s="62">
        <f t="shared" si="121"/>
        <v>-120025.864908093</v>
      </c>
      <c r="M157" s="62">
        <f t="shared" si="121"/>
        <v>-121094.56192725079</v>
      </c>
      <c r="N157" s="62">
        <f t="shared" si="121"/>
        <v>-122530.77620405605</v>
      </c>
      <c r="O157" s="62">
        <f t="shared" si="121"/>
        <v>-124408.18572003364</v>
      </c>
      <c r="P157" s="62">
        <f t="shared" si="121"/>
        <v>-126772.46568201284</v>
      </c>
      <c r="Q157" s="62">
        <f t="shared" si="121"/>
        <v>-129609.53376972093</v>
      </c>
      <c r="R157" s="62">
        <f t="shared" si="121"/>
        <v>-132817.61561794442</v>
      </c>
      <c r="S157" s="62">
        <f t="shared" si="121"/>
        <v>-136204.37446268537</v>
      </c>
      <c r="T157" s="62">
        <f t="shared" si="121"/>
        <v>-139524.48822811653</v>
      </c>
      <c r="U157" s="62">
        <f t="shared" si="121"/>
        <v>-142546.8561285311</v>
      </c>
      <c r="V157" s="62">
        <f t="shared" si="121"/>
        <v>-145115.43845041786</v>
      </c>
      <c r="W157" s="62">
        <f t="shared" si="121"/>
        <v>-147172.41288321812</v>
      </c>
      <c r="X157" s="62">
        <f t="shared" si="121"/>
        <v>-148741.975670485</v>
      </c>
      <c r="Y157" s="62">
        <f t="shared" si="121"/>
        <v>-149895.73019824366</v>
      </c>
      <c r="Z157" s="62">
        <f t="shared" si="121"/>
        <v>-150720.64799461162</v>
      </c>
      <c r="AA157" s="62">
        <f t="shared" si="121"/>
        <v>-151298.79354629366</v>
      </c>
      <c r="AB157" s="62">
        <f t="shared" si="121"/>
        <v>-151698.32765810873</v>
      </c>
      <c r="AC157" s="62">
        <f t="shared" si="121"/>
        <v>-151971.74876037225</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13917441.016853284</v>
      </c>
      <c r="C163" s="62">
        <f t="shared" ref="C163:AC163" si="127">C145*C146*C153</f>
        <v>13554502.313185614</v>
      </c>
      <c r="D163" s="62">
        <f t="shared" si="127"/>
        <v>13191002.201981308</v>
      </c>
      <c r="E163" s="62">
        <f t="shared" si="127"/>
        <v>12936205.269684833</v>
      </c>
      <c r="F163" s="62">
        <f t="shared" si="127"/>
        <v>12680264.89911822</v>
      </c>
      <c r="G163" s="62">
        <f t="shared" si="127"/>
        <v>12422734.285056066</v>
      </c>
      <c r="H163" s="62">
        <f t="shared" si="127"/>
        <v>12163001.901296917</v>
      </c>
      <c r="I163" s="62">
        <f t="shared" si="127"/>
        <v>11900240.66071108</v>
      </c>
      <c r="J163" s="62">
        <f t="shared" si="127"/>
        <v>11873871.346602231</v>
      </c>
      <c r="K163" s="62">
        <f t="shared" si="127"/>
        <v>11841038.882806974</v>
      </c>
      <c r="L163" s="62">
        <f t="shared" si="127"/>
        <v>11799447.122225013</v>
      </c>
      <c r="M163" s="62">
        <f t="shared" si="127"/>
        <v>11746294.792433945</v>
      </c>
      <c r="N163" s="62">
        <f t="shared" si="127"/>
        <v>11678468.130519712</v>
      </c>
      <c r="O163" s="62">
        <f t="shared" si="127"/>
        <v>11348251.239766695</v>
      </c>
      <c r="P163" s="62">
        <f t="shared" si="127"/>
        <v>11002664.095027352</v>
      </c>
      <c r="Q163" s="62">
        <f t="shared" si="127"/>
        <v>10643522.145833924</v>
      </c>
      <c r="R163" s="62">
        <f t="shared" si="127"/>
        <v>10275801.141218064</v>
      </c>
      <c r="S163" s="62">
        <f t="shared" si="127"/>
        <v>9907353.1579891834</v>
      </c>
      <c r="T163" s="62">
        <f t="shared" si="127"/>
        <v>9564523.398017589</v>
      </c>
      <c r="U163" s="62">
        <f t="shared" si="127"/>
        <v>9237276.4634616822</v>
      </c>
      <c r="V163" s="62">
        <f t="shared" si="127"/>
        <v>8930072.6288987473</v>
      </c>
      <c r="W163" s="62">
        <f t="shared" si="127"/>
        <v>8643674.253544854</v>
      </c>
      <c r="X163" s="62">
        <f t="shared" si="127"/>
        <v>8376060.0331768915</v>
      </c>
      <c r="Y163" s="62">
        <f t="shared" si="127"/>
        <v>8161140.6420521922</v>
      </c>
      <c r="Z163" s="62">
        <f t="shared" si="127"/>
        <v>7957739.5207671775</v>
      </c>
      <c r="AA163" s="62">
        <f t="shared" si="127"/>
        <v>7762759.7976934081</v>
      </c>
      <c r="AB163" s="62">
        <f t="shared" si="127"/>
        <v>7573728.9150236854</v>
      </c>
      <c r="AC163" s="62">
        <f t="shared" si="127"/>
        <v>7388801.2611698182</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18246742.955591738</v>
      </c>
      <c r="C165" s="64">
        <f t="shared" ref="C165:AC165" si="129">C156+C157+C158+C159+C160+C161+C162+C163+C164</f>
        <v>17882990.368045568</v>
      </c>
      <c r="D165" s="64">
        <f t="shared" si="129"/>
        <v>17518325.200196996</v>
      </c>
      <c r="E165" s="64">
        <f t="shared" si="129"/>
        <v>17261861.572440445</v>
      </c>
      <c r="F165" s="64">
        <f t="shared" si="129"/>
        <v>17003539.126286775</v>
      </c>
      <c r="G165" s="64">
        <f t="shared" si="129"/>
        <v>16742608.77557401</v>
      </c>
      <c r="H165" s="64">
        <f t="shared" si="129"/>
        <v>16478034.332777694</v>
      </c>
      <c r="I165" s="64">
        <f t="shared" si="129"/>
        <v>16208398.062476896</v>
      </c>
      <c r="J165" s="64">
        <f t="shared" si="129"/>
        <v>16172311.554514129</v>
      </c>
      <c r="K165" s="64">
        <f t="shared" si="129"/>
        <v>16125836.325860668</v>
      </c>
      <c r="L165" s="64">
        <f t="shared" si="129"/>
        <v>16065276.169648804</v>
      </c>
      <c r="M165" s="64">
        <f t="shared" si="129"/>
        <v>15986118.879058231</v>
      </c>
      <c r="N165" s="64">
        <f t="shared" si="129"/>
        <v>15883344.336408403</v>
      </c>
      <c r="O165" s="64">
        <f t="shared" si="129"/>
        <v>15507443.81409993</v>
      </c>
      <c r="P165" s="64">
        <f t="shared" si="129"/>
        <v>15104325.856952429</v>
      </c>
      <c r="Q165" s="64">
        <f t="shared" si="129"/>
        <v>14676148.584291436</v>
      </c>
      <c r="R165" s="64">
        <f t="shared" si="129"/>
        <v>14230364.254702138</v>
      </c>
      <c r="S165" s="64">
        <f t="shared" si="129"/>
        <v>13779505.13958456</v>
      </c>
      <c r="T165" s="64">
        <f t="shared" si="129"/>
        <v>13355885.944654141</v>
      </c>
      <c r="U165" s="64">
        <f t="shared" si="129"/>
        <v>12955094.724521481</v>
      </c>
      <c r="V165" s="64">
        <f t="shared" si="129"/>
        <v>12585388.720125968</v>
      </c>
      <c r="W165" s="64">
        <f t="shared" si="129"/>
        <v>12248937.300240602</v>
      </c>
      <c r="X165" s="64">
        <f t="shared" si="129"/>
        <v>11943130.385382477</v>
      </c>
      <c r="Y165" s="64">
        <f t="shared" si="129"/>
        <v>11700136.300748985</v>
      </c>
      <c r="Z165" s="64">
        <f t="shared" si="129"/>
        <v>11476662.17975235</v>
      </c>
      <c r="AA165" s="64">
        <f t="shared" si="129"/>
        <v>11267614.248254318</v>
      </c>
      <c r="AB165" s="64">
        <f t="shared" si="129"/>
        <v>11068861.368863761</v>
      </c>
      <c r="AC165" s="64">
        <f t="shared" si="129"/>
        <v>10877280.468188148</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19.541646546706382</v>
      </c>
      <c r="C168" s="65">
        <f t="shared" ref="C168:AC168" si="131">((1+C141)^C148)*C141/(((1+C141)^C148)-1)*(C137)/C153</f>
        <v>19.535142908407877</v>
      </c>
      <c r="D168" s="65">
        <f t="shared" si="131"/>
        <v>19.525833095040429</v>
      </c>
      <c r="E168" s="65">
        <f t="shared" si="131"/>
        <v>19.512514752322947</v>
      </c>
      <c r="F168" s="65">
        <f t="shared" si="131"/>
        <v>19.493479901741438</v>
      </c>
      <c r="G168" s="65">
        <f t="shared" si="131"/>
        <v>19.466313056359834</v>
      </c>
      <c r="H168" s="65">
        <f t="shared" si="131"/>
        <v>19.427620803779718</v>
      </c>
      <c r="I168" s="65">
        <f t="shared" si="131"/>
        <v>19.372683351719548</v>
      </c>
      <c r="J168" s="65">
        <f t="shared" si="131"/>
        <v>19.295034542384581</v>
      </c>
      <c r="K168" s="65">
        <f t="shared" si="131"/>
        <v>19.186017014978848</v>
      </c>
      <c r="L168" s="65">
        <f t="shared" si="131"/>
        <v>19.03444307729697</v>
      </c>
      <c r="M168" s="65">
        <f t="shared" si="131"/>
        <v>18.826640879127403</v>
      </c>
      <c r="N168" s="65">
        <f t="shared" si="131"/>
        <v>18.547376991970825</v>
      </c>
      <c r="O168" s="65">
        <f t="shared" si="131"/>
        <v>18.182325141641847</v>
      </c>
      <c r="P168" s="65">
        <f t="shared" si="131"/>
        <v>17.722604037923674</v>
      </c>
      <c r="Q168" s="65">
        <f t="shared" si="131"/>
        <v>17.170951909758209</v>
      </c>
      <c r="R168" s="65">
        <f t="shared" si="131"/>
        <v>16.547158217048082</v>
      </c>
      <c r="S168" s="65">
        <f t="shared" si="131"/>
        <v>15.888621775015123</v>
      </c>
      <c r="T168" s="65">
        <f t="shared" si="131"/>
        <v>15.243044098403505</v>
      </c>
      <c r="U168" s="65">
        <f t="shared" si="131"/>
        <v>14.655361451100672</v>
      </c>
      <c r="V168" s="65">
        <f t="shared" si="131"/>
        <v>14.15591488851158</v>
      </c>
      <c r="W168" s="65">
        <f t="shared" si="131"/>
        <v>13.755947637689308</v>
      </c>
      <c r="X168" s="65">
        <f t="shared" si="131"/>
        <v>13.450754873498525</v>
      </c>
      <c r="Y168" s="65">
        <f t="shared" si="131"/>
        <v>13.226413715323233</v>
      </c>
      <c r="Z168" s="65">
        <f t="shared" si="131"/>
        <v>13.066013032696132</v>
      </c>
      <c r="AA168" s="65">
        <f t="shared" si="131"/>
        <v>12.953595842091289</v>
      </c>
      <c r="AB168" s="65">
        <f t="shared" si="131"/>
        <v>12.875908653682803</v>
      </c>
      <c r="AC168" s="65">
        <f t="shared" si="131"/>
        <v>12.822743439353784</v>
      </c>
    </row>
    <row r="169" spans="1:29" x14ac:dyDescent="0.25">
      <c r="A169" s="30" t="str">
        <f t="shared" si="130"/>
        <v>Residual value (vehicle)</v>
      </c>
      <c r="B169" s="66">
        <f>((1+B141)^B148)*B141/(((1+B141)^B148)-1)*(B138)/B153</f>
        <v>-0.97847824935465733</v>
      </c>
      <c r="C169" s="66">
        <f t="shared" ref="C169:AC169" si="132">((1+C141)^C148)*C141/(((1+C141)^C148)-1)*(C138)/C153</f>
        <v>-0.9787569767103077</v>
      </c>
      <c r="D169" s="66">
        <f t="shared" si="132"/>
        <v>-0.97915596871176991</v>
      </c>
      <c r="E169" s="66">
        <f t="shared" si="132"/>
        <v>-0.97972675482823313</v>
      </c>
      <c r="F169" s="66">
        <f t="shared" si="132"/>
        <v>-0.98054253413886938</v>
      </c>
      <c r="G169" s="66">
        <f t="shared" si="132"/>
        <v>-0.98170682751236671</v>
      </c>
      <c r="H169" s="66">
        <f t="shared" si="132"/>
        <v>-0.98336506690865744</v>
      </c>
      <c r="I169" s="66">
        <f t="shared" si="132"/>
        <v>-0.98571952913980765</v>
      </c>
      <c r="J169" s="66">
        <f t="shared" si="132"/>
        <v>-0.98904733525416333</v>
      </c>
      <c r="K169" s="66">
        <f t="shared" si="132"/>
        <v>-0.99371951500012301</v>
      </c>
      <c r="L169" s="66">
        <f t="shared" si="132"/>
        <v>-1.0002155409007751</v>
      </c>
      <c r="M169" s="66">
        <f t="shared" si="132"/>
        <v>-1.0091213493937565</v>
      </c>
      <c r="N169" s="66">
        <f t="shared" si="132"/>
        <v>-1.021089801700467</v>
      </c>
      <c r="O169" s="66">
        <f t="shared" si="132"/>
        <v>-1.0367348810002803</v>
      </c>
      <c r="P169" s="66">
        <f t="shared" si="132"/>
        <v>-1.0564372140167737</v>
      </c>
      <c r="Q169" s="66">
        <f t="shared" si="132"/>
        <v>-1.0800794480810079</v>
      </c>
      <c r="R169" s="66">
        <f t="shared" si="132"/>
        <v>-1.1068134634828701</v>
      </c>
      <c r="S169" s="66">
        <f t="shared" si="132"/>
        <v>-1.1350364538557114</v>
      </c>
      <c r="T169" s="66">
        <f t="shared" si="132"/>
        <v>-1.1627040685676377</v>
      </c>
      <c r="U169" s="66">
        <f t="shared" si="132"/>
        <v>-1.1878904677377591</v>
      </c>
      <c r="V169" s="66">
        <f t="shared" si="132"/>
        <v>-1.2092953204201489</v>
      </c>
      <c r="W169" s="66">
        <f t="shared" si="132"/>
        <v>-1.2264367740268176</v>
      </c>
      <c r="X169" s="66">
        <f t="shared" si="132"/>
        <v>-1.2395164639207084</v>
      </c>
      <c r="Y169" s="66">
        <f t="shared" si="132"/>
        <v>-1.2491310849853638</v>
      </c>
      <c r="Z169" s="66">
        <f t="shared" si="132"/>
        <v>-1.2560053999550969</v>
      </c>
      <c r="AA169" s="66">
        <f t="shared" si="132"/>
        <v>-1.2608232795524472</v>
      </c>
      <c r="AB169" s="66">
        <f t="shared" si="132"/>
        <v>-1.2641527304842395</v>
      </c>
      <c r="AC169" s="66">
        <f t="shared" si="132"/>
        <v>-1.2664312396697688</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115.97867514044404</v>
      </c>
      <c r="C175" s="66">
        <f t="shared" ref="C175:AC175" si="138">C145*C146*C153/C153</f>
        <v>112.95418594321345</v>
      </c>
      <c r="D175" s="66">
        <f t="shared" si="138"/>
        <v>109.92501834984424</v>
      </c>
      <c r="E175" s="66">
        <f t="shared" si="138"/>
        <v>107.80171058070694</v>
      </c>
      <c r="F175" s="66">
        <f t="shared" si="138"/>
        <v>105.66887415931851</v>
      </c>
      <c r="G175" s="66">
        <f t="shared" si="138"/>
        <v>103.52278570880055</v>
      </c>
      <c r="H175" s="66">
        <f t="shared" si="138"/>
        <v>101.35834917747431</v>
      </c>
      <c r="I175" s="66">
        <f t="shared" si="138"/>
        <v>99.168672172592338</v>
      </c>
      <c r="J175" s="66">
        <f t="shared" si="138"/>
        <v>98.948927888351932</v>
      </c>
      <c r="K175" s="66">
        <f t="shared" si="138"/>
        <v>98.67532402339144</v>
      </c>
      <c r="L175" s="66">
        <f t="shared" si="138"/>
        <v>98.328726018541772</v>
      </c>
      <c r="M175" s="66">
        <f t="shared" si="138"/>
        <v>97.88578993694955</v>
      </c>
      <c r="N175" s="66">
        <f t="shared" si="138"/>
        <v>97.320567754330938</v>
      </c>
      <c r="O175" s="66">
        <f t="shared" si="138"/>
        <v>94.568760331389129</v>
      </c>
      <c r="P175" s="66">
        <f t="shared" si="138"/>
        <v>91.688867458561262</v>
      </c>
      <c r="Q175" s="66">
        <f t="shared" si="138"/>
        <v>88.696017881949373</v>
      </c>
      <c r="R175" s="66">
        <f t="shared" si="138"/>
        <v>85.631676176817209</v>
      </c>
      <c r="S175" s="66">
        <f t="shared" si="138"/>
        <v>82.561276316576524</v>
      </c>
      <c r="T175" s="66">
        <f t="shared" si="138"/>
        <v>79.704361650146581</v>
      </c>
      <c r="U175" s="66">
        <f t="shared" si="138"/>
        <v>76.97730386218069</v>
      </c>
      <c r="V175" s="66">
        <f t="shared" si="138"/>
        <v>74.417271907489564</v>
      </c>
      <c r="W175" s="66">
        <f t="shared" si="138"/>
        <v>72.030618779540447</v>
      </c>
      <c r="X175" s="66">
        <f t="shared" si="138"/>
        <v>69.800500276474096</v>
      </c>
      <c r="Y175" s="66">
        <f t="shared" si="138"/>
        <v>68.009505350434935</v>
      </c>
      <c r="Z175" s="66">
        <f t="shared" si="138"/>
        <v>66.314496006393142</v>
      </c>
      <c r="AA175" s="66">
        <f t="shared" si="138"/>
        <v>64.689664980778403</v>
      </c>
      <c r="AB175" s="66">
        <f t="shared" si="138"/>
        <v>63.11440762519738</v>
      </c>
      <c r="AC175" s="66">
        <f t="shared" si="138"/>
        <v>61.573343843081815</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152.70808061503345</v>
      </c>
      <c r="C177" s="76">
        <f t="shared" ref="C177:AC177" si="141">C168+C169+C170-C171+C172+C173+C174+C175+C176</f>
        <v>149.67680905214868</v>
      </c>
      <c r="D177" s="76">
        <f t="shared" si="141"/>
        <v>146.63793265341059</v>
      </c>
      <c r="E177" s="76">
        <f t="shared" si="141"/>
        <v>144.50073575543934</v>
      </c>
      <c r="F177" s="76">
        <f t="shared" si="141"/>
        <v>142.34804870415874</v>
      </c>
      <c r="G177" s="76">
        <f t="shared" si="141"/>
        <v>140.1736291148857</v>
      </c>
      <c r="H177" s="76">
        <f t="shared" si="141"/>
        <v>137.96884209158304</v>
      </c>
      <c r="I177" s="76">
        <f t="shared" si="141"/>
        <v>135.72187317240974</v>
      </c>
      <c r="J177" s="76">
        <f t="shared" si="141"/>
        <v>135.42115227272004</v>
      </c>
      <c r="K177" s="76">
        <f t="shared" si="141"/>
        <v>135.03385870060785</v>
      </c>
      <c r="L177" s="76">
        <f t="shared" si="141"/>
        <v>134.52919073217564</v>
      </c>
      <c r="M177" s="76">
        <f t="shared" si="141"/>
        <v>133.86954664392087</v>
      </c>
      <c r="N177" s="76">
        <f t="shared" si="141"/>
        <v>133.01309212183898</v>
      </c>
      <c r="O177" s="76">
        <f t="shared" si="141"/>
        <v>129.88058776926837</v>
      </c>
      <c r="P177" s="76">
        <f t="shared" si="141"/>
        <v>126.52127145970584</v>
      </c>
      <c r="Q177" s="76">
        <f t="shared" si="141"/>
        <v>122.95312752086426</v>
      </c>
      <c r="R177" s="76">
        <f t="shared" si="141"/>
        <v>119.23825810762011</v>
      </c>
      <c r="S177" s="76">
        <f t="shared" si="141"/>
        <v>115.48109881497362</v>
      </c>
      <c r="T177" s="76">
        <f t="shared" si="141"/>
        <v>111.95093885722014</v>
      </c>
      <c r="U177" s="76">
        <f t="shared" si="141"/>
        <v>108.6110120227813</v>
      </c>
      <c r="V177" s="76">
        <f t="shared" si="141"/>
        <v>105.53012865281869</v>
      </c>
      <c r="W177" s="76">
        <f t="shared" si="141"/>
        <v>102.72636682044063</v>
      </c>
      <c r="X177" s="76">
        <f t="shared" si="141"/>
        <v>100.1779758632896</v>
      </c>
      <c r="Y177" s="76">
        <f t="shared" si="141"/>
        <v>98.153025158010493</v>
      </c>
      <c r="Z177" s="76">
        <f t="shared" si="141"/>
        <v>96.290740816371866</v>
      </c>
      <c r="AA177" s="76">
        <f t="shared" si="141"/>
        <v>94.548674720554942</v>
      </c>
      <c r="AB177" s="76">
        <f t="shared" si="141"/>
        <v>92.892400725633621</v>
      </c>
      <c r="AC177" s="76">
        <f t="shared" si="141"/>
        <v>91.295893220003521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2.0678991054715748E-3</v>
      </c>
      <c r="C180" s="65">
        <f t="shared" ref="C180:AC180" si="143">((1+C141)^C148)*C141/(((1+C141)^C148)-1)*(C137)/C153/(C150)</f>
        <v>2.0672108897786113E-3</v>
      </c>
      <c r="D180" s="65">
        <f t="shared" si="143"/>
        <v>2.0662257243429026E-3</v>
      </c>
      <c r="E180" s="65">
        <f t="shared" si="143"/>
        <v>2.0648163759071901E-3</v>
      </c>
      <c r="F180" s="65">
        <f t="shared" si="143"/>
        <v>2.0628021060043848E-3</v>
      </c>
      <c r="G180" s="65">
        <f t="shared" si="143"/>
        <v>2.0599273075513052E-3</v>
      </c>
      <c r="H180" s="65">
        <f t="shared" si="143"/>
        <v>2.0558328892888592E-3</v>
      </c>
      <c r="I180" s="65">
        <f t="shared" si="143"/>
        <v>2.0500194022983649E-3</v>
      </c>
      <c r="J180" s="65">
        <f t="shared" si="143"/>
        <v>2.0418025970777333E-3</v>
      </c>
      <c r="K180" s="65">
        <f t="shared" si="143"/>
        <v>2.0302663507914126E-3</v>
      </c>
      <c r="L180" s="65">
        <f t="shared" si="143"/>
        <v>2.0142267806663458E-3</v>
      </c>
      <c r="M180" s="65">
        <f t="shared" si="143"/>
        <v>1.9922371300663917E-3</v>
      </c>
      <c r="N180" s="65">
        <f t="shared" si="143"/>
        <v>1.9626853959757488E-3</v>
      </c>
      <c r="O180" s="65">
        <f t="shared" si="143"/>
        <v>1.9240555705441109E-3</v>
      </c>
      <c r="P180" s="65">
        <f t="shared" si="143"/>
        <v>1.8754078347009179E-3</v>
      </c>
      <c r="Q180" s="65">
        <f t="shared" si="143"/>
        <v>1.8170319481225618E-3</v>
      </c>
      <c r="R180" s="65">
        <f t="shared" si="143"/>
        <v>1.7510220335500617E-3</v>
      </c>
      <c r="S180" s="65">
        <f t="shared" si="143"/>
        <v>1.6813356375677379E-3</v>
      </c>
      <c r="T180" s="65">
        <f t="shared" si="143"/>
        <v>1.6130205395135985E-3</v>
      </c>
      <c r="U180" s="65">
        <f t="shared" si="143"/>
        <v>1.5508318995873728E-3</v>
      </c>
      <c r="V180" s="65">
        <f t="shared" si="143"/>
        <v>1.497980411482707E-3</v>
      </c>
      <c r="W180" s="65">
        <f t="shared" si="143"/>
        <v>1.4556558346761172E-3</v>
      </c>
      <c r="X180" s="65">
        <f t="shared" si="143"/>
        <v>1.423360304073918E-3</v>
      </c>
      <c r="Y180" s="65">
        <f t="shared" si="143"/>
        <v>1.3996204989760034E-3</v>
      </c>
      <c r="Z180" s="65">
        <f t="shared" si="143"/>
        <v>1.3826468817667865E-3</v>
      </c>
      <c r="AA180" s="65">
        <f t="shared" si="143"/>
        <v>1.370750882760983E-3</v>
      </c>
      <c r="AB180" s="65">
        <f t="shared" si="143"/>
        <v>1.3625300162627306E-3</v>
      </c>
      <c r="AC180" s="65">
        <f t="shared" si="143"/>
        <v>1.3569040676564852E-3</v>
      </c>
    </row>
    <row r="181" spans="1:29" x14ac:dyDescent="0.25">
      <c r="A181" s="30" t="str">
        <f t="shared" si="142"/>
        <v>Residual value (vehicle)</v>
      </c>
      <c r="B181" s="68">
        <f>((1+B141)^B148)*B141/(((1+B141)^B148)-1)*(B138)/B153/(B150)</f>
        <v>-1.0354267188938173E-4</v>
      </c>
      <c r="C181" s="68">
        <f t="shared" ref="C181:AC181" si="144">((1+C141)^C148)*C141/(((1+C141)^C148)-1)*(C138)/C153/(C150)</f>
        <v>-1.0357216684765161E-4</v>
      </c>
      <c r="D181" s="68">
        <f t="shared" si="144"/>
        <v>-1.0361438822346771E-4</v>
      </c>
      <c r="E181" s="68">
        <f t="shared" si="144"/>
        <v>-1.036747888707125E-4</v>
      </c>
      <c r="F181" s="68">
        <f t="shared" si="144"/>
        <v>-1.0376111472368988E-4</v>
      </c>
      <c r="G181" s="68">
        <f t="shared" si="144"/>
        <v>-1.0388432037167901E-4</v>
      </c>
      <c r="H181" s="68">
        <f t="shared" si="144"/>
        <v>-1.0405979544006957E-4</v>
      </c>
      <c r="I181" s="68">
        <f t="shared" si="144"/>
        <v>-1.0430894488251933E-4</v>
      </c>
      <c r="J181" s="68">
        <f t="shared" si="144"/>
        <v>-1.0466109367768924E-4</v>
      </c>
      <c r="K181" s="68">
        <f t="shared" si="144"/>
        <v>-1.0515550423281725E-4</v>
      </c>
      <c r="L181" s="68">
        <f t="shared" si="144"/>
        <v>-1.0584291438103441E-4</v>
      </c>
      <c r="M181" s="68">
        <f t="shared" si="144"/>
        <v>-1.067853279781753E-4</v>
      </c>
      <c r="N181" s="68">
        <f t="shared" si="144"/>
        <v>-1.0805183086777429E-4</v>
      </c>
      <c r="O181" s="68">
        <f t="shared" si="144"/>
        <v>-1.0970739481484449E-4</v>
      </c>
      <c r="P181" s="68">
        <f t="shared" si="144"/>
        <v>-1.1179229777955277E-4</v>
      </c>
      <c r="Q181" s="68">
        <f t="shared" si="144"/>
        <v>-1.1429412149005375E-4</v>
      </c>
      <c r="R181" s="68">
        <f t="shared" si="144"/>
        <v>-1.1712311782887515E-4</v>
      </c>
      <c r="S181" s="68">
        <f t="shared" si="144"/>
        <v>-1.2010967765668903E-4</v>
      </c>
      <c r="T181" s="68">
        <f t="shared" si="144"/>
        <v>-1.2303746757329499E-4</v>
      </c>
      <c r="U181" s="68">
        <f t="shared" si="144"/>
        <v>-1.2570269499870466E-4</v>
      </c>
      <c r="V181" s="68">
        <f t="shared" si="144"/>
        <v>-1.2796775877461892E-4</v>
      </c>
      <c r="W181" s="68">
        <f t="shared" si="144"/>
        <v>-1.2978166920918704E-4</v>
      </c>
      <c r="X181" s="68">
        <f t="shared" si="144"/>
        <v>-1.3116576337785275E-4</v>
      </c>
      <c r="Y181" s="68">
        <f t="shared" si="144"/>
        <v>-1.321831835963348E-4</v>
      </c>
      <c r="Z181" s="68">
        <f t="shared" si="144"/>
        <v>-1.3291062433387269E-4</v>
      </c>
      <c r="AA181" s="68">
        <f t="shared" si="144"/>
        <v>-1.3342045286269283E-4</v>
      </c>
      <c r="AB181" s="68">
        <f t="shared" si="144"/>
        <v>-1.3377277571261794E-4</v>
      </c>
      <c r="AC181" s="68">
        <f t="shared" si="144"/>
        <v>-1.3401388779574273E-4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1.2272875676237464E-2</v>
      </c>
      <c r="C187" s="66">
        <f t="shared" ref="C187:AC187" si="150">C145*C146*C153/C153/(C150)</f>
        <v>1.1952823909334756E-2</v>
      </c>
      <c r="D187" s="66">
        <f t="shared" si="150"/>
        <v>1.1632277074057592E-2</v>
      </c>
      <c r="E187" s="66">
        <f t="shared" si="150"/>
        <v>1.140758842123883E-2</v>
      </c>
      <c r="F187" s="66">
        <f t="shared" si="150"/>
        <v>1.118189144543053E-2</v>
      </c>
      <c r="G187" s="66">
        <f t="shared" si="150"/>
        <v>1.0954792138497413E-2</v>
      </c>
      <c r="H187" s="66">
        <f t="shared" si="150"/>
        <v>1.0725751235711567E-2</v>
      </c>
      <c r="I187" s="66">
        <f t="shared" si="150"/>
        <v>1.0494039383343104E-2</v>
      </c>
      <c r="J187" s="66">
        <f t="shared" si="150"/>
        <v>1.0470786019931422E-2</v>
      </c>
      <c r="K187" s="66">
        <f t="shared" si="150"/>
        <v>1.0441833229988512E-2</v>
      </c>
      <c r="L187" s="66">
        <f t="shared" si="150"/>
        <v>1.0405156192438283E-2</v>
      </c>
      <c r="M187" s="66">
        <f t="shared" si="150"/>
        <v>1.0358284649412651E-2</v>
      </c>
      <c r="N187" s="66">
        <f t="shared" si="150"/>
        <v>1.0298472778236077E-2</v>
      </c>
      <c r="O187" s="66">
        <f t="shared" si="150"/>
        <v>1.0007276225543824E-2</v>
      </c>
      <c r="P187" s="66">
        <f t="shared" si="150"/>
        <v>9.7025256569906095E-3</v>
      </c>
      <c r="Q187" s="66">
        <f t="shared" si="150"/>
        <v>9.3858219980898806E-3</v>
      </c>
      <c r="R187" s="66">
        <f t="shared" si="150"/>
        <v>9.0615530345838323E-3</v>
      </c>
      <c r="S187" s="66">
        <f t="shared" si="150"/>
        <v>8.7366429964631249E-3</v>
      </c>
      <c r="T187" s="66">
        <f t="shared" si="150"/>
        <v>8.4343239841424954E-3</v>
      </c>
      <c r="U187" s="66">
        <f t="shared" si="150"/>
        <v>8.1457464404424019E-3</v>
      </c>
      <c r="V187" s="66">
        <f t="shared" si="150"/>
        <v>7.8748435880941336E-3</v>
      </c>
      <c r="W187" s="66">
        <f t="shared" si="150"/>
        <v>7.6222877015386719E-3</v>
      </c>
      <c r="X187" s="66">
        <f t="shared" si="150"/>
        <v>7.3862963255528144E-3</v>
      </c>
      <c r="Y187" s="66">
        <f t="shared" si="150"/>
        <v>7.1967730529560779E-3</v>
      </c>
      <c r="Z187" s="66">
        <f t="shared" si="150"/>
        <v>7.0174069848035073E-3</v>
      </c>
      <c r="AA187" s="66">
        <f t="shared" si="150"/>
        <v>6.8454671937331641E-3</v>
      </c>
      <c r="AB187" s="66">
        <f t="shared" si="150"/>
        <v>6.6787732936716806E-3</v>
      </c>
      <c r="AC187" s="66">
        <f t="shared" si="150"/>
        <v>6.5156977611726787E-3</v>
      </c>
    </row>
    <row r="188" spans="1:29" x14ac:dyDescent="0.25">
      <c r="A188" s="59" t="str">
        <f>A151</f>
        <v>Market failure (av. utilization)</v>
      </c>
      <c r="B188" s="66">
        <f t="shared" ref="B188:AC188" si="151">B177/B151-B177/B150</f>
        <v>1.2025737860664625E-2</v>
      </c>
      <c r="C188" s="66">
        <f t="shared" si="151"/>
        <v>1.1787025691322155E-2</v>
      </c>
      <c r="D188" s="66">
        <f t="shared" si="151"/>
        <v>1.1547714642325922E-2</v>
      </c>
      <c r="E188" s="66">
        <f t="shared" si="151"/>
        <v>1.1379410715329295E-2</v>
      </c>
      <c r="F188" s="66">
        <f t="shared" si="151"/>
        <v>1.1209886941142069E-2</v>
      </c>
      <c r="G188" s="66">
        <f t="shared" si="151"/>
        <v>1.1038651732930583E-2</v>
      </c>
      <c r="H188" s="66">
        <f t="shared" si="151"/>
        <v>1.0865025093960029E-2</v>
      </c>
      <c r="I188" s="66">
        <f t="shared" si="151"/>
        <v>1.0688076637177586E-2</v>
      </c>
      <c r="J188" s="66">
        <f t="shared" si="151"/>
        <v>1.0664394912580389E-2</v>
      </c>
      <c r="K188" s="66">
        <f t="shared" si="151"/>
        <v>1.063389560334552E-2</v>
      </c>
      <c r="L188" s="66">
        <f t="shared" si="151"/>
        <v>1.05941530784536E-2</v>
      </c>
      <c r="M188" s="66">
        <f t="shared" si="151"/>
        <v>1.0542206207962267E-2</v>
      </c>
      <c r="N188" s="66">
        <f t="shared" si="151"/>
        <v>1.0474760546078129E-2</v>
      </c>
      <c r="O188" s="66">
        <f t="shared" si="151"/>
        <v>1.0228076310118342E-2</v>
      </c>
      <c r="P188" s="66">
        <f t="shared" si="151"/>
        <v>9.9635306674309993E-3</v>
      </c>
      <c r="Q188" s="66">
        <f t="shared" si="151"/>
        <v>9.682539881057356E-3</v>
      </c>
      <c r="R188" s="66">
        <f t="shared" si="151"/>
        <v>9.3899944861421027E-3</v>
      </c>
      <c r="S188" s="66">
        <f t="shared" si="151"/>
        <v>9.0941187697284494E-3</v>
      </c>
      <c r="T188" s="66">
        <f t="shared" si="151"/>
        <v>8.8161192160232417E-3</v>
      </c>
      <c r="U188" s="66">
        <f t="shared" si="151"/>
        <v>8.5531004915196281E-3</v>
      </c>
      <c r="V188" s="66">
        <f t="shared" si="151"/>
        <v>8.3104814000004874E-3</v>
      </c>
      <c r="W188" s="66">
        <f t="shared" si="151"/>
        <v>8.0896855869425389E-3</v>
      </c>
      <c r="X188" s="66">
        <f t="shared" si="151"/>
        <v>7.8890001910305579E-3</v>
      </c>
      <c r="Y188" s="66">
        <f t="shared" si="151"/>
        <v>7.7295356344440416E-3</v>
      </c>
      <c r="Z188" s="66">
        <f t="shared" si="151"/>
        <v>7.5828810289747754E-3</v>
      </c>
      <c r="AA188" s="66">
        <f t="shared" si="151"/>
        <v>7.4456935918734059E-3</v>
      </c>
      <c r="AB188" s="66">
        <f t="shared" si="151"/>
        <v>7.3152622695220274E-3</v>
      </c>
      <c r="AC188" s="66">
        <f t="shared" si="151"/>
        <v>7.1895375490097519E-3</v>
      </c>
    </row>
    <row r="189" spans="1:29" x14ac:dyDescent="0.25">
      <c r="A189" s="59" t="str">
        <f>A152</f>
        <v>Payload loss (fuel)</v>
      </c>
      <c r="B189" s="66">
        <f>B177/(B150-B152)-B177/B150</f>
        <v>1.7946332048243002E-3</v>
      </c>
      <c r="C189" s="66">
        <f t="shared" ref="C189:AC189" si="152">C177/(C150-C152)-C177/C150</f>
        <v>1.7586380025447768E-3</v>
      </c>
      <c r="D189" s="66">
        <f t="shared" si="152"/>
        <v>1.7224114836079003E-3</v>
      </c>
      <c r="E189" s="66">
        <f t="shared" si="152"/>
        <v>1.6965734811169898E-3</v>
      </c>
      <c r="F189" s="66">
        <f t="shared" si="152"/>
        <v>1.6702649761027484E-3</v>
      </c>
      <c r="G189" s="66">
        <f t="shared" si="152"/>
        <v>1.6432981439173672E-3</v>
      </c>
      <c r="H189" s="66">
        <f t="shared" si="152"/>
        <v>1.6154144356497462E-3</v>
      </c>
      <c r="I189" s="66">
        <f t="shared" si="152"/>
        <v>1.586262369521179E-3</v>
      </c>
      <c r="J189" s="66">
        <f t="shared" si="152"/>
        <v>1.5787395222789328E-3</v>
      </c>
      <c r="K189" s="66">
        <f t="shared" si="152"/>
        <v>1.5686165844429854E-3</v>
      </c>
      <c r="L189" s="66">
        <f t="shared" si="152"/>
        <v>1.5549928502486161E-3</v>
      </c>
      <c r="M189" s="66">
        <f t="shared" si="152"/>
        <v>1.5367922527926223E-3</v>
      </c>
      <c r="N189" s="66">
        <f t="shared" si="152"/>
        <v>1.5128606336735993E-3</v>
      </c>
      <c r="O189" s="66">
        <f t="shared" si="152"/>
        <v>1.459272728794701E-3</v>
      </c>
      <c r="P189" s="66">
        <f t="shared" si="152"/>
        <v>1.399555800296463E-3</v>
      </c>
      <c r="Q189" s="66">
        <f t="shared" si="152"/>
        <v>1.3345453421222796E-3</v>
      </c>
      <c r="R189" s="66">
        <f t="shared" si="152"/>
        <v>1.2663219311306057E-3</v>
      </c>
      <c r="S189" s="66">
        <f t="shared" si="152"/>
        <v>1.1980101745074044E-3</v>
      </c>
      <c r="T189" s="66">
        <f t="shared" si="152"/>
        <v>1.134500842984219E-3</v>
      </c>
      <c r="U189" s="66">
        <f t="shared" si="152"/>
        <v>1.077002175315379E-3</v>
      </c>
      <c r="V189" s="66">
        <f t="shared" si="152"/>
        <v>1.0269886759074181E-3</v>
      </c>
      <c r="W189" s="66">
        <f t="shared" si="152"/>
        <v>9.8457446992346667E-4</v>
      </c>
      <c r="X189" s="66">
        <f t="shared" si="152"/>
        <v>9.4891727294961134E-4</v>
      </c>
      <c r="Y189" s="66">
        <f t="shared" si="152"/>
        <v>9.216601837897364E-4</v>
      </c>
      <c r="Z189" s="66">
        <f t="shared" si="152"/>
        <v>8.9851545022921926E-4</v>
      </c>
      <c r="AA189" s="66">
        <f t="shared" si="152"/>
        <v>8.7836956925320224E-4</v>
      </c>
      <c r="AB189" s="66">
        <f t="shared" si="152"/>
        <v>8.6034290142043661E-4</v>
      </c>
      <c r="AC189" s="66">
        <f t="shared" si="152"/>
        <v>8.4378183489417294E-4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2.9910973319097162E-2</v>
      </c>
      <c r="C191" s="67">
        <f t="shared" ref="C191:AC191" si="154">C180+C181+C182+C183+C184+C185+C186+C187+C188+C189+C190</f>
        <v>2.9315496469921227E-2</v>
      </c>
      <c r="D191" s="67">
        <f t="shared" si="154"/>
        <v>2.8718384679899428E-2</v>
      </c>
      <c r="E191" s="67">
        <f t="shared" si="154"/>
        <v>2.829808434851017E-2</v>
      </c>
      <c r="F191" s="67">
        <f t="shared" si="154"/>
        <v>2.7874454497744623E-2</v>
      </c>
      <c r="G191" s="67">
        <f t="shared" si="154"/>
        <v>2.7446155146313565E-2</v>
      </c>
      <c r="H191" s="67">
        <f t="shared" si="154"/>
        <v>2.7011334002958715E-2</v>
      </c>
      <c r="I191" s="67">
        <f t="shared" si="154"/>
        <v>2.6567458991246292E-2</v>
      </c>
      <c r="J191" s="67">
        <f t="shared" si="154"/>
        <v>2.6504432101979364E-2</v>
      </c>
      <c r="K191" s="67">
        <f t="shared" si="154"/>
        <v>2.6422826408124191E-2</v>
      </c>
      <c r="L191" s="67">
        <f t="shared" si="154"/>
        <v>2.6316056131214387E-2</v>
      </c>
      <c r="M191" s="67">
        <f t="shared" si="154"/>
        <v>2.6176105056044334E-2</v>
      </c>
      <c r="N191" s="67">
        <f t="shared" si="154"/>
        <v>2.5994097666884354E-2</v>
      </c>
      <c r="O191" s="67">
        <f t="shared" si="154"/>
        <v>2.5362343583974711E-2</v>
      </c>
      <c r="P191" s="67">
        <f t="shared" si="154"/>
        <v>2.4682597805428017E-2</v>
      </c>
      <c r="Q191" s="67">
        <f t="shared" si="154"/>
        <v>2.3959015191690601E-2</v>
      </c>
      <c r="R191" s="67">
        <f t="shared" si="154"/>
        <v>2.3205138511366304E-2</v>
      </c>
      <c r="S191" s="67">
        <f t="shared" si="154"/>
        <v>2.2443368044398605E-2</v>
      </c>
      <c r="T191" s="67">
        <f t="shared" si="154"/>
        <v>2.1728297258878836E-2</v>
      </c>
      <c r="U191" s="67">
        <f t="shared" si="154"/>
        <v>2.1054348455654653E-2</v>
      </c>
      <c r="V191" s="67">
        <f t="shared" si="154"/>
        <v>2.0435696460498705E-2</v>
      </c>
      <c r="W191" s="67">
        <f t="shared" si="154"/>
        <v>1.9875792067660186E-2</v>
      </c>
      <c r="X191" s="67">
        <f t="shared" si="154"/>
        <v>1.9369778474017628E-2</v>
      </c>
      <c r="Y191" s="67">
        <f t="shared" si="154"/>
        <v>1.8968776330358102E-2</v>
      </c>
      <c r="Z191" s="67">
        <f t="shared" si="154"/>
        <v>1.8601909865228992E-2</v>
      </c>
      <c r="AA191" s="67">
        <f t="shared" si="154"/>
        <v>1.8260230928546645E-2</v>
      </c>
      <c r="AB191" s="67">
        <f t="shared" si="154"/>
        <v>1.7936505848952837E-2</v>
      </c>
      <c r="AC191" s="67">
        <f t="shared" si="154"/>
        <v>1.7625277468725924E-2</v>
      </c>
    </row>
    <row r="193" spans="2:2" x14ac:dyDescent="0.25">
      <c r="B193" s="40"/>
    </row>
    <row r="215" spans="1:44" s="3" customFormat="1" ht="21" x14ac:dyDescent="0.35">
      <c r="A215" s="2" t="str">
        <f>'Parameter Input'!A235</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Input'!$L$237</f>
        <v>30000000</v>
      </c>
      <c r="C225" s="42">
        <f>'Parameter Input'!$M$237</f>
        <v>19500000</v>
      </c>
      <c r="D225" s="1" t="s">
        <v>15</v>
      </c>
      <c r="L225" s="51">
        <f>'Parameter Input'!$O$237</f>
        <v>17</v>
      </c>
      <c r="M225" s="52">
        <v>0</v>
      </c>
      <c r="N225" s="52">
        <v>1</v>
      </c>
      <c r="O225" s="52">
        <f>'Parameter Input'!$P$237</f>
        <v>0.9</v>
      </c>
      <c r="P225" s="53">
        <f>'Parameter Input'!$Q$237</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Input'!$L$238</f>
        <v>-1500000</v>
      </c>
      <c r="C226" s="61">
        <f>'Parameter Input'!$M$238</f>
        <v>-1950000</v>
      </c>
      <c r="D226" s="1" t="s">
        <v>15</v>
      </c>
      <c r="L226" s="54">
        <f>'Parameter Input'!$O$238</f>
        <v>17</v>
      </c>
      <c r="M226" s="37">
        <v>0</v>
      </c>
      <c r="N226" s="37">
        <v>1</v>
      </c>
      <c r="O226" s="37">
        <f>'Parameter Input'!$P$238</f>
        <v>0.9</v>
      </c>
      <c r="P226" s="55">
        <f>'Parameter Input'!$Q$238</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Input'!$L$244</f>
        <v>0.06</v>
      </c>
      <c r="C229" s="91">
        <f>'Parameter Input'!$M$244</f>
        <v>0.06</v>
      </c>
      <c r="D229" s="1" t="s">
        <v>57</v>
      </c>
      <c r="L229" s="54">
        <f>'Parameter Input'!$O$244</f>
        <v>17</v>
      </c>
      <c r="M229" s="37">
        <v>0</v>
      </c>
      <c r="N229" s="37">
        <v>1</v>
      </c>
      <c r="O229" s="37">
        <f>'Parameter Input'!$P$244</f>
        <v>0.9</v>
      </c>
      <c r="P229" s="55">
        <f>'Parameter Input'!$Q$244</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Input'!$L$240</f>
        <v>338823.5294117647</v>
      </c>
      <c r="C231" s="61">
        <f>'Parameter Input'!$M$240</f>
        <v>338823.5294117647</v>
      </c>
      <c r="D231" s="1" t="s">
        <v>38</v>
      </c>
      <c r="L231" s="54">
        <f>'Parameter Input'!$O$240</f>
        <v>17</v>
      </c>
      <c r="M231" s="37">
        <v>0</v>
      </c>
      <c r="N231" s="37">
        <v>1</v>
      </c>
      <c r="O231" s="37">
        <f>'Parameter Input'!$P$240</f>
        <v>0.9</v>
      </c>
      <c r="P231" s="55">
        <f>'Parameter Input'!$Q$240</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Input'!$L$241</f>
        <v>589</v>
      </c>
      <c r="C233" s="61">
        <f>'Parameter Input'!$M$241</f>
        <v>519</v>
      </c>
      <c r="D233" s="1" t="s">
        <v>60</v>
      </c>
      <c r="L233" s="54">
        <f>'Parameter Input'!$O$241</f>
        <v>17</v>
      </c>
      <c r="M233" s="37">
        <v>0</v>
      </c>
      <c r="N233" s="37">
        <v>1</v>
      </c>
      <c r="O233" s="37">
        <f>'Parameter Input'!$P$241</f>
        <v>0.9</v>
      </c>
      <c r="P233" s="55">
        <f>'Parameter Input'!$Q$241</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Input'!$L$242</f>
        <v>0.2544561408768215</v>
      </c>
      <c r="C234" s="61">
        <f>'Parameter Input'!$M$242</f>
        <v>0.10949010032952979</v>
      </c>
      <c r="D234" s="1" t="s">
        <v>68</v>
      </c>
      <c r="L234" s="54">
        <f>'Parameter Input'!$O$242</f>
        <v>12</v>
      </c>
      <c r="M234" s="37">
        <v>0</v>
      </c>
      <c r="N234" s="37">
        <v>1</v>
      </c>
      <c r="O234" s="37">
        <f>'Parameter Input'!$P$242</f>
        <v>0.9</v>
      </c>
      <c r="P234" s="55">
        <f>'Parameter Input'!$Q$242</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Input'!$L$245</f>
        <v>0</v>
      </c>
      <c r="C235" s="116">
        <f>'Parameter Input'!$M$245</f>
        <v>0</v>
      </c>
      <c r="D235" s="1" t="s">
        <v>76</v>
      </c>
      <c r="L235" s="54">
        <f>'Parameter Input'!$O$245</f>
        <v>17</v>
      </c>
      <c r="M235" s="37">
        <v>0</v>
      </c>
      <c r="N235" s="37">
        <v>1</v>
      </c>
      <c r="O235" s="37">
        <f>'Parameter Input'!$P$245</f>
        <v>0.9</v>
      </c>
      <c r="P235" s="55">
        <f>'Parameter Input'!$Q$245</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Input'!$L$239</f>
        <v>25</v>
      </c>
      <c r="C236" s="61">
        <f>'Parameter Input'!$M$239</f>
        <v>25</v>
      </c>
      <c r="D236" s="1" t="s">
        <v>42</v>
      </c>
      <c r="L236" s="54">
        <f>'Parameter Input'!$O$239</f>
        <v>17</v>
      </c>
      <c r="M236" s="37">
        <v>0</v>
      </c>
      <c r="N236" s="37">
        <v>1</v>
      </c>
      <c r="O236" s="37">
        <f>'Parameter Input'!$P$239</f>
        <v>0.9</v>
      </c>
      <c r="P236" s="55">
        <f>'Parameter Input'!$Q$239</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Input'!$L$243</f>
        <v>0.1</v>
      </c>
      <c r="C240" s="46">
        <f>'Parameter Input'!$M$243</f>
        <v>0.08</v>
      </c>
      <c r="D240" s="1" t="s">
        <v>57</v>
      </c>
      <c r="L240" s="54">
        <f>'Parameter Input'!$O$243</f>
        <v>17</v>
      </c>
      <c r="M240" s="37">
        <v>0</v>
      </c>
      <c r="N240" s="37">
        <v>1</v>
      </c>
      <c r="O240" s="37">
        <f>'Parameter Input'!$P$243</f>
        <v>0.9</v>
      </c>
      <c r="P240" s="55">
        <f>'Parameter Input'!$Q$243</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29976939.327065244</v>
      </c>
      <c r="C245" s="62">
        <f t="shared" ref="C245:C253" si="162">$B225+($C225-$B225)*(1-R225)</f>
        <v>29966962.72810192</v>
      </c>
      <c r="D245" s="62">
        <f t="shared" ref="D245:D253" si="163">$B225+($C225-$B225)*(1-S225)</f>
        <v>29952681.448896747</v>
      </c>
      <c r="E245" s="62">
        <f t="shared" ref="E245:E253" si="164">$B225+($C225-$B225)*(1-T225)</f>
        <v>29932251.074689295</v>
      </c>
      <c r="F245" s="62">
        <f t="shared" ref="F245:F253" si="165">$B225+($C225-$B225)*(1-U225)</f>
        <v>29903051.561760955</v>
      </c>
      <c r="G245" s="62">
        <f t="shared" ref="G245:G253" si="166">$B225+($C225-$B225)*(1-V225)</f>
        <v>29861377.546535794</v>
      </c>
      <c r="H245" s="62">
        <f t="shared" ref="H245:H253" si="167">$B225+($C225-$B225)*(1-W225)</f>
        <v>29802023.525100116</v>
      </c>
      <c r="I245" s="62">
        <f t="shared" ref="I245:I253" si="168">$B225+($C225-$B225)*(1-X225)</f>
        <v>29717749.323166564</v>
      </c>
      <c r="J245" s="62">
        <f t="shared" ref="J245:J253" si="169">$B225+($C225-$B225)*(1-Y225)</f>
        <v>29598635.836967241</v>
      </c>
      <c r="K245" s="62">
        <f t="shared" ref="K245:K253" si="170">$B225+($C225-$B225)*(1-Z225)</f>
        <v>29431402.651328694</v>
      </c>
      <c r="L245" s="62">
        <f t="shared" ref="L245:L253" si="171">$B225+($C225-$B225)*(1-AA225)</f>
        <v>29198887.815764856</v>
      </c>
      <c r="M245" s="62">
        <f t="shared" ref="M245:M253" si="172">$B225+($C225-$B225)*(1-AB225)</f>
        <v>28880118.674604136</v>
      </c>
      <c r="N245" s="62">
        <f t="shared" ref="N245:N253" si="173">$B225+($C225-$B225)*(1-AC225)</f>
        <v>28451727.106804334</v>
      </c>
      <c r="O245" s="62">
        <f t="shared" ref="O245:O253" si="174">$B225+($C225-$B225)*(1-AD225)</f>
        <v>27891736.568525508</v>
      </c>
      <c r="P245" s="62">
        <f t="shared" ref="P245:P253" si="175">$B225+($C225-$B225)*(1-AE225)</f>
        <v>27186523.136249304</v>
      </c>
      <c r="Q245" s="62">
        <f t="shared" ref="Q245:Q253" si="176">$B225+($C225-$B225)*(1-AF225)</f>
        <v>26340287.260672603</v>
      </c>
      <c r="R245" s="62">
        <f t="shared" ref="R245:R253" si="177">$B225+($C225-$B225)*(1-AG225)</f>
        <v>25383386.027489204</v>
      </c>
      <c r="S245" s="62">
        <f t="shared" ref="S245:S253" si="178">$B225+($C225-$B225)*(1-AH225)</f>
        <v>24373189.321684461</v>
      </c>
      <c r="T245" s="62">
        <f t="shared" ref="T245:T253" si="179">$B225+($C225-$B225)*(1-AI225)</f>
        <v>23382871.397530012</v>
      </c>
      <c r="U245" s="62">
        <f t="shared" ref="U245:U253" si="180">$B225+($C225-$B225)*(1-AJ225)</f>
        <v>22481364.606909275</v>
      </c>
      <c r="V245" s="62">
        <f t="shared" ref="V245:V253" si="181">$B225+($C225-$B225)*(1-AK225)</f>
        <v>21715212.211917363</v>
      </c>
      <c r="W245" s="62">
        <f t="shared" ref="W245:W253" si="182">$B225+($C225-$B225)*(1-AL225)</f>
        <v>21101661.353648812</v>
      </c>
      <c r="X245" s="62">
        <f t="shared" ref="X245:X253" si="183">$B225+($C225-$B225)*(1-AM225)</f>
        <v>20633494.81745955</v>
      </c>
      <c r="Y245" s="62">
        <f t="shared" ref="Y245:Y253" si="184">$B225+($C225-$B225)*(1-AN225)</f>
        <v>20289354.866349965</v>
      </c>
      <c r="Z245" s="62">
        <f t="shared" ref="Z245:Z253" si="185">$B225+($C225-$B225)*(1-AO225)</f>
        <v>20043299.779863775</v>
      </c>
      <c r="AA245" s="62">
        <f t="shared" ref="AA245:AA253" si="186">$B225+($C225-$B225)*(1-AP225)</f>
        <v>19870851.501566134</v>
      </c>
      <c r="AB245" s="62">
        <f t="shared" ref="AB245:AB253" si="187">$B225+($C225-$B225)*(1-AQ225)</f>
        <v>19751679.141762912</v>
      </c>
      <c r="AC245" s="62">
        <f t="shared" ref="AC245:AC253" si="188">$B225+($C225-$B225)*(1-AR225)</f>
        <v>19670123.557363093</v>
      </c>
    </row>
    <row r="246" spans="1:44" x14ac:dyDescent="0.25">
      <c r="A246" s="30" t="str">
        <f t="shared" si="160"/>
        <v>Residual value (vehicle)</v>
      </c>
      <c r="B246" s="62">
        <f t="shared" si="161"/>
        <v>-1500988.3145543465</v>
      </c>
      <c r="C246" s="62">
        <f t="shared" si="162"/>
        <v>-1501415.8830813463</v>
      </c>
      <c r="D246" s="62">
        <f t="shared" si="163"/>
        <v>-1502027.9379044252</v>
      </c>
      <c r="E246" s="62">
        <f t="shared" si="164"/>
        <v>-1502903.5253704586</v>
      </c>
      <c r="F246" s="62">
        <f t="shared" si="165"/>
        <v>-1504154.9330673877</v>
      </c>
      <c r="G246" s="62">
        <f t="shared" si="166"/>
        <v>-1505940.9622913231</v>
      </c>
      <c r="H246" s="62">
        <f t="shared" si="167"/>
        <v>-1508484.7060671379</v>
      </c>
      <c r="I246" s="62">
        <f t="shared" si="168"/>
        <v>-1512096.4575785759</v>
      </c>
      <c r="J246" s="62">
        <f t="shared" si="169"/>
        <v>-1517201.3212728326</v>
      </c>
      <c r="K246" s="62">
        <f t="shared" si="170"/>
        <v>-1524368.4578001988</v>
      </c>
      <c r="L246" s="62">
        <f t="shared" si="171"/>
        <v>-1534333.3793243633</v>
      </c>
      <c r="M246" s="62">
        <f t="shared" si="172"/>
        <v>-1547994.9139455371</v>
      </c>
      <c r="N246" s="62">
        <f t="shared" si="173"/>
        <v>-1566354.5525655285</v>
      </c>
      <c r="O246" s="62">
        <f t="shared" si="174"/>
        <v>-1590354.1470631924</v>
      </c>
      <c r="P246" s="62">
        <f t="shared" si="175"/>
        <v>-1620577.5798750299</v>
      </c>
      <c r="Q246" s="62">
        <f t="shared" si="176"/>
        <v>-1656844.8316854599</v>
      </c>
      <c r="R246" s="62">
        <f t="shared" si="177"/>
        <v>-1697854.8845361769</v>
      </c>
      <c r="S246" s="62">
        <f t="shared" si="178"/>
        <v>-1741149.0290706661</v>
      </c>
      <c r="T246" s="62">
        <f t="shared" si="179"/>
        <v>-1783591.2258201423</v>
      </c>
      <c r="U246" s="62">
        <f t="shared" si="180"/>
        <v>-1822227.2311324596</v>
      </c>
      <c r="V246" s="62">
        <f t="shared" si="181"/>
        <v>-1855062.3337749701</v>
      </c>
      <c r="W246" s="62">
        <f t="shared" si="182"/>
        <v>-1881357.370557908</v>
      </c>
      <c r="X246" s="62">
        <f t="shared" si="183"/>
        <v>-1901421.650680305</v>
      </c>
      <c r="Y246" s="62">
        <f t="shared" si="184"/>
        <v>-1916170.5057278587</v>
      </c>
      <c r="Z246" s="62">
        <f t="shared" si="185"/>
        <v>-1926715.723720124</v>
      </c>
      <c r="AA246" s="62">
        <f t="shared" si="186"/>
        <v>-1934106.3642185943</v>
      </c>
      <c r="AB246" s="62">
        <f t="shared" si="187"/>
        <v>-1939213.7510673038</v>
      </c>
      <c r="AC246" s="62">
        <f t="shared" si="188"/>
        <v>-1942708.9903987246</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944.5849078871745</v>
      </c>
      <c r="C260" s="62">
        <f t="shared" si="194"/>
        <v>944.40532910583465</v>
      </c>
      <c r="D260" s="62">
        <f t="shared" si="194"/>
        <v>944.14826608014141</v>
      </c>
      <c r="E260" s="62">
        <f t="shared" si="194"/>
        <v>943.78051934440748</v>
      </c>
      <c r="F260" s="62">
        <f t="shared" si="194"/>
        <v>943.25492811169715</v>
      </c>
      <c r="G260" s="62">
        <f t="shared" si="194"/>
        <v>942.50479583764434</v>
      </c>
      <c r="H260" s="62">
        <f t="shared" si="194"/>
        <v>941.43642345180217</v>
      </c>
      <c r="I260" s="62">
        <f t="shared" si="194"/>
        <v>939.91948781699818</v>
      </c>
      <c r="J260" s="62">
        <f t="shared" si="194"/>
        <v>937.77544506541028</v>
      </c>
      <c r="K260" s="62">
        <f t="shared" si="194"/>
        <v>934.76524772391656</v>
      </c>
      <c r="L260" s="62">
        <f t="shared" si="195"/>
        <v>930.57998068376753</v>
      </c>
      <c r="M260" s="62">
        <f t="shared" si="195"/>
        <v>924.84213614287444</v>
      </c>
      <c r="N260" s="62">
        <f t="shared" si="195"/>
        <v>917.13108792247806</v>
      </c>
      <c r="O260" s="62">
        <f t="shared" si="195"/>
        <v>907.05125823345929</v>
      </c>
      <c r="P260" s="62">
        <f t="shared" si="195"/>
        <v>894.35741645248754</v>
      </c>
      <c r="Q260" s="62">
        <f t="shared" si="195"/>
        <v>879.12517069210696</v>
      </c>
      <c r="R260" s="62">
        <f t="shared" si="195"/>
        <v>861.90094849480568</v>
      </c>
      <c r="S260" s="62">
        <f t="shared" si="195"/>
        <v>843.71740779032029</v>
      </c>
      <c r="T260" s="62">
        <f t="shared" si="195"/>
        <v>825.89168515554024</v>
      </c>
      <c r="U260" s="62">
        <f t="shared" si="195"/>
        <v>809.66456292436703</v>
      </c>
      <c r="V260" s="62">
        <f t="shared" si="196"/>
        <v>795.87381981451244</v>
      </c>
      <c r="W260" s="62">
        <f t="shared" si="196"/>
        <v>784.82990436567866</v>
      </c>
      <c r="X260" s="62">
        <f t="shared" si="196"/>
        <v>776.40290671427192</v>
      </c>
      <c r="Y260" s="62">
        <f t="shared" si="196"/>
        <v>770.20838759429932</v>
      </c>
      <c r="Z260" s="62">
        <f t="shared" si="196"/>
        <v>765.77939603754794</v>
      </c>
      <c r="AA260" s="62">
        <f t="shared" si="196"/>
        <v>762.6753270281904</v>
      </c>
      <c r="AB260" s="62">
        <f t="shared" si="196"/>
        <v>760.53022455173243</v>
      </c>
      <c r="AC260" s="62">
        <f t="shared" si="196"/>
        <v>759.0622240325356</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8">((1+C249)^C256)*C249/(((1+C249)^C256)-1)*(C245)</f>
        <v>2344217.1490089451</v>
      </c>
      <c r="D264" s="63">
        <f t="shared" si="198"/>
        <v>2343099.9714048514</v>
      </c>
      <c r="E264" s="63">
        <f t="shared" si="198"/>
        <v>2341501.7702787537</v>
      </c>
      <c r="F264" s="63">
        <f t="shared" si="198"/>
        <v>2339217.5882089725</v>
      </c>
      <c r="G264" s="63">
        <f t="shared" si="198"/>
        <v>2335957.5667631798</v>
      </c>
      <c r="H264" s="63">
        <f t="shared" si="198"/>
        <v>2331314.496453566</v>
      </c>
      <c r="I264" s="63">
        <f t="shared" si="198"/>
        <v>2324722.0022063456</v>
      </c>
      <c r="J264" s="63">
        <f t="shared" si="198"/>
        <v>2315404.1450861497</v>
      </c>
      <c r="K264" s="63">
        <f t="shared" si="198"/>
        <v>2302322.0417974619</v>
      </c>
      <c r="L264" s="63">
        <f t="shared" si="198"/>
        <v>2284133.1692756363</v>
      </c>
      <c r="M264" s="63">
        <f t="shared" si="198"/>
        <v>2259196.9054952883</v>
      </c>
      <c r="N264" s="63">
        <f t="shared" si="198"/>
        <v>2225685.2390364991</v>
      </c>
      <c r="O264" s="63">
        <f t="shared" si="198"/>
        <v>2181879.0169970216</v>
      </c>
      <c r="P264" s="63">
        <f t="shared" si="198"/>
        <v>2126712.4845508407</v>
      </c>
      <c r="Q264" s="63">
        <f t="shared" si="198"/>
        <v>2060514.2291709851</v>
      </c>
      <c r="R264" s="63">
        <f t="shared" si="198"/>
        <v>1985658.9860457699</v>
      </c>
      <c r="S264" s="63">
        <f t="shared" si="198"/>
        <v>1906634.6130018148</v>
      </c>
      <c r="T264" s="63">
        <f t="shared" si="198"/>
        <v>1829165.2918084206</v>
      </c>
      <c r="U264" s="63">
        <f t="shared" si="198"/>
        <v>1758643.3741320807</v>
      </c>
      <c r="V264" s="63">
        <f t="shared" si="198"/>
        <v>1698709.7866213897</v>
      </c>
      <c r="W264" s="63">
        <f t="shared" si="198"/>
        <v>1650713.7165227169</v>
      </c>
      <c r="X264" s="63">
        <f t="shared" si="198"/>
        <v>1614090.584819823</v>
      </c>
      <c r="Y264" s="63">
        <f t="shared" si="198"/>
        <v>1587169.645838788</v>
      </c>
      <c r="Z264" s="63">
        <f t="shared" si="198"/>
        <v>1567921.5639235359</v>
      </c>
      <c r="AA264" s="63">
        <f t="shared" si="198"/>
        <v>1554431.5010509547</v>
      </c>
      <c r="AB264" s="63">
        <f t="shared" si="198"/>
        <v>1545109.0384419363</v>
      </c>
      <c r="AC264" s="63">
        <f t="shared" si="198"/>
        <v>1538729.2127224542</v>
      </c>
    </row>
    <row r="265" spans="1:29" x14ac:dyDescent="0.25">
      <c r="A265" s="30" t="str">
        <f>A246</f>
        <v>Residual value (vehicle)</v>
      </c>
      <c r="B265" s="62">
        <f>((1+B249)^B256)*B249/(((1+B249)^B256)-1)*(B246)</f>
        <v>-117417.38992255888</v>
      </c>
      <c r="C265" s="62">
        <f t="shared" ref="C265:AC265" si="199">((1+C249)^C256)*C249/(((1+C249)^C256)-1)*(C246)</f>
        <v>-117450.83720523692</v>
      </c>
      <c r="D265" s="62">
        <f t="shared" si="199"/>
        <v>-117498.71624541239</v>
      </c>
      <c r="E265" s="62">
        <f t="shared" si="199"/>
        <v>-117567.21057938797</v>
      </c>
      <c r="F265" s="62">
        <f t="shared" si="199"/>
        <v>-117665.10409666432</v>
      </c>
      <c r="G265" s="62">
        <f t="shared" si="199"/>
        <v>-117804.81930148401</v>
      </c>
      <c r="H265" s="62">
        <f t="shared" si="199"/>
        <v>-118003.80802903889</v>
      </c>
      <c r="I265" s="62">
        <f t="shared" si="199"/>
        <v>-118286.34349677691</v>
      </c>
      <c r="J265" s="62">
        <f t="shared" si="199"/>
        <v>-118685.68023049959</v>
      </c>
      <c r="K265" s="62">
        <f t="shared" si="199"/>
        <v>-119246.34180001476</v>
      </c>
      <c r="L265" s="62">
        <f t="shared" si="199"/>
        <v>-120025.864908093</v>
      </c>
      <c r="M265" s="62">
        <f t="shared" si="199"/>
        <v>-121094.56192725079</v>
      </c>
      <c r="N265" s="62">
        <f t="shared" si="199"/>
        <v>-122530.77620405605</v>
      </c>
      <c r="O265" s="62">
        <f t="shared" si="199"/>
        <v>-124408.18572003364</v>
      </c>
      <c r="P265" s="62">
        <f t="shared" si="199"/>
        <v>-126772.46568201284</v>
      </c>
      <c r="Q265" s="62">
        <f t="shared" si="199"/>
        <v>-129609.53376972093</v>
      </c>
      <c r="R265" s="62">
        <f t="shared" si="199"/>
        <v>-132817.61561794442</v>
      </c>
      <c r="S265" s="62">
        <f t="shared" si="199"/>
        <v>-136204.37446268537</v>
      </c>
      <c r="T265" s="62">
        <f t="shared" si="199"/>
        <v>-139524.48822811653</v>
      </c>
      <c r="U265" s="62">
        <f t="shared" si="199"/>
        <v>-142546.8561285311</v>
      </c>
      <c r="V265" s="62">
        <f t="shared" si="199"/>
        <v>-145115.43845041786</v>
      </c>
      <c r="W265" s="62">
        <f t="shared" si="199"/>
        <v>-147172.41288321812</v>
      </c>
      <c r="X265" s="62">
        <f t="shared" si="199"/>
        <v>-148741.975670485</v>
      </c>
      <c r="Y265" s="62">
        <f t="shared" si="199"/>
        <v>-149895.73019824366</v>
      </c>
      <c r="Z265" s="62">
        <f t="shared" si="199"/>
        <v>-150720.64799461162</v>
      </c>
      <c r="AA265" s="62">
        <f t="shared" si="199"/>
        <v>-151298.79354629366</v>
      </c>
      <c r="AB265" s="62">
        <f t="shared" si="199"/>
        <v>-151698.32765810873</v>
      </c>
      <c r="AC265" s="62">
        <f t="shared" si="199"/>
        <v>-151971.74876037225</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13917441.016853284</v>
      </c>
      <c r="C271" s="62">
        <f t="shared" ref="C271:AC271" si="205">C253*C254*C261</f>
        <v>13554502.313185614</v>
      </c>
      <c r="D271" s="62">
        <f t="shared" si="205"/>
        <v>13191002.201981308</v>
      </c>
      <c r="E271" s="62">
        <f t="shared" si="205"/>
        <v>12936205.269684833</v>
      </c>
      <c r="F271" s="62">
        <f t="shared" si="205"/>
        <v>12680264.89911822</v>
      </c>
      <c r="G271" s="62">
        <f t="shared" si="205"/>
        <v>12422734.285056066</v>
      </c>
      <c r="H271" s="62">
        <f t="shared" si="205"/>
        <v>12163001.901296917</v>
      </c>
      <c r="I271" s="62">
        <f t="shared" si="205"/>
        <v>11900240.66071108</v>
      </c>
      <c r="J271" s="62">
        <f t="shared" si="205"/>
        <v>11873871.346602231</v>
      </c>
      <c r="K271" s="62">
        <f t="shared" si="205"/>
        <v>11841038.882806974</v>
      </c>
      <c r="L271" s="62">
        <f t="shared" si="205"/>
        <v>11799447.122225013</v>
      </c>
      <c r="M271" s="62">
        <f t="shared" si="205"/>
        <v>11746294.792433945</v>
      </c>
      <c r="N271" s="62">
        <f t="shared" si="205"/>
        <v>11678468.130519712</v>
      </c>
      <c r="O271" s="62">
        <f t="shared" si="205"/>
        <v>11348251.239766695</v>
      </c>
      <c r="P271" s="62">
        <f t="shared" si="205"/>
        <v>11002664.095027352</v>
      </c>
      <c r="Q271" s="62">
        <f t="shared" si="205"/>
        <v>10643522.145833924</v>
      </c>
      <c r="R271" s="62">
        <f t="shared" si="205"/>
        <v>10275801.141218064</v>
      </c>
      <c r="S271" s="62">
        <f t="shared" si="205"/>
        <v>9907353.1579891834</v>
      </c>
      <c r="T271" s="62">
        <f t="shared" si="205"/>
        <v>9564523.398017589</v>
      </c>
      <c r="U271" s="62">
        <f t="shared" si="205"/>
        <v>9237276.4634616822</v>
      </c>
      <c r="V271" s="62">
        <f t="shared" si="205"/>
        <v>8930072.6288987473</v>
      </c>
      <c r="W271" s="62">
        <f t="shared" si="205"/>
        <v>8643674.253544854</v>
      </c>
      <c r="X271" s="62">
        <f t="shared" si="205"/>
        <v>8376060.0331768915</v>
      </c>
      <c r="Y271" s="62">
        <f t="shared" si="205"/>
        <v>8161140.6420521922</v>
      </c>
      <c r="Z271" s="62">
        <f t="shared" si="205"/>
        <v>7957739.5207671775</v>
      </c>
      <c r="AA271" s="62">
        <f t="shared" si="205"/>
        <v>7762759.7976934081</v>
      </c>
      <c r="AB271" s="62">
        <f t="shared" si="205"/>
        <v>7573728.9150236854</v>
      </c>
      <c r="AC271" s="62">
        <f t="shared" si="205"/>
        <v>7388801.2611698182</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17860020.765372168</v>
      </c>
      <c r="C273" s="64">
        <f t="shared" ref="C273:AC273" si="207">C264+C265+C266+C267+C268+C269+C270+C271+C272</f>
        <v>17496268.177825999</v>
      </c>
      <c r="D273" s="64">
        <f t="shared" si="207"/>
        <v>17131603.009977423</v>
      </c>
      <c r="E273" s="64">
        <f t="shared" si="207"/>
        <v>16875139.382220875</v>
      </c>
      <c r="F273" s="64">
        <f t="shared" si="207"/>
        <v>16616816.936067205</v>
      </c>
      <c r="G273" s="64">
        <f t="shared" si="207"/>
        <v>16355886.585354438</v>
      </c>
      <c r="H273" s="64">
        <f t="shared" si="207"/>
        <v>16091312.14255812</v>
      </c>
      <c r="I273" s="64">
        <f t="shared" si="207"/>
        <v>15821675.872257324</v>
      </c>
      <c r="J273" s="64">
        <f t="shared" si="207"/>
        <v>15785589.364294557</v>
      </c>
      <c r="K273" s="64">
        <f t="shared" si="207"/>
        <v>15739114.135641096</v>
      </c>
      <c r="L273" s="64">
        <f t="shared" si="207"/>
        <v>15678553.979429232</v>
      </c>
      <c r="M273" s="64">
        <f t="shared" si="207"/>
        <v>15599396.688838659</v>
      </c>
      <c r="N273" s="64">
        <f t="shared" si="207"/>
        <v>15496622.146188831</v>
      </c>
      <c r="O273" s="64">
        <f t="shared" si="207"/>
        <v>15120721.623880358</v>
      </c>
      <c r="P273" s="64">
        <f t="shared" si="207"/>
        <v>14717603.666732855</v>
      </c>
      <c r="Q273" s="64">
        <f t="shared" si="207"/>
        <v>14289426.394071866</v>
      </c>
      <c r="R273" s="64">
        <f t="shared" si="207"/>
        <v>13843642.064482566</v>
      </c>
      <c r="S273" s="64">
        <f t="shared" si="207"/>
        <v>13392782.94936499</v>
      </c>
      <c r="T273" s="64">
        <f t="shared" si="207"/>
        <v>12969163.754434569</v>
      </c>
      <c r="U273" s="64">
        <f t="shared" si="207"/>
        <v>12568372.534301909</v>
      </c>
      <c r="V273" s="64">
        <f t="shared" si="207"/>
        <v>12198666.529906396</v>
      </c>
      <c r="W273" s="64">
        <f t="shared" si="207"/>
        <v>11862215.110021029</v>
      </c>
      <c r="X273" s="64">
        <f t="shared" si="207"/>
        <v>11556408.195162905</v>
      </c>
      <c r="Y273" s="64">
        <f t="shared" si="207"/>
        <v>11313414.110529413</v>
      </c>
      <c r="Z273" s="64">
        <f t="shared" si="207"/>
        <v>11089939.989532778</v>
      </c>
      <c r="AA273" s="64">
        <f t="shared" si="207"/>
        <v>10880892.058034746</v>
      </c>
      <c r="AB273" s="64">
        <f t="shared" si="207"/>
        <v>10682139.17864419</v>
      </c>
      <c r="AC273" s="64">
        <f t="shared" si="207"/>
        <v>10490558.277968576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19.541646546706382</v>
      </c>
      <c r="C276" s="65">
        <f t="shared" ref="C276:AC276" si="209">((1+C249)^C256)*C249/(((1+C249)^C256)-1)*(C245)/C261</f>
        <v>19.535142908407877</v>
      </c>
      <c r="D276" s="65">
        <f t="shared" si="209"/>
        <v>19.525833095040429</v>
      </c>
      <c r="E276" s="65">
        <f t="shared" si="209"/>
        <v>19.512514752322947</v>
      </c>
      <c r="F276" s="65">
        <f t="shared" si="209"/>
        <v>19.493479901741438</v>
      </c>
      <c r="G276" s="65">
        <f t="shared" si="209"/>
        <v>19.466313056359834</v>
      </c>
      <c r="H276" s="65">
        <f t="shared" si="209"/>
        <v>19.427620803779718</v>
      </c>
      <c r="I276" s="65">
        <f t="shared" si="209"/>
        <v>19.372683351719548</v>
      </c>
      <c r="J276" s="65">
        <f t="shared" si="209"/>
        <v>19.295034542384581</v>
      </c>
      <c r="K276" s="65">
        <f t="shared" si="209"/>
        <v>19.186017014978848</v>
      </c>
      <c r="L276" s="65">
        <f t="shared" si="209"/>
        <v>19.03444307729697</v>
      </c>
      <c r="M276" s="65">
        <f t="shared" si="209"/>
        <v>18.826640879127403</v>
      </c>
      <c r="N276" s="65">
        <f t="shared" si="209"/>
        <v>18.547376991970825</v>
      </c>
      <c r="O276" s="65">
        <f t="shared" si="209"/>
        <v>18.182325141641847</v>
      </c>
      <c r="P276" s="65">
        <f t="shared" si="209"/>
        <v>17.722604037923674</v>
      </c>
      <c r="Q276" s="65">
        <f t="shared" si="209"/>
        <v>17.170951909758209</v>
      </c>
      <c r="R276" s="65">
        <f t="shared" si="209"/>
        <v>16.547158217048082</v>
      </c>
      <c r="S276" s="65">
        <f t="shared" si="209"/>
        <v>15.888621775015123</v>
      </c>
      <c r="T276" s="65">
        <f t="shared" si="209"/>
        <v>15.243044098403505</v>
      </c>
      <c r="U276" s="65">
        <f t="shared" si="209"/>
        <v>14.655361451100672</v>
      </c>
      <c r="V276" s="65">
        <f t="shared" si="209"/>
        <v>14.15591488851158</v>
      </c>
      <c r="W276" s="65">
        <f t="shared" si="209"/>
        <v>13.755947637689308</v>
      </c>
      <c r="X276" s="65">
        <f t="shared" si="209"/>
        <v>13.450754873498525</v>
      </c>
      <c r="Y276" s="65">
        <f t="shared" si="209"/>
        <v>13.226413715323233</v>
      </c>
      <c r="Z276" s="65">
        <f t="shared" si="209"/>
        <v>13.066013032696132</v>
      </c>
      <c r="AA276" s="65">
        <f t="shared" si="209"/>
        <v>12.953595842091289</v>
      </c>
      <c r="AB276" s="65">
        <f t="shared" si="209"/>
        <v>12.875908653682803</v>
      </c>
      <c r="AC276" s="65">
        <f t="shared" si="209"/>
        <v>12.822743439353784</v>
      </c>
    </row>
    <row r="277" spans="1:29" x14ac:dyDescent="0.25">
      <c r="A277" s="30" t="str">
        <f t="shared" si="208"/>
        <v>Residual value (vehicle)</v>
      </c>
      <c r="B277" s="66">
        <f>((1+B249)^B256)*B249/(((1+B249)^B256)-1)*(B246)/B261</f>
        <v>-0.97847824935465733</v>
      </c>
      <c r="C277" s="66">
        <f t="shared" ref="C277:AC277" si="210">((1+C249)^C256)*C249/(((1+C249)^C256)-1)*(C246)/C261</f>
        <v>-0.9787569767103077</v>
      </c>
      <c r="D277" s="66">
        <f t="shared" si="210"/>
        <v>-0.97915596871176991</v>
      </c>
      <c r="E277" s="66">
        <f t="shared" si="210"/>
        <v>-0.97972675482823313</v>
      </c>
      <c r="F277" s="66">
        <f t="shared" si="210"/>
        <v>-0.98054253413886938</v>
      </c>
      <c r="G277" s="66">
        <f t="shared" si="210"/>
        <v>-0.98170682751236671</v>
      </c>
      <c r="H277" s="66">
        <f t="shared" si="210"/>
        <v>-0.98336506690865744</v>
      </c>
      <c r="I277" s="66">
        <f t="shared" si="210"/>
        <v>-0.98571952913980765</v>
      </c>
      <c r="J277" s="66">
        <f t="shared" si="210"/>
        <v>-0.98904733525416333</v>
      </c>
      <c r="K277" s="66">
        <f t="shared" si="210"/>
        <v>-0.99371951500012301</v>
      </c>
      <c r="L277" s="66">
        <f t="shared" si="210"/>
        <v>-1.0002155409007751</v>
      </c>
      <c r="M277" s="66">
        <f t="shared" si="210"/>
        <v>-1.0091213493937565</v>
      </c>
      <c r="N277" s="66">
        <f t="shared" si="210"/>
        <v>-1.021089801700467</v>
      </c>
      <c r="O277" s="66">
        <f t="shared" si="210"/>
        <v>-1.0367348810002803</v>
      </c>
      <c r="P277" s="66">
        <f t="shared" si="210"/>
        <v>-1.0564372140167737</v>
      </c>
      <c r="Q277" s="66">
        <f t="shared" si="210"/>
        <v>-1.0800794480810079</v>
      </c>
      <c r="R277" s="66">
        <f t="shared" si="210"/>
        <v>-1.1068134634828701</v>
      </c>
      <c r="S277" s="66">
        <f t="shared" si="210"/>
        <v>-1.1350364538557114</v>
      </c>
      <c r="T277" s="66">
        <f t="shared" si="210"/>
        <v>-1.1627040685676377</v>
      </c>
      <c r="U277" s="66">
        <f t="shared" si="210"/>
        <v>-1.1878904677377591</v>
      </c>
      <c r="V277" s="66">
        <f t="shared" si="210"/>
        <v>-1.2092953204201489</v>
      </c>
      <c r="W277" s="66">
        <f t="shared" si="210"/>
        <v>-1.2264367740268176</v>
      </c>
      <c r="X277" s="66">
        <f t="shared" si="210"/>
        <v>-1.2395164639207084</v>
      </c>
      <c r="Y277" s="66">
        <f t="shared" si="210"/>
        <v>-1.2491310849853638</v>
      </c>
      <c r="Z277" s="66">
        <f t="shared" si="210"/>
        <v>-1.2560053999550969</v>
      </c>
      <c r="AA277" s="66">
        <f t="shared" si="210"/>
        <v>-1.2608232795524472</v>
      </c>
      <c r="AB277" s="66">
        <f t="shared" si="210"/>
        <v>-1.2641527304842395</v>
      </c>
      <c r="AC277" s="66">
        <f t="shared" si="210"/>
        <v>-1.2664312396697688</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115.97867514044404</v>
      </c>
      <c r="C283" s="66">
        <f t="shared" ref="C283:AC283" si="216">C253*C254*C261/C261</f>
        <v>112.95418594321345</v>
      </c>
      <c r="D283" s="66">
        <f t="shared" si="216"/>
        <v>109.92501834984424</v>
      </c>
      <c r="E283" s="66">
        <f t="shared" si="216"/>
        <v>107.80171058070694</v>
      </c>
      <c r="F283" s="66">
        <f t="shared" si="216"/>
        <v>105.66887415931851</v>
      </c>
      <c r="G283" s="66">
        <f t="shared" si="216"/>
        <v>103.52278570880055</v>
      </c>
      <c r="H283" s="66">
        <f t="shared" si="216"/>
        <v>101.35834917747431</v>
      </c>
      <c r="I283" s="66">
        <f t="shared" si="216"/>
        <v>99.168672172592338</v>
      </c>
      <c r="J283" s="66">
        <f t="shared" si="216"/>
        <v>98.948927888351932</v>
      </c>
      <c r="K283" s="66">
        <f t="shared" si="216"/>
        <v>98.67532402339144</v>
      </c>
      <c r="L283" s="66">
        <f t="shared" si="216"/>
        <v>98.328726018541772</v>
      </c>
      <c r="M283" s="66">
        <f t="shared" si="216"/>
        <v>97.88578993694955</v>
      </c>
      <c r="N283" s="66">
        <f t="shared" si="216"/>
        <v>97.320567754330938</v>
      </c>
      <c r="O283" s="66">
        <f t="shared" si="216"/>
        <v>94.568760331389129</v>
      </c>
      <c r="P283" s="66">
        <f t="shared" si="216"/>
        <v>91.688867458561262</v>
      </c>
      <c r="Q283" s="66">
        <f t="shared" si="216"/>
        <v>88.696017881949373</v>
      </c>
      <c r="R283" s="66">
        <f t="shared" si="216"/>
        <v>85.631676176817209</v>
      </c>
      <c r="S283" s="66">
        <f t="shared" si="216"/>
        <v>82.561276316576524</v>
      </c>
      <c r="T283" s="66">
        <f t="shared" si="216"/>
        <v>79.704361650146581</v>
      </c>
      <c r="U283" s="66">
        <f t="shared" si="216"/>
        <v>76.97730386218069</v>
      </c>
      <c r="V283" s="66">
        <f t="shared" si="216"/>
        <v>74.417271907489564</v>
      </c>
      <c r="W283" s="66">
        <f t="shared" si="216"/>
        <v>72.030618779540447</v>
      </c>
      <c r="X283" s="66">
        <f t="shared" si="216"/>
        <v>69.800500276474096</v>
      </c>
      <c r="Y283" s="66">
        <f t="shared" si="216"/>
        <v>68.009505350434935</v>
      </c>
      <c r="Z283" s="66">
        <f t="shared" si="216"/>
        <v>66.314496006393142</v>
      </c>
      <c r="AA283" s="66">
        <f t="shared" si="216"/>
        <v>64.689664980778403</v>
      </c>
      <c r="AB283" s="66">
        <f t="shared" si="216"/>
        <v>63.11440762519738</v>
      </c>
      <c r="AC283" s="66">
        <f t="shared" si="216"/>
        <v>61.573343843081815</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148.96388424178852</v>
      </c>
      <c r="C285" s="76">
        <f t="shared" ref="C285:AC285" si="219">C276+C277+C278-C279+C280+C281+C282+C283+C284</f>
        <v>145.93261267890375</v>
      </c>
      <c r="D285" s="76">
        <f t="shared" si="219"/>
        <v>142.89373628016565</v>
      </c>
      <c r="E285" s="76">
        <f t="shared" si="219"/>
        <v>140.7565393821944</v>
      </c>
      <c r="F285" s="76">
        <f t="shared" si="219"/>
        <v>138.60385233091381</v>
      </c>
      <c r="G285" s="76">
        <f t="shared" si="219"/>
        <v>136.42943274164077</v>
      </c>
      <c r="H285" s="76">
        <f t="shared" si="219"/>
        <v>134.22464571833814</v>
      </c>
      <c r="I285" s="76">
        <f t="shared" si="219"/>
        <v>131.97767679916484</v>
      </c>
      <c r="J285" s="76">
        <f t="shared" si="219"/>
        <v>131.6769558994751</v>
      </c>
      <c r="K285" s="76">
        <f t="shared" si="219"/>
        <v>131.28966232736292</v>
      </c>
      <c r="L285" s="76">
        <f t="shared" si="219"/>
        <v>130.78499435893073</v>
      </c>
      <c r="M285" s="76">
        <f t="shared" si="219"/>
        <v>130.12535027067597</v>
      </c>
      <c r="N285" s="76">
        <f t="shared" si="219"/>
        <v>129.26889574859405</v>
      </c>
      <c r="O285" s="76">
        <f t="shared" si="219"/>
        <v>126.13639139602346</v>
      </c>
      <c r="P285" s="76">
        <f t="shared" si="219"/>
        <v>122.77707508646091</v>
      </c>
      <c r="Q285" s="76">
        <f t="shared" si="219"/>
        <v>119.20893114761932</v>
      </c>
      <c r="R285" s="76">
        <f t="shared" si="219"/>
        <v>115.49406173437518</v>
      </c>
      <c r="S285" s="76">
        <f t="shared" si="219"/>
        <v>111.73690244172869</v>
      </c>
      <c r="T285" s="76">
        <f t="shared" si="219"/>
        <v>108.20674248397521</v>
      </c>
      <c r="U285" s="76">
        <f t="shared" si="219"/>
        <v>104.86681564953636</v>
      </c>
      <c r="V285" s="76">
        <f t="shared" si="219"/>
        <v>101.78593227957376</v>
      </c>
      <c r="W285" s="76">
        <f t="shared" si="219"/>
        <v>98.982170447195699</v>
      </c>
      <c r="X285" s="76">
        <f t="shared" si="219"/>
        <v>96.433779490044671</v>
      </c>
      <c r="Y285" s="76">
        <f t="shared" si="219"/>
        <v>94.408828784765561</v>
      </c>
      <c r="Z285" s="76">
        <f t="shared" si="219"/>
        <v>92.546544443126933</v>
      </c>
      <c r="AA285" s="76">
        <f t="shared" si="219"/>
        <v>90.80447834731001</v>
      </c>
      <c r="AB285" s="76">
        <f t="shared" si="219"/>
        <v>89.148204352388703</v>
      </c>
      <c r="AC285" s="76">
        <f t="shared" si="219"/>
        <v>87.551696846758588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2.0678991054715748E-3</v>
      </c>
      <c r="C288" s="65">
        <f t="shared" ref="C288:AC288" si="221">((1+C249)^C256)*C249/(((1+C249)^C256)-1)*(C245)/C261/(C258)</f>
        <v>2.0672108897786113E-3</v>
      </c>
      <c r="D288" s="65">
        <f t="shared" si="221"/>
        <v>2.0662257243429026E-3</v>
      </c>
      <c r="E288" s="65">
        <f t="shared" si="221"/>
        <v>2.0648163759071901E-3</v>
      </c>
      <c r="F288" s="65">
        <f t="shared" si="221"/>
        <v>2.0628021060043848E-3</v>
      </c>
      <c r="G288" s="65">
        <f t="shared" si="221"/>
        <v>2.0599273075513052E-3</v>
      </c>
      <c r="H288" s="65">
        <f t="shared" si="221"/>
        <v>2.0558328892888592E-3</v>
      </c>
      <c r="I288" s="65">
        <f t="shared" si="221"/>
        <v>2.0500194022983649E-3</v>
      </c>
      <c r="J288" s="65">
        <f t="shared" si="221"/>
        <v>2.0418025970777333E-3</v>
      </c>
      <c r="K288" s="65">
        <f t="shared" si="221"/>
        <v>2.0302663507914126E-3</v>
      </c>
      <c r="L288" s="65">
        <f t="shared" si="221"/>
        <v>2.0142267806663458E-3</v>
      </c>
      <c r="M288" s="65">
        <f t="shared" si="221"/>
        <v>1.9922371300663917E-3</v>
      </c>
      <c r="N288" s="65">
        <f t="shared" si="221"/>
        <v>1.9626853959757488E-3</v>
      </c>
      <c r="O288" s="65">
        <f t="shared" si="221"/>
        <v>1.9240555705441109E-3</v>
      </c>
      <c r="P288" s="65">
        <f t="shared" si="221"/>
        <v>1.8754078347009179E-3</v>
      </c>
      <c r="Q288" s="65">
        <f t="shared" si="221"/>
        <v>1.8170319481225618E-3</v>
      </c>
      <c r="R288" s="65">
        <f t="shared" si="221"/>
        <v>1.7510220335500617E-3</v>
      </c>
      <c r="S288" s="65">
        <f t="shared" si="221"/>
        <v>1.6813356375677379E-3</v>
      </c>
      <c r="T288" s="65">
        <f t="shared" si="221"/>
        <v>1.6130205395135985E-3</v>
      </c>
      <c r="U288" s="65">
        <f t="shared" si="221"/>
        <v>1.5508318995873728E-3</v>
      </c>
      <c r="V288" s="65">
        <f t="shared" si="221"/>
        <v>1.497980411482707E-3</v>
      </c>
      <c r="W288" s="65">
        <f t="shared" si="221"/>
        <v>1.4556558346761172E-3</v>
      </c>
      <c r="X288" s="65">
        <f t="shared" si="221"/>
        <v>1.423360304073918E-3</v>
      </c>
      <c r="Y288" s="65">
        <f t="shared" si="221"/>
        <v>1.3996204989760034E-3</v>
      </c>
      <c r="Z288" s="65">
        <f t="shared" si="221"/>
        <v>1.3826468817667865E-3</v>
      </c>
      <c r="AA288" s="65">
        <f t="shared" si="221"/>
        <v>1.370750882760983E-3</v>
      </c>
      <c r="AB288" s="65">
        <f t="shared" si="221"/>
        <v>1.3625300162627306E-3</v>
      </c>
      <c r="AC288" s="65">
        <f t="shared" si="221"/>
        <v>1.3569040676564852E-3</v>
      </c>
    </row>
    <row r="289" spans="1:29" x14ac:dyDescent="0.25">
      <c r="A289" s="30" t="str">
        <f t="shared" si="220"/>
        <v>Residual value (vehicle)</v>
      </c>
      <c r="B289" s="68">
        <f>((1+B249)^B256)*B249/(((1+B249)^B256)-1)*(B246)/B261/(B258)</f>
        <v>-1.0354267188938173E-4</v>
      </c>
      <c r="C289" s="68">
        <f t="shared" ref="C289:AC289" si="222">((1+C249)^C256)*C249/(((1+C249)^C256)-1)*(C246)/C261/(C258)</f>
        <v>-1.0357216684765161E-4</v>
      </c>
      <c r="D289" s="68">
        <f t="shared" si="222"/>
        <v>-1.0361438822346771E-4</v>
      </c>
      <c r="E289" s="68">
        <f t="shared" si="222"/>
        <v>-1.036747888707125E-4</v>
      </c>
      <c r="F289" s="68">
        <f t="shared" si="222"/>
        <v>-1.0376111472368988E-4</v>
      </c>
      <c r="G289" s="68">
        <f t="shared" si="222"/>
        <v>-1.0388432037167901E-4</v>
      </c>
      <c r="H289" s="68">
        <f t="shared" si="222"/>
        <v>-1.0405979544006957E-4</v>
      </c>
      <c r="I289" s="68">
        <f t="shared" si="222"/>
        <v>-1.0430894488251933E-4</v>
      </c>
      <c r="J289" s="68">
        <f t="shared" si="222"/>
        <v>-1.0466109367768924E-4</v>
      </c>
      <c r="K289" s="68">
        <f t="shared" si="222"/>
        <v>-1.0515550423281725E-4</v>
      </c>
      <c r="L289" s="68">
        <f t="shared" si="222"/>
        <v>-1.0584291438103441E-4</v>
      </c>
      <c r="M289" s="68">
        <f t="shared" si="222"/>
        <v>-1.067853279781753E-4</v>
      </c>
      <c r="N289" s="68">
        <f t="shared" si="222"/>
        <v>-1.0805183086777429E-4</v>
      </c>
      <c r="O289" s="68">
        <f t="shared" si="222"/>
        <v>-1.0970739481484449E-4</v>
      </c>
      <c r="P289" s="68">
        <f t="shared" si="222"/>
        <v>-1.1179229777955277E-4</v>
      </c>
      <c r="Q289" s="68">
        <f t="shared" si="222"/>
        <v>-1.1429412149005375E-4</v>
      </c>
      <c r="R289" s="68">
        <f t="shared" si="222"/>
        <v>-1.1712311782887515E-4</v>
      </c>
      <c r="S289" s="68">
        <f t="shared" si="222"/>
        <v>-1.2010967765668903E-4</v>
      </c>
      <c r="T289" s="68">
        <f t="shared" si="222"/>
        <v>-1.2303746757329499E-4</v>
      </c>
      <c r="U289" s="68">
        <f t="shared" si="222"/>
        <v>-1.2570269499870466E-4</v>
      </c>
      <c r="V289" s="68">
        <f t="shared" si="222"/>
        <v>-1.2796775877461892E-4</v>
      </c>
      <c r="W289" s="68">
        <f t="shared" si="222"/>
        <v>-1.2978166920918704E-4</v>
      </c>
      <c r="X289" s="68">
        <f t="shared" si="222"/>
        <v>-1.3116576337785275E-4</v>
      </c>
      <c r="Y289" s="68">
        <f t="shared" si="222"/>
        <v>-1.321831835963348E-4</v>
      </c>
      <c r="Z289" s="68">
        <f t="shared" si="222"/>
        <v>-1.3291062433387269E-4</v>
      </c>
      <c r="AA289" s="68">
        <f t="shared" si="222"/>
        <v>-1.3342045286269283E-4</v>
      </c>
      <c r="AB289" s="68">
        <f t="shared" si="222"/>
        <v>-1.3377277571261794E-4</v>
      </c>
      <c r="AC289" s="68">
        <f t="shared" si="222"/>
        <v>-1.3401388779574273E-4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1.2272875676237464E-2</v>
      </c>
      <c r="C295" s="66">
        <f t="shared" ref="C295:AC295" si="228">C253*C254*C261/C261/(C258)</f>
        <v>1.1952823909334756E-2</v>
      </c>
      <c r="D295" s="66">
        <f t="shared" si="228"/>
        <v>1.1632277074057592E-2</v>
      </c>
      <c r="E295" s="66">
        <f t="shared" si="228"/>
        <v>1.140758842123883E-2</v>
      </c>
      <c r="F295" s="66">
        <f t="shared" si="228"/>
        <v>1.118189144543053E-2</v>
      </c>
      <c r="G295" s="66">
        <f t="shared" si="228"/>
        <v>1.0954792138497413E-2</v>
      </c>
      <c r="H295" s="66">
        <f t="shared" si="228"/>
        <v>1.0725751235711567E-2</v>
      </c>
      <c r="I295" s="66">
        <f t="shared" si="228"/>
        <v>1.0494039383343104E-2</v>
      </c>
      <c r="J295" s="66">
        <f t="shared" si="228"/>
        <v>1.0470786019931422E-2</v>
      </c>
      <c r="K295" s="66">
        <f t="shared" si="228"/>
        <v>1.0441833229988512E-2</v>
      </c>
      <c r="L295" s="66">
        <f t="shared" si="228"/>
        <v>1.0405156192438283E-2</v>
      </c>
      <c r="M295" s="66">
        <f t="shared" si="228"/>
        <v>1.0358284649412651E-2</v>
      </c>
      <c r="N295" s="66">
        <f t="shared" si="228"/>
        <v>1.0298472778236077E-2</v>
      </c>
      <c r="O295" s="66">
        <f t="shared" si="228"/>
        <v>1.0007276225543824E-2</v>
      </c>
      <c r="P295" s="66">
        <f t="shared" si="228"/>
        <v>9.7025256569906095E-3</v>
      </c>
      <c r="Q295" s="66">
        <f t="shared" si="228"/>
        <v>9.3858219980898806E-3</v>
      </c>
      <c r="R295" s="66">
        <f t="shared" si="228"/>
        <v>9.0615530345838323E-3</v>
      </c>
      <c r="S295" s="66">
        <f t="shared" si="228"/>
        <v>8.7366429964631249E-3</v>
      </c>
      <c r="T295" s="66">
        <f t="shared" si="228"/>
        <v>8.4343239841424954E-3</v>
      </c>
      <c r="U295" s="66">
        <f t="shared" si="228"/>
        <v>8.1457464404424019E-3</v>
      </c>
      <c r="V295" s="66">
        <f t="shared" si="228"/>
        <v>7.8748435880941336E-3</v>
      </c>
      <c r="W295" s="66">
        <f t="shared" si="228"/>
        <v>7.6222877015386719E-3</v>
      </c>
      <c r="X295" s="66">
        <f t="shared" si="228"/>
        <v>7.3862963255528144E-3</v>
      </c>
      <c r="Y295" s="66">
        <f t="shared" si="228"/>
        <v>7.1967730529560779E-3</v>
      </c>
      <c r="Z295" s="66">
        <f t="shared" si="228"/>
        <v>7.0174069848035073E-3</v>
      </c>
      <c r="AA295" s="66">
        <f t="shared" si="228"/>
        <v>6.8454671937331641E-3</v>
      </c>
      <c r="AB295" s="66">
        <f t="shared" si="228"/>
        <v>6.6787732936716806E-3</v>
      </c>
      <c r="AC295" s="66">
        <f t="shared" si="228"/>
        <v>6.5156977611726787E-3</v>
      </c>
    </row>
    <row r="296" spans="1:29" x14ac:dyDescent="0.25">
      <c r="A296" s="59" t="str">
        <f>A259</f>
        <v>Market failure (av. utilization)</v>
      </c>
      <c r="B296" s="66">
        <f t="shared" ref="B296:AC296" si="229">B285/B259-B285/B258</f>
        <v>1.4550806763544664E-2</v>
      </c>
      <c r="C296" s="66">
        <f t="shared" si="229"/>
        <v>1.4254711861187179E-2</v>
      </c>
      <c r="D296" s="66">
        <f t="shared" si="229"/>
        <v>1.39578741177207E-2</v>
      </c>
      <c r="E296" s="66">
        <f t="shared" si="229"/>
        <v>1.3749112515965266E-2</v>
      </c>
      <c r="F296" s="66">
        <f t="shared" si="229"/>
        <v>1.3538837834521495E-2</v>
      </c>
      <c r="G296" s="66">
        <f t="shared" si="229"/>
        <v>1.3326440316643788E-2</v>
      </c>
      <c r="H296" s="66">
        <f t="shared" si="229"/>
        <v>1.3111076504843775E-2</v>
      </c>
      <c r="I296" s="66">
        <f t="shared" si="229"/>
        <v>1.2891592361334782E-2</v>
      </c>
      <c r="J296" s="66">
        <f t="shared" si="229"/>
        <v>1.2862217914478643E-2</v>
      </c>
      <c r="K296" s="66">
        <f t="shared" si="229"/>
        <v>1.2824387040523849E-2</v>
      </c>
      <c r="L296" s="66">
        <f t="shared" si="229"/>
        <v>1.2775091024071376E-2</v>
      </c>
      <c r="M296" s="66">
        <f t="shared" si="229"/>
        <v>1.2710656925096552E-2</v>
      </c>
      <c r="N296" s="66">
        <f t="shared" si="229"/>
        <v>1.2626998363721031E-2</v>
      </c>
      <c r="O296" s="66">
        <f t="shared" si="229"/>
        <v>1.2321015032578604E-2</v>
      </c>
      <c r="P296" s="66">
        <f t="shared" si="229"/>
        <v>1.199287668732219E-2</v>
      </c>
      <c r="Q296" s="66">
        <f t="shared" si="229"/>
        <v>1.1644340038839494E-2</v>
      </c>
      <c r="R296" s="66">
        <f t="shared" si="229"/>
        <v>1.1281471231685001E-2</v>
      </c>
      <c r="S296" s="66">
        <f t="shared" si="229"/>
        <v>1.0914471544979603E-2</v>
      </c>
      <c r="T296" s="66">
        <f t="shared" si="229"/>
        <v>1.0569645175479874E-2</v>
      </c>
      <c r="U296" s="66">
        <f t="shared" si="229"/>
        <v>1.0243400796047509E-2</v>
      </c>
      <c r="V296" s="66">
        <f t="shared" si="229"/>
        <v>9.9424598075285708E-3</v>
      </c>
      <c r="W296" s="66">
        <f t="shared" si="229"/>
        <v>9.6685880778701536E-3</v>
      </c>
      <c r="X296" s="66">
        <f t="shared" si="229"/>
        <v>9.4196610002485626E-3</v>
      </c>
      <c r="Y296" s="66">
        <f t="shared" si="229"/>
        <v>9.2218636175595177E-3</v>
      </c>
      <c r="Z296" s="66">
        <f t="shared" si="229"/>
        <v>9.0399555011601417E-3</v>
      </c>
      <c r="AA296" s="66">
        <f t="shared" si="229"/>
        <v>8.8697903147555556E-3</v>
      </c>
      <c r="AB296" s="66">
        <f t="shared" si="229"/>
        <v>8.7080053091466367E-3</v>
      </c>
      <c r="AC296" s="66">
        <f t="shared" si="229"/>
        <v>8.5520583000496773E-3</v>
      </c>
    </row>
    <row r="297" spans="1:29" x14ac:dyDescent="0.25">
      <c r="A297" s="59" t="str">
        <f>A260</f>
        <v>Payload loss (fuel)</v>
      </c>
      <c r="B297" s="66">
        <f>B285/(B258-B260)-B285/B258</f>
        <v>1.7506312167844713E-3</v>
      </c>
      <c r="C297" s="66">
        <f t="shared" ref="C297:AC297" si="230">C285/(C258-C260)-C285/C258</f>
        <v>1.7146453087355119E-3</v>
      </c>
      <c r="D297" s="66">
        <f t="shared" si="230"/>
        <v>1.6784320935997049E-3</v>
      </c>
      <c r="E297" s="66">
        <f t="shared" si="230"/>
        <v>1.6526131217338164E-3</v>
      </c>
      <c r="F297" s="66">
        <f t="shared" si="230"/>
        <v>1.6263318128257494E-3</v>
      </c>
      <c r="G297" s="66">
        <f t="shared" si="230"/>
        <v>1.5994037895408226E-3</v>
      </c>
      <c r="H297" s="66">
        <f t="shared" si="230"/>
        <v>1.5715753428549254E-3</v>
      </c>
      <c r="I297" s="66">
        <f t="shared" si="230"/>
        <v>1.5425017164138397E-3</v>
      </c>
      <c r="J297" s="66">
        <f t="shared" si="230"/>
        <v>1.5350896884500868E-3</v>
      </c>
      <c r="K297" s="66">
        <f t="shared" si="230"/>
        <v>1.5251222447047914E-3</v>
      </c>
      <c r="L297" s="66">
        <f t="shared" si="230"/>
        <v>1.5117145211466926E-3</v>
      </c>
      <c r="M297" s="66">
        <f t="shared" si="230"/>
        <v>1.4938097214881544E-3</v>
      </c>
      <c r="N297" s="66">
        <f t="shared" si="230"/>
        <v>1.470274996369288E-3</v>
      </c>
      <c r="O297" s="66">
        <f t="shared" si="230"/>
        <v>1.4172048281748274E-3</v>
      </c>
      <c r="P297" s="66">
        <f t="shared" si="230"/>
        <v>1.3581381660033014E-3</v>
      </c>
      <c r="Q297" s="66">
        <f t="shared" si="230"/>
        <v>1.2939054663366287E-3</v>
      </c>
      <c r="R297" s="66">
        <f t="shared" si="230"/>
        <v>1.2265582004526536E-3</v>
      </c>
      <c r="S297" s="66">
        <f t="shared" si="230"/>
        <v>1.159167581247289E-3</v>
      </c>
      <c r="T297" s="66">
        <f t="shared" si="230"/>
        <v>1.0965574904308068E-3</v>
      </c>
      <c r="U297" s="66">
        <f t="shared" si="230"/>
        <v>1.0398741938732504E-3</v>
      </c>
      <c r="V297" s="66">
        <f t="shared" si="230"/>
        <v>9.9055124022166818E-4</v>
      </c>
      <c r="W297" s="66">
        <f t="shared" si="230"/>
        <v>9.4868845279292083E-4</v>
      </c>
      <c r="X297" s="66">
        <f t="shared" si="230"/>
        <v>9.1345106811496768E-4</v>
      </c>
      <c r="Y297" s="66">
        <f t="shared" si="230"/>
        <v>8.865020548176096E-4</v>
      </c>
      <c r="Z297" s="66">
        <f t="shared" si="230"/>
        <v>8.6357732158330418E-4</v>
      </c>
      <c r="AA297" s="66">
        <f t="shared" si="230"/>
        <v>8.4358549464521107E-4</v>
      </c>
      <c r="AB297" s="66">
        <f t="shared" si="230"/>
        <v>8.2566522331025544E-4</v>
      </c>
      <c r="AC297" s="66">
        <f t="shared" si="230"/>
        <v>8.0917693893891272E-4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3.2051015374837219E-2</v>
      </c>
      <c r="C299" s="67">
        <f t="shared" ref="C299:AC299" si="232">C288+C289+C290+C291+C292+C293+C294+C295+C296+C297+C298</f>
        <v>3.1398165086876831E-2</v>
      </c>
      <c r="D299" s="67">
        <f t="shared" si="232"/>
        <v>3.0743539906185859E-2</v>
      </c>
      <c r="E299" s="67">
        <f t="shared" si="232"/>
        <v>3.0282800930662816E-2</v>
      </c>
      <c r="F299" s="67">
        <f t="shared" si="232"/>
        <v>2.9818447368746896E-2</v>
      </c>
      <c r="G299" s="67">
        <f t="shared" si="232"/>
        <v>2.9349024516550075E-2</v>
      </c>
      <c r="H299" s="67">
        <f t="shared" si="232"/>
        <v>2.8872521461947485E-2</v>
      </c>
      <c r="I299" s="67">
        <f t="shared" si="232"/>
        <v>2.8386189203195997E-2</v>
      </c>
      <c r="J299" s="67">
        <f t="shared" si="232"/>
        <v>2.8317580410948624E-2</v>
      </c>
      <c r="K299" s="67">
        <f t="shared" si="232"/>
        <v>2.8228798646464177E-2</v>
      </c>
      <c r="L299" s="67">
        <f t="shared" si="232"/>
        <v>2.8112690888630089E-2</v>
      </c>
      <c r="M299" s="67">
        <f t="shared" si="232"/>
        <v>2.7960548382774002E-2</v>
      </c>
      <c r="N299" s="67">
        <f t="shared" si="232"/>
        <v>2.7762724988122794E-2</v>
      </c>
      <c r="O299" s="67">
        <f t="shared" si="232"/>
        <v>2.7072189546714948E-2</v>
      </c>
      <c r="P299" s="67">
        <f t="shared" si="232"/>
        <v>2.6329501331925895E-2</v>
      </c>
      <c r="Q299" s="67">
        <f t="shared" si="232"/>
        <v>2.553915061458694E-2</v>
      </c>
      <c r="R299" s="67">
        <f t="shared" si="232"/>
        <v>2.47158266671311E-2</v>
      </c>
      <c r="S299" s="67">
        <f t="shared" si="232"/>
        <v>2.3883853367289494E-2</v>
      </c>
      <c r="T299" s="67">
        <f t="shared" si="232"/>
        <v>2.3102855006681904E-2</v>
      </c>
      <c r="U299" s="67">
        <f t="shared" si="232"/>
        <v>2.2366495919640256E-2</v>
      </c>
      <c r="V299" s="67">
        <f t="shared" si="232"/>
        <v>2.1690212573240886E-2</v>
      </c>
      <c r="W299" s="67">
        <f t="shared" si="232"/>
        <v>2.1077783682357104E-2</v>
      </c>
      <c r="X299" s="67">
        <f t="shared" si="232"/>
        <v>2.0523948219300835E-2</v>
      </c>
      <c r="Y299" s="67">
        <f t="shared" si="232"/>
        <v>2.0084921325401302E-2</v>
      </c>
      <c r="Z299" s="67">
        <f t="shared" si="232"/>
        <v>1.9683021349668296E-2</v>
      </c>
      <c r="AA299" s="67">
        <f t="shared" si="232"/>
        <v>1.9308518717720647E-2</v>
      </c>
      <c r="AB299" s="67">
        <f t="shared" si="232"/>
        <v>1.8953546351367111E-2</v>
      </c>
      <c r="AC299" s="67">
        <f t="shared" si="232"/>
        <v>1.8612168464710442E-2</v>
      </c>
    </row>
    <row r="301" spans="1:29" x14ac:dyDescent="0.25">
      <c r="B301" s="40"/>
    </row>
    <row r="324" spans="1:44" s="3" customFormat="1" ht="21" x14ac:dyDescent="0.35">
      <c r="A324" s="2" t="str">
        <f>'Parameter Input'!A248</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Input'!$L$237</f>
        <v>30000000</v>
      </c>
      <c r="C334" s="42">
        <f>'Parameter Input'!$M$237</f>
        <v>19500000</v>
      </c>
      <c r="D334" s="1" t="s">
        <v>15</v>
      </c>
      <c r="L334" s="51">
        <f>'Parameter Input'!$O$237</f>
        <v>17</v>
      </c>
      <c r="M334" s="52">
        <v>0</v>
      </c>
      <c r="N334" s="52">
        <v>1</v>
      </c>
      <c r="O334" s="52">
        <f>'Parameter Input'!$P$237</f>
        <v>0.9</v>
      </c>
      <c r="P334" s="53">
        <f>'Parameter Input'!$Q$237</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Input'!$L$238</f>
        <v>-1500000</v>
      </c>
      <c r="C335" s="61">
        <f>'Parameter Input'!$M$238</f>
        <v>-1950000</v>
      </c>
      <c r="D335" s="1" t="s">
        <v>15</v>
      </c>
      <c r="L335" s="54">
        <f>'Parameter Input'!$O$238</f>
        <v>17</v>
      </c>
      <c r="M335" s="37">
        <v>0</v>
      </c>
      <c r="N335" s="37">
        <v>1</v>
      </c>
      <c r="O335" s="37">
        <f>'Parameter Input'!$P$238</f>
        <v>0.9</v>
      </c>
      <c r="P335" s="55">
        <f>'Parameter Input'!$Q$238</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Input'!$L$244</f>
        <v>0.06</v>
      </c>
      <c r="C338" s="91">
        <f>'Parameter Input'!$M$244</f>
        <v>0.06</v>
      </c>
      <c r="D338" s="1" t="s">
        <v>57</v>
      </c>
      <c r="L338" s="54">
        <f>'Parameter Input'!$O$244</f>
        <v>17</v>
      </c>
      <c r="M338" s="37">
        <v>0</v>
      </c>
      <c r="N338" s="37">
        <v>1</v>
      </c>
      <c r="O338" s="37">
        <f>'Parameter Input'!$P$244</f>
        <v>0.9</v>
      </c>
      <c r="P338" s="55">
        <f>'Parameter Input'!$Q$244</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Input'!$L$240</f>
        <v>338823.5294117647</v>
      </c>
      <c r="C340" s="61">
        <f>'Parameter Input'!$M$240</f>
        <v>338823.5294117647</v>
      </c>
      <c r="D340" s="1" t="s">
        <v>38</v>
      </c>
      <c r="L340" s="54">
        <f>'Parameter Input'!$O$240</f>
        <v>17</v>
      </c>
      <c r="M340" s="37">
        <v>0</v>
      </c>
      <c r="N340" s="37">
        <v>1</v>
      </c>
      <c r="O340" s="37">
        <f>'Parameter Input'!$P$240</f>
        <v>0.9</v>
      </c>
      <c r="P340" s="55">
        <f>'Parameter Input'!$Q$240</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Input'!$L$241</f>
        <v>589</v>
      </c>
      <c r="C342" s="61">
        <f>'Parameter Input'!$M$241</f>
        <v>519</v>
      </c>
      <c r="D342" s="1" t="s">
        <v>60</v>
      </c>
      <c r="L342" s="54">
        <f>'Parameter Input'!$O$241</f>
        <v>17</v>
      </c>
      <c r="M342" s="37">
        <v>0</v>
      </c>
      <c r="N342" s="37">
        <v>1</v>
      </c>
      <c r="O342" s="37">
        <f>'Parameter Input'!$P$241</f>
        <v>0.9</v>
      </c>
      <c r="P342" s="55">
        <f>'Parameter Input'!$Q$241</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Input'!$L$242</f>
        <v>0.2544561408768215</v>
      </c>
      <c r="C343" s="61">
        <f>'Parameter Input'!$M$242</f>
        <v>0.10949010032952979</v>
      </c>
      <c r="D343" s="1" t="s">
        <v>68</v>
      </c>
      <c r="L343" s="54">
        <f>'Parameter Input'!$O$242</f>
        <v>12</v>
      </c>
      <c r="M343" s="37">
        <v>0</v>
      </c>
      <c r="N343" s="37">
        <v>1</v>
      </c>
      <c r="O343" s="37">
        <f>'Parameter Input'!$P$242</f>
        <v>0.9</v>
      </c>
      <c r="P343" s="55">
        <f>'Parameter Input'!$Q$242</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Input'!$L$245</f>
        <v>0</v>
      </c>
      <c r="C344" s="116">
        <f>'Parameter Input'!$M$245</f>
        <v>0</v>
      </c>
      <c r="D344" s="1" t="s">
        <v>76</v>
      </c>
      <c r="L344" s="54">
        <f>'Parameter Input'!$O$245</f>
        <v>17</v>
      </c>
      <c r="M344" s="37">
        <v>0</v>
      </c>
      <c r="N344" s="37">
        <v>1</v>
      </c>
      <c r="O344" s="37">
        <f>'Parameter Input'!$P$245</f>
        <v>0.9</v>
      </c>
      <c r="P344" s="55">
        <f>'Parameter Input'!$Q$245</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Input'!$L$239</f>
        <v>25</v>
      </c>
      <c r="C345" s="61">
        <f>'Parameter Input'!$M$239</f>
        <v>25</v>
      </c>
      <c r="D345" s="1" t="s">
        <v>42</v>
      </c>
      <c r="L345" s="54">
        <f>'Parameter Input'!$O$239</f>
        <v>17</v>
      </c>
      <c r="M345" s="37">
        <v>0</v>
      </c>
      <c r="N345" s="37">
        <v>1</v>
      </c>
      <c r="O345" s="37">
        <f>'Parameter Input'!$P$239</f>
        <v>0.9</v>
      </c>
      <c r="P345" s="55">
        <f>'Parameter Input'!$Q$239</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Input'!$L$243</f>
        <v>0.1</v>
      </c>
      <c r="C349" s="46">
        <f>'Parameter Input'!$M$243</f>
        <v>0.08</v>
      </c>
      <c r="D349" s="1" t="s">
        <v>57</v>
      </c>
      <c r="L349" s="54">
        <f>'Parameter Input'!$O$243</f>
        <v>17</v>
      </c>
      <c r="M349" s="37">
        <v>0</v>
      </c>
      <c r="N349" s="37">
        <v>1</v>
      </c>
      <c r="O349" s="37">
        <f>'Parameter Input'!$P$243</f>
        <v>0.9</v>
      </c>
      <c r="P349" s="55">
        <f>'Parameter Input'!$Q$243</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29976939.327065244</v>
      </c>
      <c r="C354" s="62">
        <f t="shared" ref="C354:C362" si="240">$B334+($C334-$B334)*(1-R334)</f>
        <v>29966962.72810192</v>
      </c>
      <c r="D354" s="62">
        <f t="shared" ref="D354:D362" si="241">$B334+($C334-$B334)*(1-S334)</f>
        <v>29952681.448896747</v>
      </c>
      <c r="E354" s="62">
        <f t="shared" ref="E354:E362" si="242">$B334+($C334-$B334)*(1-T334)</f>
        <v>29932251.074689295</v>
      </c>
      <c r="F354" s="62">
        <f t="shared" ref="F354:F362" si="243">$B334+($C334-$B334)*(1-U334)</f>
        <v>29903051.561760955</v>
      </c>
      <c r="G354" s="62">
        <f t="shared" ref="G354:G362" si="244">$B334+($C334-$B334)*(1-V334)</f>
        <v>29861377.546535794</v>
      </c>
      <c r="H354" s="62">
        <f t="shared" ref="H354:H362" si="245">$B334+($C334-$B334)*(1-W334)</f>
        <v>29802023.525100116</v>
      </c>
      <c r="I354" s="62">
        <f t="shared" ref="I354:I362" si="246">$B334+($C334-$B334)*(1-X334)</f>
        <v>29717749.323166564</v>
      </c>
      <c r="J354" s="62">
        <f t="shared" ref="J354:J362" si="247">$B334+($C334-$B334)*(1-Y334)</f>
        <v>29598635.836967241</v>
      </c>
      <c r="K354" s="62">
        <f t="shared" ref="K354:K362" si="248">$B334+($C334-$B334)*(1-Z334)</f>
        <v>29431402.651328694</v>
      </c>
      <c r="L354" s="62">
        <f t="shared" ref="L354:L362" si="249">$B334+($C334-$B334)*(1-AA334)</f>
        <v>29198887.815764856</v>
      </c>
      <c r="M354" s="62">
        <f t="shared" ref="M354:M362" si="250">$B334+($C334-$B334)*(1-AB334)</f>
        <v>28880118.674604136</v>
      </c>
      <c r="N354" s="62">
        <f t="shared" ref="N354:N362" si="251">$B334+($C334-$B334)*(1-AC334)</f>
        <v>28451727.106804334</v>
      </c>
      <c r="O354" s="62">
        <f t="shared" ref="O354:O362" si="252">$B334+($C334-$B334)*(1-AD334)</f>
        <v>27891736.568525508</v>
      </c>
      <c r="P354" s="62">
        <f t="shared" ref="P354:P362" si="253">$B334+($C334-$B334)*(1-AE334)</f>
        <v>27186523.136249304</v>
      </c>
      <c r="Q354" s="62">
        <f t="shared" ref="Q354:Q362" si="254">$B334+($C334-$B334)*(1-AF334)</f>
        <v>26340287.260672603</v>
      </c>
      <c r="R354" s="62">
        <f t="shared" ref="R354:R362" si="255">$B334+($C334-$B334)*(1-AG334)</f>
        <v>25383386.027489204</v>
      </c>
      <c r="S354" s="62">
        <f t="shared" ref="S354:S362" si="256">$B334+($C334-$B334)*(1-AH334)</f>
        <v>24373189.321684461</v>
      </c>
      <c r="T354" s="62">
        <f t="shared" ref="T354:T362" si="257">$B334+($C334-$B334)*(1-AI334)</f>
        <v>23382871.397530012</v>
      </c>
      <c r="U354" s="62">
        <f t="shared" ref="U354:U362" si="258">$B334+($C334-$B334)*(1-AJ334)</f>
        <v>22481364.606909275</v>
      </c>
      <c r="V354" s="62">
        <f t="shared" ref="V354:V362" si="259">$B334+($C334-$B334)*(1-AK334)</f>
        <v>21715212.211917363</v>
      </c>
      <c r="W354" s="62">
        <f t="shared" ref="W354:W362" si="260">$B334+($C334-$B334)*(1-AL334)</f>
        <v>21101661.353648812</v>
      </c>
      <c r="X354" s="62">
        <f t="shared" ref="X354:X362" si="261">$B334+($C334-$B334)*(1-AM334)</f>
        <v>20633494.81745955</v>
      </c>
      <c r="Y354" s="62">
        <f t="shared" ref="Y354:Y362" si="262">$B334+($C334-$B334)*(1-AN334)</f>
        <v>20289354.866349965</v>
      </c>
      <c r="Z354" s="62">
        <f t="shared" ref="Z354:Z362" si="263">$B334+($C334-$B334)*(1-AO334)</f>
        <v>20043299.779863775</v>
      </c>
      <c r="AA354" s="62">
        <f t="shared" ref="AA354:AA362" si="264">$B334+($C334-$B334)*(1-AP334)</f>
        <v>19870851.501566134</v>
      </c>
      <c r="AB354" s="62">
        <f t="shared" ref="AB354:AB362" si="265">$B334+($C334-$B334)*(1-AQ334)</f>
        <v>19751679.141762912</v>
      </c>
      <c r="AC354" s="62">
        <f t="shared" ref="AC354:AC362" si="266">$B334+($C334-$B334)*(1-AR334)</f>
        <v>19670123.557363093</v>
      </c>
    </row>
    <row r="355" spans="1:29" x14ac:dyDescent="0.25">
      <c r="A355" s="30" t="str">
        <f t="shared" si="238"/>
        <v>Residual value (vehicle)</v>
      </c>
      <c r="B355" s="62">
        <f t="shared" si="239"/>
        <v>-1500988.3145543465</v>
      </c>
      <c r="C355" s="62">
        <f t="shared" si="240"/>
        <v>-1501415.8830813463</v>
      </c>
      <c r="D355" s="62">
        <f t="shared" si="241"/>
        <v>-1502027.9379044252</v>
      </c>
      <c r="E355" s="62">
        <f t="shared" si="242"/>
        <v>-1502903.5253704586</v>
      </c>
      <c r="F355" s="62">
        <f t="shared" si="243"/>
        <v>-1504154.9330673877</v>
      </c>
      <c r="G355" s="62">
        <f t="shared" si="244"/>
        <v>-1505940.9622913231</v>
      </c>
      <c r="H355" s="62">
        <f t="shared" si="245"/>
        <v>-1508484.7060671379</v>
      </c>
      <c r="I355" s="62">
        <f t="shared" si="246"/>
        <v>-1512096.4575785759</v>
      </c>
      <c r="J355" s="62">
        <f t="shared" si="247"/>
        <v>-1517201.3212728326</v>
      </c>
      <c r="K355" s="62">
        <f t="shared" si="248"/>
        <v>-1524368.4578001988</v>
      </c>
      <c r="L355" s="62">
        <f t="shared" si="249"/>
        <v>-1534333.3793243633</v>
      </c>
      <c r="M355" s="62">
        <f t="shared" si="250"/>
        <v>-1547994.9139455371</v>
      </c>
      <c r="N355" s="62">
        <f t="shared" si="251"/>
        <v>-1566354.5525655285</v>
      </c>
      <c r="O355" s="62">
        <f t="shared" si="252"/>
        <v>-1590354.1470631924</v>
      </c>
      <c r="P355" s="62">
        <f t="shared" si="253"/>
        <v>-1620577.5798750299</v>
      </c>
      <c r="Q355" s="62">
        <f t="shared" si="254"/>
        <v>-1656844.8316854599</v>
      </c>
      <c r="R355" s="62">
        <f t="shared" si="255"/>
        <v>-1697854.8845361769</v>
      </c>
      <c r="S355" s="62">
        <f t="shared" si="256"/>
        <v>-1741149.0290706661</v>
      </c>
      <c r="T355" s="62">
        <f t="shared" si="257"/>
        <v>-1783591.2258201423</v>
      </c>
      <c r="U355" s="62">
        <f t="shared" si="258"/>
        <v>-1822227.2311324596</v>
      </c>
      <c r="V355" s="62">
        <f t="shared" si="259"/>
        <v>-1855062.3337749701</v>
      </c>
      <c r="W355" s="62">
        <f t="shared" si="260"/>
        <v>-1881357.370557908</v>
      </c>
      <c r="X355" s="62">
        <f t="shared" si="261"/>
        <v>-1901421.650680305</v>
      </c>
      <c r="Y355" s="62">
        <f t="shared" si="262"/>
        <v>-1916170.5057278587</v>
      </c>
      <c r="Z355" s="62">
        <f t="shared" si="263"/>
        <v>-1926715.723720124</v>
      </c>
      <c r="AA355" s="62">
        <f t="shared" si="264"/>
        <v>-1934106.3642185943</v>
      </c>
      <c r="AB355" s="62">
        <f t="shared" si="265"/>
        <v>-1939213.7510673038</v>
      </c>
      <c r="AC355" s="62">
        <f t="shared" si="266"/>
        <v>-1942708.9903987246</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944.5849078871745</v>
      </c>
      <c r="C369" s="62">
        <f t="shared" si="272"/>
        <v>944.40532910583465</v>
      </c>
      <c r="D369" s="62">
        <f t="shared" si="272"/>
        <v>944.14826608014141</v>
      </c>
      <c r="E369" s="62">
        <f t="shared" si="272"/>
        <v>943.78051934440748</v>
      </c>
      <c r="F369" s="62">
        <f t="shared" si="272"/>
        <v>943.25492811169715</v>
      </c>
      <c r="G369" s="62">
        <f t="shared" si="272"/>
        <v>942.50479583764434</v>
      </c>
      <c r="H369" s="62">
        <f t="shared" si="272"/>
        <v>941.43642345180217</v>
      </c>
      <c r="I369" s="62">
        <f t="shared" si="272"/>
        <v>939.91948781699818</v>
      </c>
      <c r="J369" s="62">
        <f t="shared" si="272"/>
        <v>937.77544506541028</v>
      </c>
      <c r="K369" s="62">
        <f t="shared" si="272"/>
        <v>934.76524772391656</v>
      </c>
      <c r="L369" s="62">
        <f t="shared" si="273"/>
        <v>930.57998068376753</v>
      </c>
      <c r="M369" s="62">
        <f t="shared" si="273"/>
        <v>924.84213614287444</v>
      </c>
      <c r="N369" s="62">
        <f t="shared" si="273"/>
        <v>917.13108792247806</v>
      </c>
      <c r="O369" s="62">
        <f t="shared" si="273"/>
        <v>907.05125823345929</v>
      </c>
      <c r="P369" s="62">
        <f t="shared" si="273"/>
        <v>894.35741645248754</v>
      </c>
      <c r="Q369" s="62">
        <f t="shared" si="273"/>
        <v>879.12517069210696</v>
      </c>
      <c r="R369" s="62">
        <f t="shared" si="273"/>
        <v>861.90094849480568</v>
      </c>
      <c r="S369" s="62">
        <f t="shared" si="273"/>
        <v>843.71740779032029</v>
      </c>
      <c r="T369" s="62">
        <f t="shared" si="273"/>
        <v>825.89168515554024</v>
      </c>
      <c r="U369" s="62">
        <f t="shared" si="273"/>
        <v>809.66456292436703</v>
      </c>
      <c r="V369" s="62">
        <f t="shared" si="274"/>
        <v>795.87381981451244</v>
      </c>
      <c r="W369" s="62">
        <f t="shared" si="274"/>
        <v>784.82990436567866</v>
      </c>
      <c r="X369" s="62">
        <f t="shared" si="274"/>
        <v>776.40290671427192</v>
      </c>
      <c r="Y369" s="62">
        <f t="shared" si="274"/>
        <v>770.20838759429932</v>
      </c>
      <c r="Z369" s="62">
        <f t="shared" si="274"/>
        <v>765.77939603754794</v>
      </c>
      <c r="AA369" s="62">
        <f t="shared" si="274"/>
        <v>762.6753270281904</v>
      </c>
      <c r="AB369" s="62">
        <f t="shared" si="274"/>
        <v>760.53022455173243</v>
      </c>
      <c r="AC369" s="62">
        <f t="shared" si="274"/>
        <v>759.0622240325356</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6">((1+C358)^C365)*C358/(((1+C358)^C365)-1)*(C354)</f>
        <v>2344217.1490089451</v>
      </c>
      <c r="D373" s="63">
        <f t="shared" si="276"/>
        <v>2343099.9714048514</v>
      </c>
      <c r="E373" s="63">
        <f t="shared" si="276"/>
        <v>2341501.7702787537</v>
      </c>
      <c r="F373" s="63">
        <f t="shared" si="276"/>
        <v>2339217.5882089725</v>
      </c>
      <c r="G373" s="63">
        <f t="shared" si="276"/>
        <v>2335957.5667631798</v>
      </c>
      <c r="H373" s="63">
        <f t="shared" si="276"/>
        <v>2331314.496453566</v>
      </c>
      <c r="I373" s="63">
        <f t="shared" si="276"/>
        <v>2324722.0022063456</v>
      </c>
      <c r="J373" s="63">
        <f t="shared" si="276"/>
        <v>2315404.1450861497</v>
      </c>
      <c r="K373" s="63">
        <f t="shared" si="276"/>
        <v>2302322.0417974619</v>
      </c>
      <c r="L373" s="63">
        <f t="shared" si="276"/>
        <v>2284133.1692756363</v>
      </c>
      <c r="M373" s="63">
        <f t="shared" si="276"/>
        <v>2259196.9054952883</v>
      </c>
      <c r="N373" s="63">
        <f t="shared" si="276"/>
        <v>2225685.2390364991</v>
      </c>
      <c r="O373" s="63">
        <f t="shared" si="276"/>
        <v>2181879.0169970216</v>
      </c>
      <c r="P373" s="63">
        <f t="shared" si="276"/>
        <v>2126712.4845508407</v>
      </c>
      <c r="Q373" s="63">
        <f t="shared" si="276"/>
        <v>2060514.2291709851</v>
      </c>
      <c r="R373" s="63">
        <f t="shared" si="276"/>
        <v>1985658.9860457699</v>
      </c>
      <c r="S373" s="63">
        <f t="shared" si="276"/>
        <v>1906634.6130018148</v>
      </c>
      <c r="T373" s="63">
        <f t="shared" si="276"/>
        <v>1829165.2918084206</v>
      </c>
      <c r="U373" s="63">
        <f t="shared" si="276"/>
        <v>1758643.3741320807</v>
      </c>
      <c r="V373" s="63">
        <f t="shared" si="276"/>
        <v>1698709.7866213897</v>
      </c>
      <c r="W373" s="63">
        <f t="shared" si="276"/>
        <v>1650713.7165227169</v>
      </c>
      <c r="X373" s="63">
        <f t="shared" si="276"/>
        <v>1614090.584819823</v>
      </c>
      <c r="Y373" s="63">
        <f t="shared" si="276"/>
        <v>1587169.645838788</v>
      </c>
      <c r="Z373" s="63">
        <f t="shared" si="276"/>
        <v>1567921.5639235359</v>
      </c>
      <c r="AA373" s="63">
        <f t="shared" si="276"/>
        <v>1554431.5010509547</v>
      </c>
      <c r="AB373" s="63">
        <f t="shared" si="276"/>
        <v>1545109.0384419363</v>
      </c>
      <c r="AC373" s="63">
        <f t="shared" si="276"/>
        <v>1538729.2127224542</v>
      </c>
    </row>
    <row r="374" spans="1:29" x14ac:dyDescent="0.25">
      <c r="A374" s="30" t="str">
        <f>A355</f>
        <v>Residual value (vehicle)</v>
      </c>
      <c r="B374" s="62">
        <f>((1+B358)^B365)*B358/(((1+B358)^B365)-1)*(B355)</f>
        <v>-117417.38992255888</v>
      </c>
      <c r="C374" s="62">
        <f t="shared" ref="C374:AC374" si="277">((1+C358)^C365)*C358/(((1+C358)^C365)-1)*(C355)</f>
        <v>-117450.83720523692</v>
      </c>
      <c r="D374" s="62">
        <f t="shared" si="277"/>
        <v>-117498.71624541239</v>
      </c>
      <c r="E374" s="62">
        <f t="shared" si="277"/>
        <v>-117567.21057938797</v>
      </c>
      <c r="F374" s="62">
        <f t="shared" si="277"/>
        <v>-117665.10409666432</v>
      </c>
      <c r="G374" s="62">
        <f t="shared" si="277"/>
        <v>-117804.81930148401</v>
      </c>
      <c r="H374" s="62">
        <f t="shared" si="277"/>
        <v>-118003.80802903889</v>
      </c>
      <c r="I374" s="62">
        <f t="shared" si="277"/>
        <v>-118286.34349677691</v>
      </c>
      <c r="J374" s="62">
        <f t="shared" si="277"/>
        <v>-118685.68023049959</v>
      </c>
      <c r="K374" s="62">
        <f t="shared" si="277"/>
        <v>-119246.34180001476</v>
      </c>
      <c r="L374" s="62">
        <f t="shared" si="277"/>
        <v>-120025.864908093</v>
      </c>
      <c r="M374" s="62">
        <f t="shared" si="277"/>
        <v>-121094.56192725079</v>
      </c>
      <c r="N374" s="62">
        <f t="shared" si="277"/>
        <v>-122530.77620405605</v>
      </c>
      <c r="O374" s="62">
        <f t="shared" si="277"/>
        <v>-124408.18572003364</v>
      </c>
      <c r="P374" s="62">
        <f t="shared" si="277"/>
        <v>-126772.46568201284</v>
      </c>
      <c r="Q374" s="62">
        <f t="shared" si="277"/>
        <v>-129609.53376972093</v>
      </c>
      <c r="R374" s="62">
        <f t="shared" si="277"/>
        <v>-132817.61561794442</v>
      </c>
      <c r="S374" s="62">
        <f t="shared" si="277"/>
        <v>-136204.37446268537</v>
      </c>
      <c r="T374" s="62">
        <f t="shared" si="277"/>
        <v>-139524.48822811653</v>
      </c>
      <c r="U374" s="62">
        <f t="shared" si="277"/>
        <v>-142546.8561285311</v>
      </c>
      <c r="V374" s="62">
        <f t="shared" si="277"/>
        <v>-145115.43845041786</v>
      </c>
      <c r="W374" s="62">
        <f t="shared" si="277"/>
        <v>-147172.41288321812</v>
      </c>
      <c r="X374" s="62">
        <f t="shared" si="277"/>
        <v>-148741.975670485</v>
      </c>
      <c r="Y374" s="62">
        <f t="shared" si="277"/>
        <v>-149895.73019824366</v>
      </c>
      <c r="Z374" s="62">
        <f t="shared" si="277"/>
        <v>-150720.64799461162</v>
      </c>
      <c r="AA374" s="62">
        <f t="shared" si="277"/>
        <v>-151298.79354629366</v>
      </c>
      <c r="AB374" s="62">
        <f t="shared" si="277"/>
        <v>-151698.32765810873</v>
      </c>
      <c r="AC374" s="62">
        <f t="shared" si="277"/>
        <v>-151971.74876037225</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13917441.016853284</v>
      </c>
      <c r="C380" s="62">
        <f t="shared" ref="C380:AC380" si="283">C362*C363*C370</f>
        <v>13554502.313185614</v>
      </c>
      <c r="D380" s="62">
        <f t="shared" si="283"/>
        <v>13191002.201981308</v>
      </c>
      <c r="E380" s="62">
        <f t="shared" si="283"/>
        <v>12936205.269684833</v>
      </c>
      <c r="F380" s="62">
        <f t="shared" si="283"/>
        <v>12680264.89911822</v>
      </c>
      <c r="G380" s="62">
        <f t="shared" si="283"/>
        <v>12422734.285056066</v>
      </c>
      <c r="H380" s="62">
        <f t="shared" si="283"/>
        <v>12163001.901296917</v>
      </c>
      <c r="I380" s="62">
        <f t="shared" si="283"/>
        <v>11900240.66071108</v>
      </c>
      <c r="J380" s="62">
        <f t="shared" si="283"/>
        <v>11873871.346602231</v>
      </c>
      <c r="K380" s="62">
        <f t="shared" si="283"/>
        <v>11841038.882806974</v>
      </c>
      <c r="L380" s="62">
        <f t="shared" si="283"/>
        <v>11799447.122225013</v>
      </c>
      <c r="M380" s="62">
        <f t="shared" si="283"/>
        <v>11746294.792433945</v>
      </c>
      <c r="N380" s="62">
        <f t="shared" si="283"/>
        <v>11678468.130519712</v>
      </c>
      <c r="O380" s="62">
        <f t="shared" si="283"/>
        <v>11348251.239766695</v>
      </c>
      <c r="P380" s="62">
        <f t="shared" si="283"/>
        <v>11002664.095027352</v>
      </c>
      <c r="Q380" s="62">
        <f t="shared" si="283"/>
        <v>10643522.145833924</v>
      </c>
      <c r="R380" s="62">
        <f t="shared" si="283"/>
        <v>10275801.141218064</v>
      </c>
      <c r="S380" s="62">
        <f t="shared" si="283"/>
        <v>9907353.1579891834</v>
      </c>
      <c r="T380" s="62">
        <f t="shared" si="283"/>
        <v>9564523.398017589</v>
      </c>
      <c r="U380" s="62">
        <f t="shared" si="283"/>
        <v>9237276.4634616822</v>
      </c>
      <c r="V380" s="62">
        <f t="shared" si="283"/>
        <v>8930072.6288987473</v>
      </c>
      <c r="W380" s="62">
        <f t="shared" si="283"/>
        <v>8643674.253544854</v>
      </c>
      <c r="X380" s="62">
        <f t="shared" si="283"/>
        <v>8376060.0331768915</v>
      </c>
      <c r="Y380" s="62">
        <f t="shared" si="283"/>
        <v>8161140.6420521922</v>
      </c>
      <c r="Z380" s="62">
        <f t="shared" si="283"/>
        <v>7957739.5207671775</v>
      </c>
      <c r="AA380" s="62">
        <f t="shared" si="283"/>
        <v>7762759.7976934081</v>
      </c>
      <c r="AB380" s="62">
        <f t="shared" si="283"/>
        <v>7573728.9150236854</v>
      </c>
      <c r="AC380" s="62">
        <f t="shared" si="283"/>
        <v>7388801.2611698182</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17860020.765372168</v>
      </c>
      <c r="C382" s="64">
        <f t="shared" ref="C382:AC382" si="285">C373+C374+C375+C376+C377+C378+C379+C380+C381</f>
        <v>17496268.177825999</v>
      </c>
      <c r="D382" s="64">
        <f t="shared" si="285"/>
        <v>17131603.009977423</v>
      </c>
      <c r="E382" s="64">
        <f t="shared" si="285"/>
        <v>16875139.382220875</v>
      </c>
      <c r="F382" s="64">
        <f t="shared" si="285"/>
        <v>16616816.936067205</v>
      </c>
      <c r="G382" s="64">
        <f t="shared" si="285"/>
        <v>16355886.585354438</v>
      </c>
      <c r="H382" s="64">
        <f t="shared" si="285"/>
        <v>16091312.14255812</v>
      </c>
      <c r="I382" s="64">
        <f t="shared" si="285"/>
        <v>15821675.872257324</v>
      </c>
      <c r="J382" s="64">
        <f t="shared" si="285"/>
        <v>15785589.364294557</v>
      </c>
      <c r="K382" s="64">
        <f t="shared" si="285"/>
        <v>15739114.135641096</v>
      </c>
      <c r="L382" s="64">
        <f t="shared" si="285"/>
        <v>15678553.979429232</v>
      </c>
      <c r="M382" s="64">
        <f t="shared" si="285"/>
        <v>15599396.688838659</v>
      </c>
      <c r="N382" s="64">
        <f t="shared" si="285"/>
        <v>15496622.146188831</v>
      </c>
      <c r="O382" s="64">
        <f t="shared" si="285"/>
        <v>15120721.623880358</v>
      </c>
      <c r="P382" s="64">
        <f t="shared" si="285"/>
        <v>14717603.666732855</v>
      </c>
      <c r="Q382" s="64">
        <f t="shared" si="285"/>
        <v>14289426.394071866</v>
      </c>
      <c r="R382" s="64">
        <f t="shared" si="285"/>
        <v>13843642.064482566</v>
      </c>
      <c r="S382" s="64">
        <f t="shared" si="285"/>
        <v>13392782.94936499</v>
      </c>
      <c r="T382" s="64">
        <f t="shared" si="285"/>
        <v>12969163.754434569</v>
      </c>
      <c r="U382" s="64">
        <f t="shared" si="285"/>
        <v>12568372.534301909</v>
      </c>
      <c r="V382" s="64">
        <f t="shared" si="285"/>
        <v>12198666.529906396</v>
      </c>
      <c r="W382" s="64">
        <f t="shared" si="285"/>
        <v>11862215.110021029</v>
      </c>
      <c r="X382" s="64">
        <f t="shared" si="285"/>
        <v>11556408.195162905</v>
      </c>
      <c r="Y382" s="64">
        <f t="shared" si="285"/>
        <v>11313414.110529413</v>
      </c>
      <c r="Z382" s="64">
        <f t="shared" si="285"/>
        <v>11089939.989532778</v>
      </c>
      <c r="AA382" s="64">
        <f t="shared" si="285"/>
        <v>10880892.058034746</v>
      </c>
      <c r="AB382" s="64">
        <f t="shared" si="285"/>
        <v>10682139.17864419</v>
      </c>
      <c r="AC382" s="64">
        <f t="shared" si="285"/>
        <v>10490558.277968576</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19.541646546706382</v>
      </c>
      <c r="C385" s="65">
        <f t="shared" ref="C385:AC385" si="287">((1+C358)^C365)*C358/(((1+C358)^C365)-1)*(C354)/C370</f>
        <v>19.535142908407877</v>
      </c>
      <c r="D385" s="65">
        <f t="shared" si="287"/>
        <v>19.525833095040429</v>
      </c>
      <c r="E385" s="65">
        <f t="shared" si="287"/>
        <v>19.512514752322947</v>
      </c>
      <c r="F385" s="65">
        <f t="shared" si="287"/>
        <v>19.493479901741438</v>
      </c>
      <c r="G385" s="65">
        <f t="shared" si="287"/>
        <v>19.466313056359834</v>
      </c>
      <c r="H385" s="65">
        <f t="shared" si="287"/>
        <v>19.427620803779718</v>
      </c>
      <c r="I385" s="65">
        <f t="shared" si="287"/>
        <v>19.372683351719548</v>
      </c>
      <c r="J385" s="65">
        <f t="shared" si="287"/>
        <v>19.295034542384581</v>
      </c>
      <c r="K385" s="65">
        <f t="shared" si="287"/>
        <v>19.186017014978848</v>
      </c>
      <c r="L385" s="65">
        <f t="shared" si="287"/>
        <v>19.03444307729697</v>
      </c>
      <c r="M385" s="65">
        <f t="shared" si="287"/>
        <v>18.826640879127403</v>
      </c>
      <c r="N385" s="65">
        <f t="shared" si="287"/>
        <v>18.547376991970825</v>
      </c>
      <c r="O385" s="65">
        <f t="shared" si="287"/>
        <v>18.182325141641847</v>
      </c>
      <c r="P385" s="65">
        <f t="shared" si="287"/>
        <v>17.722604037923674</v>
      </c>
      <c r="Q385" s="65">
        <f t="shared" si="287"/>
        <v>17.170951909758209</v>
      </c>
      <c r="R385" s="65">
        <f t="shared" si="287"/>
        <v>16.547158217048082</v>
      </c>
      <c r="S385" s="65">
        <f t="shared" si="287"/>
        <v>15.888621775015123</v>
      </c>
      <c r="T385" s="65">
        <f t="shared" si="287"/>
        <v>15.243044098403505</v>
      </c>
      <c r="U385" s="65">
        <f t="shared" si="287"/>
        <v>14.655361451100672</v>
      </c>
      <c r="V385" s="65">
        <f t="shared" si="287"/>
        <v>14.15591488851158</v>
      </c>
      <c r="W385" s="65">
        <f t="shared" si="287"/>
        <v>13.755947637689308</v>
      </c>
      <c r="X385" s="65">
        <f t="shared" si="287"/>
        <v>13.450754873498525</v>
      </c>
      <c r="Y385" s="65">
        <f t="shared" si="287"/>
        <v>13.226413715323233</v>
      </c>
      <c r="Z385" s="65">
        <f t="shared" si="287"/>
        <v>13.066013032696132</v>
      </c>
      <c r="AA385" s="65">
        <f t="shared" si="287"/>
        <v>12.953595842091289</v>
      </c>
      <c r="AB385" s="65">
        <f t="shared" si="287"/>
        <v>12.875908653682803</v>
      </c>
      <c r="AC385" s="65">
        <f t="shared" si="287"/>
        <v>12.822743439353784</v>
      </c>
    </row>
    <row r="386" spans="1:29" x14ac:dyDescent="0.25">
      <c r="A386" s="30" t="str">
        <f t="shared" si="286"/>
        <v>Residual value (vehicle)</v>
      </c>
      <c r="B386" s="66">
        <f>((1+B358)^B365)*B358/(((1+B358)^B365)-1)*(B355)/B370</f>
        <v>-0.97847824935465733</v>
      </c>
      <c r="C386" s="66">
        <f t="shared" ref="C386:AC386" si="288">((1+C358)^C365)*C358/(((1+C358)^C365)-1)*(C355)/C370</f>
        <v>-0.9787569767103077</v>
      </c>
      <c r="D386" s="66">
        <f t="shared" si="288"/>
        <v>-0.97915596871176991</v>
      </c>
      <c r="E386" s="66">
        <f t="shared" si="288"/>
        <v>-0.97972675482823313</v>
      </c>
      <c r="F386" s="66">
        <f t="shared" si="288"/>
        <v>-0.98054253413886938</v>
      </c>
      <c r="G386" s="66">
        <f t="shared" si="288"/>
        <v>-0.98170682751236671</v>
      </c>
      <c r="H386" s="66">
        <f t="shared" si="288"/>
        <v>-0.98336506690865744</v>
      </c>
      <c r="I386" s="66">
        <f t="shared" si="288"/>
        <v>-0.98571952913980765</v>
      </c>
      <c r="J386" s="66">
        <f t="shared" si="288"/>
        <v>-0.98904733525416333</v>
      </c>
      <c r="K386" s="66">
        <f t="shared" si="288"/>
        <v>-0.99371951500012301</v>
      </c>
      <c r="L386" s="66">
        <f t="shared" si="288"/>
        <v>-1.0002155409007751</v>
      </c>
      <c r="M386" s="66">
        <f t="shared" si="288"/>
        <v>-1.0091213493937565</v>
      </c>
      <c r="N386" s="66">
        <f t="shared" si="288"/>
        <v>-1.021089801700467</v>
      </c>
      <c r="O386" s="66">
        <f t="shared" si="288"/>
        <v>-1.0367348810002803</v>
      </c>
      <c r="P386" s="66">
        <f t="shared" si="288"/>
        <v>-1.0564372140167737</v>
      </c>
      <c r="Q386" s="66">
        <f t="shared" si="288"/>
        <v>-1.0800794480810079</v>
      </c>
      <c r="R386" s="66">
        <f t="shared" si="288"/>
        <v>-1.1068134634828701</v>
      </c>
      <c r="S386" s="66">
        <f t="shared" si="288"/>
        <v>-1.1350364538557114</v>
      </c>
      <c r="T386" s="66">
        <f t="shared" si="288"/>
        <v>-1.1627040685676377</v>
      </c>
      <c r="U386" s="66">
        <f t="shared" si="288"/>
        <v>-1.1878904677377591</v>
      </c>
      <c r="V386" s="66">
        <f t="shared" si="288"/>
        <v>-1.2092953204201489</v>
      </c>
      <c r="W386" s="66">
        <f t="shared" si="288"/>
        <v>-1.2264367740268176</v>
      </c>
      <c r="X386" s="66">
        <f t="shared" si="288"/>
        <v>-1.2395164639207084</v>
      </c>
      <c r="Y386" s="66">
        <f t="shared" si="288"/>
        <v>-1.2491310849853638</v>
      </c>
      <c r="Z386" s="66">
        <f t="shared" si="288"/>
        <v>-1.2560053999550969</v>
      </c>
      <c r="AA386" s="66">
        <f t="shared" si="288"/>
        <v>-1.2608232795524472</v>
      </c>
      <c r="AB386" s="66">
        <f t="shared" si="288"/>
        <v>-1.2641527304842395</v>
      </c>
      <c r="AC386" s="66">
        <f t="shared" si="288"/>
        <v>-1.2664312396697688</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115.97867514044404</v>
      </c>
      <c r="C392" s="66">
        <f t="shared" ref="C392:AC392" si="294">C362*C363*C370/C370</f>
        <v>112.95418594321345</v>
      </c>
      <c r="D392" s="66">
        <f t="shared" si="294"/>
        <v>109.92501834984424</v>
      </c>
      <c r="E392" s="66">
        <f t="shared" si="294"/>
        <v>107.80171058070694</v>
      </c>
      <c r="F392" s="66">
        <f t="shared" si="294"/>
        <v>105.66887415931851</v>
      </c>
      <c r="G392" s="66">
        <f t="shared" si="294"/>
        <v>103.52278570880055</v>
      </c>
      <c r="H392" s="66">
        <f t="shared" si="294"/>
        <v>101.35834917747431</v>
      </c>
      <c r="I392" s="66">
        <f t="shared" si="294"/>
        <v>99.168672172592338</v>
      </c>
      <c r="J392" s="66">
        <f t="shared" si="294"/>
        <v>98.948927888351932</v>
      </c>
      <c r="K392" s="66">
        <f t="shared" si="294"/>
        <v>98.67532402339144</v>
      </c>
      <c r="L392" s="66">
        <f t="shared" si="294"/>
        <v>98.328726018541772</v>
      </c>
      <c r="M392" s="66">
        <f t="shared" si="294"/>
        <v>97.88578993694955</v>
      </c>
      <c r="N392" s="66">
        <f t="shared" si="294"/>
        <v>97.320567754330938</v>
      </c>
      <c r="O392" s="66">
        <f t="shared" si="294"/>
        <v>94.568760331389129</v>
      </c>
      <c r="P392" s="66">
        <f t="shared" si="294"/>
        <v>91.688867458561262</v>
      </c>
      <c r="Q392" s="66">
        <f t="shared" si="294"/>
        <v>88.696017881949373</v>
      </c>
      <c r="R392" s="66">
        <f t="shared" si="294"/>
        <v>85.631676176817209</v>
      </c>
      <c r="S392" s="66">
        <f t="shared" si="294"/>
        <v>82.561276316576524</v>
      </c>
      <c r="T392" s="66">
        <f t="shared" si="294"/>
        <v>79.704361650146581</v>
      </c>
      <c r="U392" s="66">
        <f t="shared" si="294"/>
        <v>76.97730386218069</v>
      </c>
      <c r="V392" s="66">
        <f t="shared" si="294"/>
        <v>74.417271907489564</v>
      </c>
      <c r="W392" s="66">
        <f t="shared" si="294"/>
        <v>72.030618779540447</v>
      </c>
      <c r="X392" s="66">
        <f t="shared" si="294"/>
        <v>69.800500276474096</v>
      </c>
      <c r="Y392" s="66">
        <f t="shared" si="294"/>
        <v>68.009505350434935</v>
      </c>
      <c r="Z392" s="66">
        <f t="shared" si="294"/>
        <v>66.314496006393142</v>
      </c>
      <c r="AA392" s="66">
        <f t="shared" si="294"/>
        <v>64.689664980778403</v>
      </c>
      <c r="AB392" s="66">
        <f t="shared" si="294"/>
        <v>63.11440762519738</v>
      </c>
      <c r="AC392" s="66">
        <f t="shared" si="294"/>
        <v>61.573343843081815</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148.96388424178852</v>
      </c>
      <c r="C394" s="76">
        <f t="shared" ref="C394:AC394" si="297">C385+C386+C387-C388+C389+C390+C391+C392+C393</f>
        <v>145.93261267890375</v>
      </c>
      <c r="D394" s="76">
        <f t="shared" si="297"/>
        <v>142.89373628016565</v>
      </c>
      <c r="E394" s="76">
        <f t="shared" si="297"/>
        <v>140.7565393821944</v>
      </c>
      <c r="F394" s="76">
        <f t="shared" si="297"/>
        <v>138.60385233091381</v>
      </c>
      <c r="G394" s="76">
        <f t="shared" si="297"/>
        <v>136.42943274164077</v>
      </c>
      <c r="H394" s="76">
        <f t="shared" si="297"/>
        <v>134.22464571833814</v>
      </c>
      <c r="I394" s="76">
        <f t="shared" si="297"/>
        <v>131.97767679916484</v>
      </c>
      <c r="J394" s="76">
        <f t="shared" si="297"/>
        <v>131.6769558994751</v>
      </c>
      <c r="K394" s="76">
        <f t="shared" si="297"/>
        <v>131.28966232736292</v>
      </c>
      <c r="L394" s="76">
        <f t="shared" si="297"/>
        <v>130.78499435893073</v>
      </c>
      <c r="M394" s="76">
        <f t="shared" si="297"/>
        <v>130.12535027067597</v>
      </c>
      <c r="N394" s="76">
        <f t="shared" si="297"/>
        <v>129.26889574859405</v>
      </c>
      <c r="O394" s="76">
        <f t="shared" si="297"/>
        <v>126.13639139602346</v>
      </c>
      <c r="P394" s="76">
        <f t="shared" si="297"/>
        <v>122.77707508646091</v>
      </c>
      <c r="Q394" s="76">
        <f t="shared" si="297"/>
        <v>119.20893114761932</v>
      </c>
      <c r="R394" s="76">
        <f t="shared" si="297"/>
        <v>115.49406173437518</v>
      </c>
      <c r="S394" s="76">
        <f t="shared" si="297"/>
        <v>111.73690244172869</v>
      </c>
      <c r="T394" s="76">
        <f t="shared" si="297"/>
        <v>108.20674248397521</v>
      </c>
      <c r="U394" s="76">
        <f t="shared" si="297"/>
        <v>104.86681564953636</v>
      </c>
      <c r="V394" s="76">
        <f t="shared" si="297"/>
        <v>101.78593227957376</v>
      </c>
      <c r="W394" s="76">
        <f t="shared" si="297"/>
        <v>98.982170447195699</v>
      </c>
      <c r="X394" s="76">
        <f t="shared" si="297"/>
        <v>96.433779490044671</v>
      </c>
      <c r="Y394" s="76">
        <f t="shared" si="297"/>
        <v>94.408828784765561</v>
      </c>
      <c r="Z394" s="76">
        <f t="shared" si="297"/>
        <v>92.546544443126933</v>
      </c>
      <c r="AA394" s="76">
        <f t="shared" si="297"/>
        <v>90.80447834731001</v>
      </c>
      <c r="AB394" s="76">
        <f t="shared" si="297"/>
        <v>89.148204352388703</v>
      </c>
      <c r="AC394" s="76">
        <f t="shared" si="297"/>
        <v>87.551696846758588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2.0678991054715748E-3</v>
      </c>
      <c r="C397" s="65">
        <f t="shared" ref="C397:AC397" si="299">((1+C358)^C365)*C358/(((1+C358)^C365)-1)*(C354)/C370/(C367)</f>
        <v>2.0672108897786113E-3</v>
      </c>
      <c r="D397" s="65">
        <f t="shared" si="299"/>
        <v>2.0662257243429026E-3</v>
      </c>
      <c r="E397" s="65">
        <f t="shared" si="299"/>
        <v>2.0648163759071901E-3</v>
      </c>
      <c r="F397" s="65">
        <f t="shared" si="299"/>
        <v>2.0628021060043848E-3</v>
      </c>
      <c r="G397" s="65">
        <f t="shared" si="299"/>
        <v>2.0599273075513052E-3</v>
      </c>
      <c r="H397" s="65">
        <f t="shared" si="299"/>
        <v>2.0558328892888592E-3</v>
      </c>
      <c r="I397" s="65">
        <f t="shared" si="299"/>
        <v>2.0500194022983649E-3</v>
      </c>
      <c r="J397" s="65">
        <f t="shared" si="299"/>
        <v>2.0418025970777333E-3</v>
      </c>
      <c r="K397" s="65">
        <f t="shared" si="299"/>
        <v>2.0302663507914126E-3</v>
      </c>
      <c r="L397" s="65">
        <f t="shared" si="299"/>
        <v>2.0142267806663458E-3</v>
      </c>
      <c r="M397" s="65">
        <f t="shared" si="299"/>
        <v>1.9922371300663917E-3</v>
      </c>
      <c r="N397" s="65">
        <f t="shared" si="299"/>
        <v>1.9626853959757488E-3</v>
      </c>
      <c r="O397" s="65">
        <f t="shared" si="299"/>
        <v>1.9240555705441109E-3</v>
      </c>
      <c r="P397" s="65">
        <f t="shared" si="299"/>
        <v>1.8754078347009179E-3</v>
      </c>
      <c r="Q397" s="65">
        <f t="shared" si="299"/>
        <v>1.8170319481225618E-3</v>
      </c>
      <c r="R397" s="65">
        <f t="shared" si="299"/>
        <v>1.7510220335500617E-3</v>
      </c>
      <c r="S397" s="65">
        <f t="shared" si="299"/>
        <v>1.6813356375677379E-3</v>
      </c>
      <c r="T397" s="65">
        <f t="shared" si="299"/>
        <v>1.6130205395135985E-3</v>
      </c>
      <c r="U397" s="65">
        <f t="shared" si="299"/>
        <v>1.5508318995873728E-3</v>
      </c>
      <c r="V397" s="65">
        <f t="shared" si="299"/>
        <v>1.497980411482707E-3</v>
      </c>
      <c r="W397" s="65">
        <f t="shared" si="299"/>
        <v>1.4556558346761172E-3</v>
      </c>
      <c r="X397" s="65">
        <f t="shared" si="299"/>
        <v>1.423360304073918E-3</v>
      </c>
      <c r="Y397" s="65">
        <f t="shared" si="299"/>
        <v>1.3996204989760034E-3</v>
      </c>
      <c r="Z397" s="65">
        <f t="shared" si="299"/>
        <v>1.3826468817667865E-3</v>
      </c>
      <c r="AA397" s="65">
        <f t="shared" si="299"/>
        <v>1.370750882760983E-3</v>
      </c>
      <c r="AB397" s="65">
        <f t="shared" si="299"/>
        <v>1.3625300162627306E-3</v>
      </c>
      <c r="AC397" s="65">
        <f t="shared" si="299"/>
        <v>1.3569040676564852E-3</v>
      </c>
    </row>
    <row r="398" spans="1:29" x14ac:dyDescent="0.25">
      <c r="A398" s="30" t="str">
        <f t="shared" si="298"/>
        <v>Residual value (vehicle)</v>
      </c>
      <c r="B398" s="68">
        <f>((1+B358)^B365)*B358/(((1+B358)^B365)-1)*(B355)/B370/(B367)</f>
        <v>-1.0354267188938173E-4</v>
      </c>
      <c r="C398" s="68">
        <f t="shared" ref="C398:AC398" si="300">((1+C358)^C365)*C358/(((1+C358)^C365)-1)*(C355)/C370/(C367)</f>
        <v>-1.0357216684765161E-4</v>
      </c>
      <c r="D398" s="68">
        <f t="shared" si="300"/>
        <v>-1.0361438822346771E-4</v>
      </c>
      <c r="E398" s="68">
        <f t="shared" si="300"/>
        <v>-1.036747888707125E-4</v>
      </c>
      <c r="F398" s="68">
        <f t="shared" si="300"/>
        <v>-1.0376111472368988E-4</v>
      </c>
      <c r="G398" s="68">
        <f t="shared" si="300"/>
        <v>-1.0388432037167901E-4</v>
      </c>
      <c r="H398" s="68">
        <f t="shared" si="300"/>
        <v>-1.0405979544006957E-4</v>
      </c>
      <c r="I398" s="68">
        <f t="shared" si="300"/>
        <v>-1.0430894488251933E-4</v>
      </c>
      <c r="J398" s="68">
        <f t="shared" si="300"/>
        <v>-1.0466109367768924E-4</v>
      </c>
      <c r="K398" s="68">
        <f t="shared" si="300"/>
        <v>-1.0515550423281725E-4</v>
      </c>
      <c r="L398" s="68">
        <f t="shared" si="300"/>
        <v>-1.0584291438103441E-4</v>
      </c>
      <c r="M398" s="68">
        <f t="shared" si="300"/>
        <v>-1.067853279781753E-4</v>
      </c>
      <c r="N398" s="68">
        <f t="shared" si="300"/>
        <v>-1.0805183086777429E-4</v>
      </c>
      <c r="O398" s="68">
        <f t="shared" si="300"/>
        <v>-1.0970739481484449E-4</v>
      </c>
      <c r="P398" s="68">
        <f t="shared" si="300"/>
        <v>-1.1179229777955277E-4</v>
      </c>
      <c r="Q398" s="68">
        <f t="shared" si="300"/>
        <v>-1.1429412149005375E-4</v>
      </c>
      <c r="R398" s="68">
        <f t="shared" si="300"/>
        <v>-1.1712311782887515E-4</v>
      </c>
      <c r="S398" s="68">
        <f t="shared" si="300"/>
        <v>-1.2010967765668903E-4</v>
      </c>
      <c r="T398" s="68">
        <f t="shared" si="300"/>
        <v>-1.2303746757329499E-4</v>
      </c>
      <c r="U398" s="68">
        <f t="shared" si="300"/>
        <v>-1.2570269499870466E-4</v>
      </c>
      <c r="V398" s="68">
        <f t="shared" si="300"/>
        <v>-1.2796775877461892E-4</v>
      </c>
      <c r="W398" s="68">
        <f t="shared" si="300"/>
        <v>-1.2978166920918704E-4</v>
      </c>
      <c r="X398" s="68">
        <f t="shared" si="300"/>
        <v>-1.3116576337785275E-4</v>
      </c>
      <c r="Y398" s="68">
        <f t="shared" si="300"/>
        <v>-1.321831835963348E-4</v>
      </c>
      <c r="Z398" s="68">
        <f t="shared" si="300"/>
        <v>-1.3291062433387269E-4</v>
      </c>
      <c r="AA398" s="68">
        <f t="shared" si="300"/>
        <v>-1.3342045286269283E-4</v>
      </c>
      <c r="AB398" s="68">
        <f t="shared" si="300"/>
        <v>-1.3377277571261794E-4</v>
      </c>
      <c r="AC398" s="68">
        <f t="shared" si="300"/>
        <v>-1.3401388779574273E-4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1.2272875676237464E-2</v>
      </c>
      <c r="C404" s="66">
        <f t="shared" ref="C404:AC404" si="306">C362*C363*C370/C370/(C367)</f>
        <v>1.1952823909334756E-2</v>
      </c>
      <c r="D404" s="66">
        <f t="shared" si="306"/>
        <v>1.1632277074057592E-2</v>
      </c>
      <c r="E404" s="66">
        <f t="shared" si="306"/>
        <v>1.140758842123883E-2</v>
      </c>
      <c r="F404" s="66">
        <f t="shared" si="306"/>
        <v>1.118189144543053E-2</v>
      </c>
      <c r="G404" s="66">
        <f t="shared" si="306"/>
        <v>1.0954792138497413E-2</v>
      </c>
      <c r="H404" s="66">
        <f t="shared" si="306"/>
        <v>1.0725751235711567E-2</v>
      </c>
      <c r="I404" s="66">
        <f t="shared" si="306"/>
        <v>1.0494039383343104E-2</v>
      </c>
      <c r="J404" s="66">
        <f t="shared" si="306"/>
        <v>1.0470786019931422E-2</v>
      </c>
      <c r="K404" s="66">
        <f t="shared" si="306"/>
        <v>1.0441833229988512E-2</v>
      </c>
      <c r="L404" s="66">
        <f t="shared" si="306"/>
        <v>1.0405156192438283E-2</v>
      </c>
      <c r="M404" s="66">
        <f t="shared" si="306"/>
        <v>1.0358284649412651E-2</v>
      </c>
      <c r="N404" s="66">
        <f t="shared" si="306"/>
        <v>1.0298472778236077E-2</v>
      </c>
      <c r="O404" s="66">
        <f t="shared" si="306"/>
        <v>1.0007276225543824E-2</v>
      </c>
      <c r="P404" s="66">
        <f t="shared" si="306"/>
        <v>9.7025256569906095E-3</v>
      </c>
      <c r="Q404" s="66">
        <f t="shared" si="306"/>
        <v>9.3858219980898806E-3</v>
      </c>
      <c r="R404" s="66">
        <f t="shared" si="306"/>
        <v>9.0615530345838323E-3</v>
      </c>
      <c r="S404" s="66">
        <f t="shared" si="306"/>
        <v>8.7366429964631249E-3</v>
      </c>
      <c r="T404" s="66">
        <f t="shared" si="306"/>
        <v>8.4343239841424954E-3</v>
      </c>
      <c r="U404" s="66">
        <f t="shared" si="306"/>
        <v>8.1457464404424019E-3</v>
      </c>
      <c r="V404" s="66">
        <f t="shared" si="306"/>
        <v>7.8748435880941336E-3</v>
      </c>
      <c r="W404" s="66">
        <f t="shared" si="306"/>
        <v>7.6222877015386719E-3</v>
      </c>
      <c r="X404" s="66">
        <f t="shared" si="306"/>
        <v>7.3862963255528144E-3</v>
      </c>
      <c r="Y404" s="66">
        <f t="shared" si="306"/>
        <v>7.1967730529560779E-3</v>
      </c>
      <c r="Z404" s="66">
        <f t="shared" si="306"/>
        <v>7.0174069848035073E-3</v>
      </c>
      <c r="AA404" s="66">
        <f t="shared" si="306"/>
        <v>6.8454671937331641E-3</v>
      </c>
      <c r="AB404" s="66">
        <f t="shared" si="306"/>
        <v>6.6787732936716806E-3</v>
      </c>
      <c r="AC404" s="66">
        <f t="shared" si="306"/>
        <v>6.5156977611726787E-3</v>
      </c>
    </row>
    <row r="405" spans="1:29" x14ac:dyDescent="0.25">
      <c r="A405" s="59" t="str">
        <f>A368</f>
        <v>Market failure (av. utilization)</v>
      </c>
      <c r="B405" s="66">
        <f t="shared" ref="B405:AC405" si="307">B394/B368-B394/B367</f>
        <v>7.4180583500423752E-3</v>
      </c>
      <c r="C405" s="66">
        <f t="shared" si="307"/>
        <v>7.2671080076640495E-3</v>
      </c>
      <c r="D405" s="66">
        <f t="shared" si="307"/>
        <v>7.1157789619752561E-3</v>
      </c>
      <c r="E405" s="66">
        <f t="shared" si="307"/>
        <v>7.0093514787273863E-3</v>
      </c>
      <c r="F405" s="66">
        <f t="shared" si="307"/>
        <v>6.9021526215207601E-3</v>
      </c>
      <c r="G405" s="66">
        <f t="shared" si="307"/>
        <v>6.7938715339752615E-3</v>
      </c>
      <c r="H405" s="66">
        <f t="shared" si="307"/>
        <v>6.6840782181556476E-3</v>
      </c>
      <c r="I405" s="66">
        <f t="shared" si="307"/>
        <v>6.5721843410726302E-3</v>
      </c>
      <c r="J405" s="66">
        <f t="shared" si="307"/>
        <v>6.5572091328714634E-3</v>
      </c>
      <c r="K405" s="66">
        <f t="shared" si="307"/>
        <v>6.5379228049729388E-3</v>
      </c>
      <c r="L405" s="66">
        <f t="shared" si="307"/>
        <v>6.5127915024677588E-3</v>
      </c>
      <c r="M405" s="66">
        <f t="shared" si="307"/>
        <v>6.4799427461276517E-3</v>
      </c>
      <c r="N405" s="66">
        <f t="shared" si="307"/>
        <v>6.4372932834656209E-3</v>
      </c>
      <c r="O405" s="66">
        <f t="shared" si="307"/>
        <v>6.2813017813145786E-3</v>
      </c>
      <c r="P405" s="66">
        <f t="shared" si="307"/>
        <v>6.1140155660858193E-3</v>
      </c>
      <c r="Q405" s="66">
        <f t="shared" si="307"/>
        <v>5.9363302158789537E-3</v>
      </c>
      <c r="R405" s="66">
        <f t="shared" si="307"/>
        <v>5.7513382749766629E-3</v>
      </c>
      <c r="S405" s="66">
        <f t="shared" si="307"/>
        <v>5.5642403954797946E-3</v>
      </c>
      <c r="T405" s="66">
        <f t="shared" si="307"/>
        <v>5.3884465600485595E-3</v>
      </c>
      <c r="U405" s="66">
        <f t="shared" si="307"/>
        <v>5.2221258960242177E-3</v>
      </c>
      <c r="V405" s="66">
        <f t="shared" si="307"/>
        <v>5.0687049999165266E-3</v>
      </c>
      <c r="W405" s="66">
        <f t="shared" si="307"/>
        <v>4.9290841181298811E-3</v>
      </c>
      <c r="X405" s="66">
        <f t="shared" si="307"/>
        <v>4.8021801177737748E-3</v>
      </c>
      <c r="Y405" s="66">
        <f t="shared" si="307"/>
        <v>4.7013422364028893E-3</v>
      </c>
      <c r="Z405" s="66">
        <f t="shared" si="307"/>
        <v>4.6086047652973243E-3</v>
      </c>
      <c r="AA405" s="66">
        <f t="shared" si="307"/>
        <v>4.5218538859538113E-3</v>
      </c>
      <c r="AB405" s="66">
        <f t="shared" si="307"/>
        <v>4.4393752556433821E-3</v>
      </c>
      <c r="AC405" s="66">
        <f t="shared" si="307"/>
        <v>4.3598728588488539E-3</v>
      </c>
    </row>
    <row r="406" spans="1:29" x14ac:dyDescent="0.25">
      <c r="A406" s="59" t="str">
        <f>A369</f>
        <v>Payload loss (fuel)</v>
      </c>
      <c r="B406" s="66">
        <f>B394/(B367-B369)-B394/B367</f>
        <v>1.7506312167844713E-3</v>
      </c>
      <c r="C406" s="66">
        <f t="shared" ref="C406:AC406" si="308">C394/(C367-C369)-C394/C367</f>
        <v>1.7146453087355119E-3</v>
      </c>
      <c r="D406" s="66">
        <f t="shared" si="308"/>
        <v>1.6784320935997049E-3</v>
      </c>
      <c r="E406" s="66">
        <f t="shared" si="308"/>
        <v>1.6526131217338164E-3</v>
      </c>
      <c r="F406" s="66">
        <f t="shared" si="308"/>
        <v>1.6263318128257494E-3</v>
      </c>
      <c r="G406" s="66">
        <f t="shared" si="308"/>
        <v>1.5994037895408226E-3</v>
      </c>
      <c r="H406" s="66">
        <f t="shared" si="308"/>
        <v>1.5715753428549254E-3</v>
      </c>
      <c r="I406" s="66">
        <f t="shared" si="308"/>
        <v>1.5425017164138397E-3</v>
      </c>
      <c r="J406" s="66">
        <f t="shared" si="308"/>
        <v>1.5350896884500868E-3</v>
      </c>
      <c r="K406" s="66">
        <f t="shared" si="308"/>
        <v>1.5251222447047914E-3</v>
      </c>
      <c r="L406" s="66">
        <f t="shared" si="308"/>
        <v>1.5117145211466926E-3</v>
      </c>
      <c r="M406" s="66">
        <f t="shared" si="308"/>
        <v>1.4938097214881544E-3</v>
      </c>
      <c r="N406" s="66">
        <f t="shared" si="308"/>
        <v>1.470274996369288E-3</v>
      </c>
      <c r="O406" s="66">
        <f t="shared" si="308"/>
        <v>1.4172048281748274E-3</v>
      </c>
      <c r="P406" s="66">
        <f t="shared" si="308"/>
        <v>1.3581381660033014E-3</v>
      </c>
      <c r="Q406" s="66">
        <f t="shared" si="308"/>
        <v>1.2939054663366287E-3</v>
      </c>
      <c r="R406" s="66">
        <f t="shared" si="308"/>
        <v>1.2265582004526536E-3</v>
      </c>
      <c r="S406" s="66">
        <f t="shared" si="308"/>
        <v>1.159167581247289E-3</v>
      </c>
      <c r="T406" s="66">
        <f t="shared" si="308"/>
        <v>1.0965574904308068E-3</v>
      </c>
      <c r="U406" s="66">
        <f t="shared" si="308"/>
        <v>1.0398741938732504E-3</v>
      </c>
      <c r="V406" s="66">
        <f t="shared" si="308"/>
        <v>9.9055124022166818E-4</v>
      </c>
      <c r="W406" s="66">
        <f t="shared" si="308"/>
        <v>9.4868845279292083E-4</v>
      </c>
      <c r="X406" s="66">
        <f t="shared" si="308"/>
        <v>9.1345106811496768E-4</v>
      </c>
      <c r="Y406" s="66">
        <f t="shared" si="308"/>
        <v>8.865020548176096E-4</v>
      </c>
      <c r="Z406" s="66">
        <f t="shared" si="308"/>
        <v>8.6357732158330418E-4</v>
      </c>
      <c r="AA406" s="66">
        <f t="shared" si="308"/>
        <v>8.4358549464521107E-4</v>
      </c>
      <c r="AB406" s="66">
        <f t="shared" si="308"/>
        <v>8.2566522331025544E-4</v>
      </c>
      <c r="AC406" s="66">
        <f t="shared" si="308"/>
        <v>8.0917693893891272E-4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2.4918266961334933E-2</v>
      </c>
      <c r="C408" s="67">
        <f t="shared" ref="C408:AC408" si="310">C397+C398+C399+C400+C401+C402+C403+C404+C405+C406+C407</f>
        <v>2.4410561233353702E-2</v>
      </c>
      <c r="D408" s="67">
        <f t="shared" si="310"/>
        <v>2.3901444750440416E-2</v>
      </c>
      <c r="E408" s="67">
        <f t="shared" si="310"/>
        <v>2.3543039893424933E-2</v>
      </c>
      <c r="F408" s="67">
        <f t="shared" si="310"/>
        <v>2.3181762155746164E-2</v>
      </c>
      <c r="G408" s="67">
        <f t="shared" si="310"/>
        <v>2.2816455733881552E-2</v>
      </c>
      <c r="H408" s="67">
        <f t="shared" si="310"/>
        <v>2.2445523175259358E-2</v>
      </c>
      <c r="I408" s="67">
        <f t="shared" si="310"/>
        <v>2.2066781182933846E-2</v>
      </c>
      <c r="J408" s="67">
        <f t="shared" si="310"/>
        <v>2.2012571629341442E-2</v>
      </c>
      <c r="K408" s="67">
        <f t="shared" si="310"/>
        <v>2.1942334410913266E-2</v>
      </c>
      <c r="L408" s="67">
        <f t="shared" si="310"/>
        <v>2.1850391367026472E-2</v>
      </c>
      <c r="M408" s="67">
        <f t="shared" si="310"/>
        <v>2.1729834203805101E-2</v>
      </c>
      <c r="N408" s="67">
        <f t="shared" si="310"/>
        <v>2.1573019907867384E-2</v>
      </c>
      <c r="O408" s="67">
        <f t="shared" si="310"/>
        <v>2.1032476295450922E-2</v>
      </c>
      <c r="P408" s="67">
        <f t="shared" si="310"/>
        <v>2.045064021068952E-2</v>
      </c>
      <c r="Q408" s="67">
        <f t="shared" si="310"/>
        <v>1.98311407916264E-2</v>
      </c>
      <c r="R408" s="67">
        <f t="shared" si="310"/>
        <v>1.9185693710422762E-2</v>
      </c>
      <c r="S408" s="67">
        <f t="shared" si="310"/>
        <v>1.8533622217789682E-2</v>
      </c>
      <c r="T408" s="67">
        <f t="shared" si="310"/>
        <v>1.7921656391250589E-2</v>
      </c>
      <c r="U408" s="67">
        <f t="shared" si="310"/>
        <v>1.7345221019616965E-2</v>
      </c>
      <c r="V408" s="67">
        <f t="shared" si="310"/>
        <v>1.6816457765628845E-2</v>
      </c>
      <c r="W408" s="67">
        <f t="shared" si="310"/>
        <v>1.6338279722616832E-2</v>
      </c>
      <c r="X408" s="67">
        <f t="shared" si="310"/>
        <v>1.5906467336826047E-2</v>
      </c>
      <c r="Y408" s="67">
        <f t="shared" si="310"/>
        <v>1.5564399944244673E-2</v>
      </c>
      <c r="Z408" s="67">
        <f t="shared" si="310"/>
        <v>1.5251670613805475E-2</v>
      </c>
      <c r="AA408" s="67">
        <f t="shared" si="310"/>
        <v>1.4960582288918904E-2</v>
      </c>
      <c r="AB408" s="67">
        <f t="shared" si="310"/>
        <v>1.4684916297863858E-2</v>
      </c>
      <c r="AC408" s="67">
        <f t="shared" si="310"/>
        <v>1.4419983023509615E-2</v>
      </c>
    </row>
    <row r="410" spans="1:29" x14ac:dyDescent="0.25">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91" zoomScale="70" zoomScaleNormal="7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Input'!$L$249</f>
        <v>30000000</v>
      </c>
      <c r="C11" s="42">
        <f>'Parameter Input'!$M$249</f>
        <v>18000000</v>
      </c>
      <c r="D11" s="1" t="s">
        <v>15</v>
      </c>
      <c r="L11" s="51">
        <f>'Parameter Input'!$O$249</f>
        <v>17</v>
      </c>
      <c r="M11" s="52">
        <v>0</v>
      </c>
      <c r="N11" s="52">
        <v>1</v>
      </c>
      <c r="O11" s="52">
        <f>'Parameter Input'!$P$249</f>
        <v>0.9</v>
      </c>
      <c r="P11" s="53">
        <f>'Parameter Input'!$Q$249</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Input'!$L$250</f>
        <v>-1500000</v>
      </c>
      <c r="C12" s="61">
        <f>'Parameter Input'!$M$250</f>
        <v>-1800000</v>
      </c>
      <c r="D12" s="1" t="s">
        <v>15</v>
      </c>
      <c r="L12" s="54">
        <f>'Parameter Input'!$O$250</f>
        <v>17</v>
      </c>
      <c r="M12" s="37">
        <v>0</v>
      </c>
      <c r="N12" s="37">
        <v>1</v>
      </c>
      <c r="O12" s="37">
        <f>'Parameter Input'!$P$250</f>
        <v>0.9</v>
      </c>
      <c r="P12" s="55">
        <f>'Parameter Input'!$Q$250</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Input'!$L$256</f>
        <v>0.06</v>
      </c>
      <c r="C15" s="91">
        <f>'Parameter Input'!$M$256</f>
        <v>0.06</v>
      </c>
      <c r="D15" s="1" t="s">
        <v>57</v>
      </c>
      <c r="L15" s="54">
        <f>'Parameter Input'!$O$256</f>
        <v>17</v>
      </c>
      <c r="M15" s="37">
        <v>0</v>
      </c>
      <c r="N15" s="37">
        <v>1</v>
      </c>
      <c r="O15" s="37">
        <f>'Parameter Input'!$P$256</f>
        <v>0.9</v>
      </c>
      <c r="P15" s="55">
        <f>'Parameter Input'!$Q$256</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Input'!$L$252</f>
        <v>338823.5294117647</v>
      </c>
      <c r="C17" s="61">
        <f>'Parameter Input'!$M$252</f>
        <v>338823.5294117647</v>
      </c>
      <c r="D17" s="1" t="s">
        <v>38</v>
      </c>
      <c r="L17" s="54">
        <f>'Parameter Input'!$O$252</f>
        <v>17</v>
      </c>
      <c r="M17" s="37">
        <v>0</v>
      </c>
      <c r="N17" s="37">
        <v>1</v>
      </c>
      <c r="O17" s="37">
        <f>'Parameter Input'!$P$252</f>
        <v>0.9</v>
      </c>
      <c r="P17" s="55">
        <f>'Parameter Input'!$Q$252</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Input'!$L$253</f>
        <v>589</v>
      </c>
      <c r="C19" s="61">
        <f>'Parameter Input'!$M$253</f>
        <v>519</v>
      </c>
      <c r="D19" s="1" t="s">
        <v>60</v>
      </c>
      <c r="L19" s="54">
        <f>'Parameter Input'!$O$253</f>
        <v>17</v>
      </c>
      <c r="M19" s="37">
        <v>0</v>
      </c>
      <c r="N19" s="37">
        <v>1</v>
      </c>
      <c r="O19" s="37">
        <f>'Parameter Input'!$P$253</f>
        <v>0.9</v>
      </c>
      <c r="P19" s="55">
        <f>'Parameter Input'!$Q$253</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Input'!$L$254</f>
        <v>0.23976160758395154</v>
      </c>
      <c r="C20" s="61">
        <f>'Parameter Input'!$M$254</f>
        <v>0.11428118371505049</v>
      </c>
      <c r="D20" s="1" t="s">
        <v>68</v>
      </c>
      <c r="L20" s="54">
        <f>'Parameter Input'!$O$254</f>
        <v>14</v>
      </c>
      <c r="M20" s="37">
        <v>0</v>
      </c>
      <c r="N20" s="37">
        <v>1</v>
      </c>
      <c r="O20" s="37">
        <f>'Parameter Input'!$P$254</f>
        <v>0.9</v>
      </c>
      <c r="P20" s="55">
        <f>'Parameter Input'!$Q$254</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Input'!$L$257</f>
        <v>0</v>
      </c>
      <c r="C21" s="116">
        <f>'Parameter Input'!$M$257</f>
        <v>0</v>
      </c>
      <c r="D21" s="1" t="s">
        <v>76</v>
      </c>
      <c r="L21" s="54">
        <f>'Parameter Input'!$O$257</f>
        <v>17</v>
      </c>
      <c r="M21" s="37">
        <v>0</v>
      </c>
      <c r="N21" s="37">
        <v>1</v>
      </c>
      <c r="O21" s="37">
        <f>'Parameter Input'!$P$257</f>
        <v>0.9</v>
      </c>
      <c r="P21" s="55">
        <f>'Parameter Input'!$Q$257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Input'!$L$251</f>
        <v>25</v>
      </c>
      <c r="C22" s="61">
        <f>'Parameter Input'!$M$251</f>
        <v>25</v>
      </c>
      <c r="D22" s="1" t="s">
        <v>42</v>
      </c>
      <c r="L22" s="54">
        <f>'Parameter Input'!$O$251</f>
        <v>17</v>
      </c>
      <c r="M22" s="37">
        <v>0</v>
      </c>
      <c r="N22" s="37">
        <v>1</v>
      </c>
      <c r="O22" s="37">
        <f>'Parameter Input'!$P$251</f>
        <v>0.9</v>
      </c>
      <c r="P22" s="55">
        <f>'Parameter Input'!$Q$251</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Input'!$L$255</f>
        <v>0.08</v>
      </c>
      <c r="C26" s="46">
        <f>'Parameter Input'!$M$255</f>
        <v>7.0000000000000007E-2</v>
      </c>
      <c r="D26" s="1" t="s">
        <v>57</v>
      </c>
      <c r="L26" s="54">
        <f>'Parameter Input'!$O$255</f>
        <v>17</v>
      </c>
      <c r="M26" s="37">
        <v>0</v>
      </c>
      <c r="N26" s="37">
        <v>1</v>
      </c>
      <c r="O26" s="37">
        <f>'Parameter Input'!$P$255</f>
        <v>0.9</v>
      </c>
      <c r="P26" s="55">
        <f>'Parameter Input'!$Q$255</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Input'!J6</f>
        <v>0.18104231880665794</v>
      </c>
      <c r="C40" s="62">
        <f>'Parameter Input'!K6</f>
        <v>0.17732719010569079</v>
      </c>
      <c r="D40" s="62">
        <f>'Parameter Input'!L6</f>
        <v>0.17361206140472354</v>
      </c>
      <c r="E40" s="62">
        <f>'Parameter Input'!M6</f>
        <v>0.17118675002498271</v>
      </c>
      <c r="F40" s="62">
        <f>'Parameter Input'!N6</f>
        <v>0.16876143864524187</v>
      </c>
      <c r="G40" s="62">
        <f>'Parameter Input'!O6</f>
        <v>0.16633612726550104</v>
      </c>
      <c r="H40" s="62">
        <f>'Parameter Input'!P6</f>
        <v>0.1639108158857602</v>
      </c>
      <c r="I40" s="62">
        <f>'Parameter Input'!Q6</f>
        <v>0.16148550450601945</v>
      </c>
      <c r="J40" s="62">
        <f>'Parameter Input'!R6</f>
        <v>0.1627875388918204</v>
      </c>
      <c r="K40" s="62">
        <f>'Parameter Input'!S6</f>
        <v>0.16408957327762139</v>
      </c>
      <c r="L40" s="62">
        <f>'Parameter Input'!T6</f>
        <v>0.16539160766342234</v>
      </c>
      <c r="M40" s="62">
        <f>'Parameter Input'!U6</f>
        <v>0.16669364204922332</v>
      </c>
      <c r="N40" s="62">
        <f>'Parameter Input'!V6</f>
        <v>0.16799567643502425</v>
      </c>
      <c r="O40" s="62">
        <f>'Parameter Input'!W6</f>
        <v>0.16487244686609676</v>
      </c>
      <c r="P40" s="62">
        <f>'Parameter Input'!X6</f>
        <v>0.16174921729716923</v>
      </c>
      <c r="Q40" s="62">
        <f>'Parameter Input'!Y6</f>
        <v>0.15862598772824177</v>
      </c>
      <c r="R40" s="62">
        <f>'Parameter Input'!Z6</f>
        <v>0.15550275815931427</v>
      </c>
      <c r="S40" s="62">
        <f>'Parameter Input'!AA6</f>
        <v>0.15237952859038681</v>
      </c>
      <c r="T40" s="62">
        <f>'Parameter Input'!AB6</f>
        <v>0.14950198735980291</v>
      </c>
      <c r="U40" s="62">
        <f>'Parameter Input'!AC6</f>
        <v>0.14662444612921899</v>
      </c>
      <c r="V40" s="62">
        <f>'Parameter Input'!AD6</f>
        <v>0.14374690489863506</v>
      </c>
      <c r="W40" s="62">
        <f>'Parameter Input'!AE6</f>
        <v>0.14086936366805117</v>
      </c>
      <c r="X40" s="62">
        <f>'Parameter Input'!AF6</f>
        <v>0.13799182243746722</v>
      </c>
      <c r="Y40" s="62">
        <f>'Parameter Input'!AG6</f>
        <v>0.1352562604095163</v>
      </c>
      <c r="Z40" s="62">
        <f>'Parameter Input'!AH6</f>
        <v>0.13252069838156535</v>
      </c>
      <c r="AA40" s="62">
        <f>'Parameter Input'!AI6</f>
        <v>0.12978513635361441</v>
      </c>
      <c r="AB40" s="62">
        <f>'Parameter Input'!AJ6</f>
        <v>0.12704957432566347</v>
      </c>
      <c r="AC40" s="62">
        <f>'Parameter Input'!AK6</f>
        <v>0.12431401229771254</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755.79245394358725</v>
      </c>
      <c r="C46" s="62">
        <f t="shared" si="38"/>
        <v>755.70266455291733</v>
      </c>
      <c r="D46" s="62">
        <f t="shared" si="38"/>
        <v>755.57413304007082</v>
      </c>
      <c r="E46" s="62">
        <f t="shared" si="38"/>
        <v>755.39025967220368</v>
      </c>
      <c r="F46" s="62">
        <f t="shared" si="38"/>
        <v>755.12746405584869</v>
      </c>
      <c r="G46" s="62">
        <f t="shared" si="38"/>
        <v>754.75239791882211</v>
      </c>
      <c r="H46" s="62">
        <f t="shared" si="38"/>
        <v>754.21821172590103</v>
      </c>
      <c r="I46" s="62">
        <f t="shared" si="38"/>
        <v>753.45974390849915</v>
      </c>
      <c r="J46" s="62">
        <f t="shared" si="38"/>
        <v>752.3877225327052</v>
      </c>
      <c r="K46" s="62">
        <f t="shared" si="38"/>
        <v>750.88262386195834</v>
      </c>
      <c r="L46" s="62">
        <f t="shared" si="39"/>
        <v>748.78999034188371</v>
      </c>
      <c r="M46" s="62">
        <f t="shared" si="39"/>
        <v>745.92106807143728</v>
      </c>
      <c r="N46" s="62">
        <f t="shared" si="39"/>
        <v>742.06554396123909</v>
      </c>
      <c r="O46" s="62">
        <f t="shared" si="39"/>
        <v>737.02562911672953</v>
      </c>
      <c r="P46" s="62">
        <f t="shared" si="39"/>
        <v>730.67870822624377</v>
      </c>
      <c r="Q46" s="62">
        <f t="shared" si="39"/>
        <v>723.06258534605354</v>
      </c>
      <c r="R46" s="62">
        <f t="shared" si="39"/>
        <v>714.45047424740278</v>
      </c>
      <c r="S46" s="62">
        <f t="shared" si="39"/>
        <v>705.35870389516015</v>
      </c>
      <c r="T46" s="62">
        <f t="shared" si="39"/>
        <v>696.44584257777012</v>
      </c>
      <c r="U46" s="62">
        <f t="shared" si="39"/>
        <v>688.33228146218346</v>
      </c>
      <c r="V46" s="62">
        <f t="shared" si="40"/>
        <v>681.43690990725634</v>
      </c>
      <c r="W46" s="62">
        <f t="shared" si="40"/>
        <v>675.91495218283933</v>
      </c>
      <c r="X46" s="62">
        <f t="shared" si="40"/>
        <v>671.70145335713607</v>
      </c>
      <c r="Y46" s="62">
        <f t="shared" si="40"/>
        <v>668.60419379714972</v>
      </c>
      <c r="Z46" s="62">
        <f t="shared" si="40"/>
        <v>666.38969801877408</v>
      </c>
      <c r="AA46" s="62">
        <f t="shared" si="40"/>
        <v>664.83766351409531</v>
      </c>
      <c r="AB46" s="62">
        <f t="shared" si="40"/>
        <v>663.76511227586627</v>
      </c>
      <c r="AC46" s="62">
        <f t="shared" si="40"/>
        <v>663.03111201626791</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2">((1+C35)^C42)*C35/(((1+C35)^C42)-1)*(C31)</f>
        <v>2343847.949386192</v>
      </c>
      <c r="D50" s="63">
        <f t="shared" si="42"/>
        <v>2342571.1749815131</v>
      </c>
      <c r="E50" s="63">
        <f t="shared" si="42"/>
        <v>2340744.6594088301</v>
      </c>
      <c r="F50" s="63">
        <f t="shared" si="42"/>
        <v>2338134.1656147949</v>
      </c>
      <c r="G50" s="63">
        <f t="shared" si="42"/>
        <v>2334408.426819603</v>
      </c>
      <c r="H50" s="63">
        <f t="shared" si="42"/>
        <v>2329102.0607514726</v>
      </c>
      <c r="I50" s="63">
        <f t="shared" si="42"/>
        <v>2321567.7816117923</v>
      </c>
      <c r="J50" s="63">
        <f t="shared" si="42"/>
        <v>2310918.8020458543</v>
      </c>
      <c r="K50" s="63">
        <f t="shared" si="42"/>
        <v>2295967.8268587827</v>
      </c>
      <c r="L50" s="63">
        <f t="shared" si="42"/>
        <v>2275180.5439766962</v>
      </c>
      <c r="M50" s="63">
        <f t="shared" si="42"/>
        <v>2246681.9567991556</v>
      </c>
      <c r="N50" s="63">
        <f t="shared" si="42"/>
        <v>2208382.9094176819</v>
      </c>
      <c r="O50" s="63">
        <f t="shared" si="42"/>
        <v>2158318.6556582791</v>
      </c>
      <c r="P50" s="63">
        <f t="shared" si="42"/>
        <v>2095271.1900055008</v>
      </c>
      <c r="Q50" s="63">
        <f t="shared" si="42"/>
        <v>2019616.0409999515</v>
      </c>
      <c r="R50" s="63">
        <f t="shared" si="42"/>
        <v>1934067.1917139916</v>
      </c>
      <c r="S50" s="63">
        <f t="shared" si="42"/>
        <v>1843753.6225209001</v>
      </c>
      <c r="T50" s="63">
        <f t="shared" si="42"/>
        <v>1755217.2554427353</v>
      </c>
      <c r="U50" s="63">
        <f t="shared" si="42"/>
        <v>1674620.7780983469</v>
      </c>
      <c r="V50" s="63">
        <f t="shared" si="42"/>
        <v>1606125.2495146997</v>
      </c>
      <c r="W50" s="63">
        <f t="shared" si="42"/>
        <v>1551272.5979733593</v>
      </c>
      <c r="X50" s="63">
        <f t="shared" si="42"/>
        <v>1509417.5903129096</v>
      </c>
      <c r="Y50" s="63">
        <f t="shared" si="42"/>
        <v>1478650.8029060119</v>
      </c>
      <c r="Z50" s="63">
        <f t="shared" si="42"/>
        <v>1456652.995002867</v>
      </c>
      <c r="AA50" s="63">
        <f t="shared" si="42"/>
        <v>1441235.7802913454</v>
      </c>
      <c r="AB50" s="63">
        <f t="shared" si="42"/>
        <v>1430581.5373096101</v>
      </c>
      <c r="AC50" s="63">
        <f t="shared" si="42"/>
        <v>1423290.3079159164</v>
      </c>
    </row>
    <row r="51" spans="1:29" x14ac:dyDescent="0.25">
      <c r="A51" s="30" t="str">
        <f>A32</f>
        <v>Residual value (vehicle)</v>
      </c>
      <c r="B51" s="62">
        <f>((1+B35)^B42)*B35/(((1+B35)^B42)-1)*(B32)</f>
        <v>-117391.61905450956</v>
      </c>
      <c r="C51" s="62">
        <f t="shared" ref="C51:AC51" si="43">((1+C35)^C42)*C35/(((1+C35)^C42)-1)*(C32)</f>
        <v>-117413.91724296159</v>
      </c>
      <c r="D51" s="62">
        <f t="shared" si="43"/>
        <v>-117445.83660307855</v>
      </c>
      <c r="E51" s="62">
        <f t="shared" si="43"/>
        <v>-117491.49949239564</v>
      </c>
      <c r="F51" s="62">
        <f t="shared" si="43"/>
        <v>-117556.76183724651</v>
      </c>
      <c r="G51" s="62">
        <f t="shared" si="43"/>
        <v>-117649.9053071263</v>
      </c>
      <c r="H51" s="62">
        <f t="shared" si="43"/>
        <v>-117782.56445882957</v>
      </c>
      <c r="I51" s="62">
        <f t="shared" si="43"/>
        <v>-117970.92143732157</v>
      </c>
      <c r="J51" s="62">
        <f t="shared" si="43"/>
        <v>-118237.14592647002</v>
      </c>
      <c r="K51" s="62">
        <f t="shared" si="43"/>
        <v>-118610.92030614681</v>
      </c>
      <c r="L51" s="62">
        <f t="shared" si="43"/>
        <v>-119130.60237819898</v>
      </c>
      <c r="M51" s="62">
        <f t="shared" si="43"/>
        <v>-119843.06705763748</v>
      </c>
      <c r="N51" s="62">
        <f t="shared" si="43"/>
        <v>-120800.54324217433</v>
      </c>
      <c r="O51" s="62">
        <f t="shared" si="43"/>
        <v>-122052.1495861594</v>
      </c>
      <c r="P51" s="62">
        <f t="shared" si="43"/>
        <v>-123628.33622747887</v>
      </c>
      <c r="Q51" s="62">
        <f t="shared" si="43"/>
        <v>-125519.71495261759</v>
      </c>
      <c r="R51" s="62">
        <f t="shared" si="43"/>
        <v>-127658.43618476659</v>
      </c>
      <c r="S51" s="62">
        <f t="shared" si="43"/>
        <v>-129916.27541459388</v>
      </c>
      <c r="T51" s="62">
        <f t="shared" si="43"/>
        <v>-132129.68459154799</v>
      </c>
      <c r="U51" s="62">
        <f t="shared" si="43"/>
        <v>-134144.59652515771</v>
      </c>
      <c r="V51" s="62">
        <f t="shared" si="43"/>
        <v>-135856.98473974891</v>
      </c>
      <c r="W51" s="62">
        <f t="shared" si="43"/>
        <v>-137228.30102828241</v>
      </c>
      <c r="X51" s="62">
        <f t="shared" si="43"/>
        <v>-138274.67621979365</v>
      </c>
      <c r="Y51" s="62">
        <f t="shared" si="43"/>
        <v>-139043.84590496609</v>
      </c>
      <c r="Z51" s="62">
        <f t="shared" si="43"/>
        <v>-139593.79110254472</v>
      </c>
      <c r="AA51" s="62">
        <f t="shared" si="43"/>
        <v>-139979.22147033276</v>
      </c>
      <c r="AB51" s="62">
        <f t="shared" si="43"/>
        <v>-140245.57754487614</v>
      </c>
      <c r="AC51" s="62">
        <f t="shared" si="43"/>
        <v>-140427.85827971846</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12792731.127093505</v>
      </c>
      <c r="C57" s="62">
        <f t="shared" ref="C57:AC57" si="49">C39*C40*C47</f>
        <v>12528799.071394671</v>
      </c>
      <c r="D57" s="62">
        <f t="shared" si="49"/>
        <v>12264328.443126084</v>
      </c>
      <c r="E57" s="62">
        <f t="shared" si="49"/>
        <v>12090201.317092478</v>
      </c>
      <c r="F57" s="62">
        <f t="shared" si="49"/>
        <v>11914969.557116391</v>
      </c>
      <c r="G57" s="62">
        <f t="shared" si="49"/>
        <v>11738191.13747659</v>
      </c>
      <c r="H57" s="62">
        <f t="shared" si="49"/>
        <v>11559256.07838391</v>
      </c>
      <c r="I57" s="62">
        <f t="shared" si="49"/>
        <v>11377331.944128966</v>
      </c>
      <c r="J57" s="62">
        <f t="shared" si="49"/>
        <v>11453553.581434283</v>
      </c>
      <c r="K57" s="62">
        <f t="shared" si="49"/>
        <v>11523210.322214071</v>
      </c>
      <c r="L57" s="62">
        <f t="shared" si="49"/>
        <v>11583881.043995168</v>
      </c>
      <c r="M57" s="62">
        <f t="shared" si="49"/>
        <v>11632564.942604586</v>
      </c>
      <c r="N57" s="62">
        <f t="shared" si="49"/>
        <v>11665851.888828779</v>
      </c>
      <c r="O57" s="62">
        <f t="shared" si="49"/>
        <v>11375108.904027309</v>
      </c>
      <c r="P57" s="62">
        <f t="shared" si="49"/>
        <v>11068372.534087626</v>
      </c>
      <c r="Q57" s="62">
        <f t="shared" si="49"/>
        <v>10747264.374170177</v>
      </c>
      <c r="R57" s="62">
        <f t="shared" si="49"/>
        <v>10416617.981834527</v>
      </c>
      <c r="S57" s="62">
        <f t="shared" si="49"/>
        <v>10084256.473865278</v>
      </c>
      <c r="T57" s="62">
        <f t="shared" si="49"/>
        <v>9775381.3652431425</v>
      </c>
      <c r="U57" s="62">
        <f t="shared" si="49"/>
        <v>9481483.2522856221</v>
      </c>
      <c r="V57" s="62">
        <f t="shared" si="49"/>
        <v>9207301.1564124171</v>
      </c>
      <c r="W57" s="62">
        <f t="shared" si="49"/>
        <v>8953843.9818064012</v>
      </c>
      <c r="X57" s="62">
        <f t="shared" si="49"/>
        <v>8719261.1138731912</v>
      </c>
      <c r="Y57" s="62">
        <f t="shared" si="49"/>
        <v>8509172.0481915157</v>
      </c>
      <c r="Z57" s="62">
        <f t="shared" si="49"/>
        <v>8310987.8682103679</v>
      </c>
      <c r="AA57" s="62">
        <f t="shared" si="49"/>
        <v>8121523.1022612676</v>
      </c>
      <c r="AB57" s="62">
        <f t="shared" si="49"/>
        <v>7938228.0712644216</v>
      </c>
      <c r="AC57" s="62">
        <f t="shared" si="49"/>
        <v>7759195.6795032695</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16739038.478378411</v>
      </c>
      <c r="C59" s="64">
        <f t="shared" ref="C59:AC59" si="51">C50+C51+C52+C53+C54+C55+C56+C57+C58</f>
        <v>16474192.196953043</v>
      </c>
      <c r="D59" s="64">
        <f t="shared" si="51"/>
        <v>16208412.87491966</v>
      </c>
      <c r="E59" s="64">
        <f t="shared" si="51"/>
        <v>16032413.570424056</v>
      </c>
      <c r="F59" s="64">
        <f t="shared" si="51"/>
        <v>15854506.054309081</v>
      </c>
      <c r="G59" s="64">
        <f t="shared" si="51"/>
        <v>15673908.752404209</v>
      </c>
      <c r="H59" s="64">
        <f t="shared" si="51"/>
        <v>15489534.668091696</v>
      </c>
      <c r="I59" s="64">
        <f t="shared" si="51"/>
        <v>15299887.897718579</v>
      </c>
      <c r="J59" s="64">
        <f t="shared" si="51"/>
        <v>15365194.33096881</v>
      </c>
      <c r="K59" s="64">
        <f t="shared" si="51"/>
        <v>15419526.322181851</v>
      </c>
      <c r="L59" s="64">
        <f t="shared" si="51"/>
        <v>15458890.079008808</v>
      </c>
      <c r="M59" s="64">
        <f t="shared" si="51"/>
        <v>15478362.925761247</v>
      </c>
      <c r="N59" s="64">
        <f t="shared" si="51"/>
        <v>15472393.348419428</v>
      </c>
      <c r="O59" s="64">
        <f t="shared" si="51"/>
        <v>15130334.503514573</v>
      </c>
      <c r="P59" s="64">
        <f t="shared" si="51"/>
        <v>14758974.481280791</v>
      </c>
      <c r="Q59" s="64">
        <f t="shared" si="51"/>
        <v>14360319.793632653</v>
      </c>
      <c r="R59" s="64">
        <f t="shared" si="51"/>
        <v>13941985.830778895</v>
      </c>
      <c r="S59" s="64">
        <f t="shared" si="51"/>
        <v>13517052.914386727</v>
      </c>
      <c r="T59" s="64">
        <f t="shared" si="51"/>
        <v>13117428.029509474</v>
      </c>
      <c r="U59" s="64">
        <f t="shared" si="51"/>
        <v>12740918.527273953</v>
      </c>
      <c r="V59" s="64">
        <f t="shared" si="51"/>
        <v>12396528.51460251</v>
      </c>
      <c r="W59" s="64">
        <f t="shared" si="51"/>
        <v>12086847.372166621</v>
      </c>
      <c r="X59" s="64">
        <f t="shared" si="51"/>
        <v>11809363.12138145</v>
      </c>
      <c r="Y59" s="64">
        <f t="shared" si="51"/>
        <v>11567738.098607704</v>
      </c>
      <c r="Z59" s="64">
        <f t="shared" si="51"/>
        <v>11347006.165525833</v>
      </c>
      <c r="AA59" s="64">
        <f t="shared" si="51"/>
        <v>11141738.754497424</v>
      </c>
      <c r="AB59" s="64">
        <f t="shared" si="51"/>
        <v>10947523.124444298</v>
      </c>
      <c r="AC59" s="64">
        <f t="shared" si="51"/>
        <v>10761017.222554609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19.539498974368939</v>
      </c>
      <c r="C62" s="65">
        <f t="shared" ref="C62:AC62" si="53">((1+C35)^C42)*C35/(((1+C35)^C42)-1)*(C31)/C47</f>
        <v>19.532066244884934</v>
      </c>
      <c r="D62" s="65">
        <f t="shared" si="53"/>
        <v>19.521426458179274</v>
      </c>
      <c r="E62" s="65">
        <f t="shared" si="53"/>
        <v>19.506205495073583</v>
      </c>
      <c r="F62" s="65">
        <f t="shared" si="53"/>
        <v>19.484451380123293</v>
      </c>
      <c r="G62" s="65">
        <f t="shared" si="53"/>
        <v>19.453403556830025</v>
      </c>
      <c r="H62" s="65">
        <f t="shared" si="53"/>
        <v>19.409183839595606</v>
      </c>
      <c r="I62" s="65">
        <f t="shared" si="53"/>
        <v>19.346398180098269</v>
      </c>
      <c r="J62" s="65">
        <f t="shared" si="53"/>
        <v>19.257656683715453</v>
      </c>
      <c r="K62" s="65">
        <f t="shared" si="53"/>
        <v>19.133065223823188</v>
      </c>
      <c r="L62" s="65">
        <f t="shared" si="53"/>
        <v>18.959837866472469</v>
      </c>
      <c r="M62" s="65">
        <f t="shared" si="53"/>
        <v>18.722349639992963</v>
      </c>
      <c r="N62" s="65">
        <f t="shared" si="53"/>
        <v>18.403190911814015</v>
      </c>
      <c r="O62" s="65">
        <f t="shared" si="53"/>
        <v>17.985988797152327</v>
      </c>
      <c r="P62" s="65">
        <f t="shared" si="53"/>
        <v>17.460593250045839</v>
      </c>
      <c r="Q62" s="65">
        <f t="shared" si="53"/>
        <v>16.830133674999598</v>
      </c>
      <c r="R62" s="65">
        <f t="shared" si="53"/>
        <v>16.117226597616597</v>
      </c>
      <c r="S62" s="65">
        <f t="shared" si="53"/>
        <v>15.364613521007501</v>
      </c>
      <c r="T62" s="65">
        <f t="shared" si="53"/>
        <v>14.626810462022794</v>
      </c>
      <c r="U62" s="65">
        <f t="shared" si="53"/>
        <v>13.955173150819558</v>
      </c>
      <c r="V62" s="65">
        <f t="shared" si="53"/>
        <v>13.384377079289164</v>
      </c>
      <c r="W62" s="65">
        <f t="shared" si="53"/>
        <v>12.927271649777994</v>
      </c>
      <c r="X62" s="65">
        <f t="shared" si="53"/>
        <v>12.578479919274246</v>
      </c>
      <c r="Y62" s="65">
        <f t="shared" si="53"/>
        <v>12.322090024216767</v>
      </c>
      <c r="Z62" s="65">
        <f t="shared" si="53"/>
        <v>12.138774958357224</v>
      </c>
      <c r="AA62" s="65">
        <f t="shared" si="53"/>
        <v>12.010298169094545</v>
      </c>
      <c r="AB62" s="65">
        <f t="shared" si="53"/>
        <v>11.921512810913416</v>
      </c>
      <c r="AC62" s="65">
        <f t="shared" si="53"/>
        <v>11.860752565965971</v>
      </c>
    </row>
    <row r="63" spans="1:29" x14ac:dyDescent="0.25">
      <c r="A63" s="30" t="str">
        <f t="shared" si="52"/>
        <v>Residual value (vehicle)</v>
      </c>
      <c r="B63" s="66">
        <f>((1+B35)^B42)*B35/(((1+B35)^B42)-1)*(B32)/B47</f>
        <v>-0.97826349212091301</v>
      </c>
      <c r="C63" s="66">
        <f t="shared" ref="C63:AC63" si="54">((1+C35)^C42)*C35/(((1+C35)^C42)-1)*(C32)/C47</f>
        <v>-0.97844931035801319</v>
      </c>
      <c r="D63" s="66">
        <f t="shared" si="54"/>
        <v>-0.97871530502565462</v>
      </c>
      <c r="E63" s="66">
        <f t="shared" si="54"/>
        <v>-0.97909582910329696</v>
      </c>
      <c r="F63" s="66">
        <f t="shared" si="54"/>
        <v>-0.9796396819770542</v>
      </c>
      <c r="G63" s="66">
        <f t="shared" si="54"/>
        <v>-0.98041587755938586</v>
      </c>
      <c r="H63" s="66">
        <f t="shared" si="54"/>
        <v>-0.98152137049024646</v>
      </c>
      <c r="I63" s="66">
        <f t="shared" si="54"/>
        <v>-0.98309101197767967</v>
      </c>
      <c r="J63" s="66">
        <f t="shared" si="54"/>
        <v>-0.98530954938725024</v>
      </c>
      <c r="K63" s="66">
        <f t="shared" si="54"/>
        <v>-0.9884243358845568</v>
      </c>
      <c r="L63" s="66">
        <f t="shared" si="54"/>
        <v>-0.99275501981832481</v>
      </c>
      <c r="M63" s="66">
        <f t="shared" si="54"/>
        <v>-0.99869222548031233</v>
      </c>
      <c r="N63" s="66">
        <f t="shared" si="54"/>
        <v>-1.0066711936847861</v>
      </c>
      <c r="O63" s="66">
        <f t="shared" si="54"/>
        <v>-1.0171012465513283</v>
      </c>
      <c r="P63" s="66">
        <f t="shared" si="54"/>
        <v>-1.0302361352289906</v>
      </c>
      <c r="Q63" s="66">
        <f t="shared" si="54"/>
        <v>-1.0459976246051466</v>
      </c>
      <c r="R63" s="66">
        <f t="shared" si="54"/>
        <v>-1.0638203015397216</v>
      </c>
      <c r="S63" s="66">
        <f t="shared" si="54"/>
        <v>-1.082635628454949</v>
      </c>
      <c r="T63" s="66">
        <f t="shared" si="54"/>
        <v>-1.1010807049295666</v>
      </c>
      <c r="U63" s="66">
        <f t="shared" si="54"/>
        <v>-1.1178716377096476</v>
      </c>
      <c r="V63" s="66">
        <f t="shared" si="54"/>
        <v>-1.1321415394979075</v>
      </c>
      <c r="W63" s="66">
        <f t="shared" si="54"/>
        <v>-1.1435691752356867</v>
      </c>
      <c r="X63" s="66">
        <f t="shared" si="54"/>
        <v>-1.1522889684982804</v>
      </c>
      <c r="Y63" s="66">
        <f t="shared" si="54"/>
        <v>-1.1586987158747175</v>
      </c>
      <c r="Z63" s="66">
        <f t="shared" si="54"/>
        <v>-1.1632815925212061</v>
      </c>
      <c r="AA63" s="66">
        <f t="shared" si="54"/>
        <v>-1.1664935122527731</v>
      </c>
      <c r="AB63" s="66">
        <f t="shared" si="54"/>
        <v>-1.1687131462073013</v>
      </c>
      <c r="AC63" s="66">
        <f t="shared" si="54"/>
        <v>-1.1702321523309871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106.60609272577921</v>
      </c>
      <c r="C69" s="66">
        <f t="shared" ref="C69:AC69" si="60">C39*C40*C47/C47</f>
        <v>104.40665892828892</v>
      </c>
      <c r="D69" s="66">
        <f t="shared" si="60"/>
        <v>102.2027370260507</v>
      </c>
      <c r="E69" s="66">
        <f t="shared" si="60"/>
        <v>100.75167764243731</v>
      </c>
      <c r="F69" s="66">
        <f t="shared" si="60"/>
        <v>99.291412975969919</v>
      </c>
      <c r="G69" s="66">
        <f t="shared" si="60"/>
        <v>97.818259478971584</v>
      </c>
      <c r="H69" s="66">
        <f t="shared" si="60"/>
        <v>96.327133986532573</v>
      </c>
      <c r="I69" s="66">
        <f t="shared" si="60"/>
        <v>94.811099534408044</v>
      </c>
      <c r="J69" s="66">
        <f t="shared" si="60"/>
        <v>95.446279845285702</v>
      </c>
      <c r="K69" s="66">
        <f t="shared" si="60"/>
        <v>96.026752685117259</v>
      </c>
      <c r="L69" s="66">
        <f t="shared" si="60"/>
        <v>96.532342033293062</v>
      </c>
      <c r="M69" s="66">
        <f t="shared" si="60"/>
        <v>96.938041188371557</v>
      </c>
      <c r="N69" s="66">
        <f t="shared" si="60"/>
        <v>97.215432406906487</v>
      </c>
      <c r="O69" s="66">
        <f t="shared" si="60"/>
        <v>94.792574200227577</v>
      </c>
      <c r="P69" s="66">
        <f t="shared" si="60"/>
        <v>92.236437784063554</v>
      </c>
      <c r="Q69" s="66">
        <f t="shared" si="60"/>
        <v>89.560536451418145</v>
      </c>
      <c r="R69" s="66">
        <f t="shared" si="60"/>
        <v>86.805149848621056</v>
      </c>
      <c r="S69" s="66">
        <f t="shared" si="60"/>
        <v>84.035470615543986</v>
      </c>
      <c r="T69" s="66">
        <f t="shared" si="60"/>
        <v>81.461511377026184</v>
      </c>
      <c r="U69" s="66">
        <f t="shared" si="60"/>
        <v>79.012360435713518</v>
      </c>
      <c r="V69" s="66">
        <f t="shared" si="60"/>
        <v>76.727509636770137</v>
      </c>
      <c r="W69" s="66">
        <f t="shared" si="60"/>
        <v>74.615366515053339</v>
      </c>
      <c r="X69" s="66">
        <f t="shared" si="60"/>
        <v>72.660509282276593</v>
      </c>
      <c r="Y69" s="66">
        <f t="shared" si="60"/>
        <v>70.909767068262624</v>
      </c>
      <c r="Z69" s="66">
        <f t="shared" si="60"/>
        <v>69.258232235086396</v>
      </c>
      <c r="AA69" s="66">
        <f t="shared" si="60"/>
        <v>67.679359185510563</v>
      </c>
      <c r="AB69" s="66">
        <f t="shared" si="60"/>
        <v>66.151900593870181</v>
      </c>
      <c r="AC69" s="66">
        <f t="shared" si="60"/>
        <v>64.659963995860579</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139.62236518350721</v>
      </c>
      <c r="C71" s="76">
        <f t="shared" ref="C71:AC71" si="63">C62+C63+C64-C65+C66+C67+C68+C69+C70</f>
        <v>137.41531283829582</v>
      </c>
      <c r="D71" s="76">
        <f t="shared" si="63"/>
        <v>135.20048515468429</v>
      </c>
      <c r="E71" s="76">
        <f t="shared" si="63"/>
        <v>133.73382428388757</v>
      </c>
      <c r="F71" s="76">
        <f t="shared" si="63"/>
        <v>132.25126164959613</v>
      </c>
      <c r="G71" s="76">
        <f t="shared" si="63"/>
        <v>130.74628413372218</v>
      </c>
      <c r="H71" s="76">
        <f t="shared" si="63"/>
        <v>129.20983343111791</v>
      </c>
      <c r="I71" s="76">
        <f t="shared" si="63"/>
        <v>127.62944367800861</v>
      </c>
      <c r="J71" s="76">
        <f t="shared" si="63"/>
        <v>128.17366395509387</v>
      </c>
      <c r="K71" s="76">
        <f t="shared" si="63"/>
        <v>128.62643054853586</v>
      </c>
      <c r="L71" s="76">
        <f t="shared" si="63"/>
        <v>128.95446185542718</v>
      </c>
      <c r="M71" s="76">
        <f t="shared" si="63"/>
        <v>129.11673557836417</v>
      </c>
      <c r="N71" s="76">
        <f t="shared" si="63"/>
        <v>129.06698910051568</v>
      </c>
      <c r="O71" s="76">
        <f t="shared" si="63"/>
        <v>126.21649872630856</v>
      </c>
      <c r="P71" s="76">
        <f t="shared" si="63"/>
        <v>123.12183187436038</v>
      </c>
      <c r="Q71" s="76">
        <f t="shared" si="63"/>
        <v>119.79970947729257</v>
      </c>
      <c r="R71" s="76">
        <f t="shared" si="63"/>
        <v>116.31359312017791</v>
      </c>
      <c r="S71" s="76">
        <f t="shared" si="63"/>
        <v>112.77248548357652</v>
      </c>
      <c r="T71" s="76">
        <f t="shared" si="63"/>
        <v>109.44227810959939</v>
      </c>
      <c r="U71" s="76">
        <f t="shared" si="63"/>
        <v>106.30469892430341</v>
      </c>
      <c r="V71" s="76">
        <f t="shared" si="63"/>
        <v>103.43478215204138</v>
      </c>
      <c r="W71" s="76">
        <f t="shared" si="63"/>
        <v>100.85410596507562</v>
      </c>
      <c r="X71" s="76">
        <f t="shared" si="63"/>
        <v>98.541737208532538</v>
      </c>
      <c r="Y71" s="76">
        <f t="shared" si="63"/>
        <v>96.528195352084651</v>
      </c>
      <c r="Z71" s="76">
        <f t="shared" si="63"/>
        <v>94.688762576402397</v>
      </c>
      <c r="AA71" s="76">
        <f t="shared" si="63"/>
        <v>92.978200817832317</v>
      </c>
      <c r="AB71" s="76">
        <f t="shared" si="63"/>
        <v>91.359737234056269</v>
      </c>
      <c r="AC71" s="76">
        <f t="shared" si="63"/>
        <v>89.805521384975535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2.0676718491395704E-3</v>
      </c>
      <c r="C74" s="65">
        <f t="shared" ref="C74:AC74" si="65">((1+C35)^C42)*C35/(((1+C35)^C42)-1)*(C31)/C47/(C44)</f>
        <v>2.0668853169190406E-3</v>
      </c>
      <c r="D74" s="65">
        <f t="shared" si="65"/>
        <v>2.0657594135639443E-3</v>
      </c>
      <c r="E74" s="65">
        <f t="shared" si="65"/>
        <v>2.064148729637416E-3</v>
      </c>
      <c r="F74" s="65">
        <f t="shared" si="65"/>
        <v>2.0618467068913536E-3</v>
      </c>
      <c r="G74" s="65">
        <f t="shared" si="65"/>
        <v>2.0585612229449763E-3</v>
      </c>
      <c r="H74" s="65">
        <f t="shared" si="65"/>
        <v>2.0538818877878949E-3</v>
      </c>
      <c r="I74" s="65">
        <f t="shared" si="65"/>
        <v>2.0472379026559013E-3</v>
      </c>
      <c r="J74" s="65">
        <f t="shared" si="65"/>
        <v>2.0378472681180375E-3</v>
      </c>
      <c r="K74" s="65">
        <f t="shared" si="65"/>
        <v>2.0246629866479565E-3</v>
      </c>
      <c r="L74" s="65">
        <f t="shared" si="65"/>
        <v>2.0063320493621663E-3</v>
      </c>
      <c r="M74" s="65">
        <f t="shared" si="65"/>
        <v>1.9812010201050753E-3</v>
      </c>
      <c r="N74" s="65">
        <f t="shared" si="65"/>
        <v>1.9474276097157688E-3</v>
      </c>
      <c r="O74" s="65">
        <f t="shared" si="65"/>
        <v>1.9032792377938971E-3</v>
      </c>
      <c r="P74" s="65">
        <f t="shared" si="65"/>
        <v>1.8476818254016762E-3</v>
      </c>
      <c r="Q74" s="65">
        <f t="shared" si="65"/>
        <v>1.7809665264549839E-3</v>
      </c>
      <c r="R74" s="65">
        <f t="shared" si="65"/>
        <v>1.7055266240864123E-3</v>
      </c>
      <c r="S74" s="65">
        <f t="shared" si="65"/>
        <v>1.6258850286780425E-3</v>
      </c>
      <c r="T74" s="65">
        <f t="shared" si="65"/>
        <v>1.547810630901883E-3</v>
      </c>
      <c r="U74" s="65">
        <f t="shared" si="65"/>
        <v>1.4767378995576251E-3</v>
      </c>
      <c r="V74" s="65">
        <f t="shared" si="65"/>
        <v>1.4163361988665782E-3</v>
      </c>
      <c r="W74" s="65">
        <f t="shared" si="65"/>
        <v>1.3679652539447613E-3</v>
      </c>
      <c r="X74" s="65">
        <f t="shared" si="65"/>
        <v>1.3310560761136767E-3</v>
      </c>
      <c r="Y74" s="65">
        <f t="shared" si="65"/>
        <v>1.3039248702874885E-3</v>
      </c>
      <c r="Z74" s="65">
        <f t="shared" si="65"/>
        <v>1.2845264506198121E-3</v>
      </c>
      <c r="AA74" s="65">
        <f t="shared" si="65"/>
        <v>1.270931023184608E-3</v>
      </c>
      <c r="AB74" s="65">
        <f t="shared" si="65"/>
        <v>1.2615357471866049E-3</v>
      </c>
      <c r="AC74" s="65">
        <f t="shared" si="65"/>
        <v>1.2551060916366106E-3</v>
      </c>
    </row>
    <row r="75" spans="1:29" x14ac:dyDescent="0.25">
      <c r="A75" s="30" t="str">
        <f t="shared" si="64"/>
        <v>Residual value (vehicle)</v>
      </c>
      <c r="B75" s="68">
        <f>((1+B35)^B42)*B35/(((1+B35)^B42)-1)*(B32)/B47/(B44)</f>
        <v>-1.0351994625618128E-4</v>
      </c>
      <c r="C75" s="68">
        <f t="shared" ref="C75:AC75" si="66">((1+C35)^C42)*C35/(((1+C35)^C42)-1)*(C32)/C47/(C44)</f>
        <v>-1.0353960956169452E-4</v>
      </c>
      <c r="D75" s="68">
        <f t="shared" si="66"/>
        <v>-1.0356775714557191E-4</v>
      </c>
      <c r="E75" s="68">
        <f t="shared" si="66"/>
        <v>-1.0360802424373513E-4</v>
      </c>
      <c r="F75" s="68">
        <f t="shared" si="66"/>
        <v>-1.0366557481238669E-4</v>
      </c>
      <c r="G75" s="68">
        <f t="shared" si="66"/>
        <v>-1.0374771191104613E-4</v>
      </c>
      <c r="H75" s="68">
        <f t="shared" si="66"/>
        <v>-1.0386469528997317E-4</v>
      </c>
      <c r="I75" s="68">
        <f t="shared" si="66"/>
        <v>-1.0403079491827298E-4</v>
      </c>
      <c r="J75" s="68">
        <f t="shared" si="66"/>
        <v>-1.042655607817196E-4</v>
      </c>
      <c r="K75" s="68">
        <f t="shared" si="66"/>
        <v>-1.0459516781847161E-4</v>
      </c>
      <c r="L75" s="68">
        <f t="shared" si="66"/>
        <v>-1.0505344125061638E-4</v>
      </c>
      <c r="M75" s="68">
        <f t="shared" si="66"/>
        <v>-1.0568171698204363E-4</v>
      </c>
      <c r="N75" s="68">
        <f t="shared" si="66"/>
        <v>-1.0652605224177631E-4</v>
      </c>
      <c r="O75" s="68">
        <f t="shared" si="66"/>
        <v>-1.076297615398231E-4</v>
      </c>
      <c r="P75" s="68">
        <f t="shared" si="66"/>
        <v>-1.0901969684962864E-4</v>
      </c>
      <c r="Q75" s="68">
        <f t="shared" si="66"/>
        <v>-1.1068757932329594E-4</v>
      </c>
      <c r="R75" s="68">
        <f t="shared" si="66"/>
        <v>-1.1257357688251022E-4</v>
      </c>
      <c r="S75" s="68">
        <f t="shared" si="66"/>
        <v>-1.1456461676771947E-4</v>
      </c>
      <c r="T75" s="68">
        <f t="shared" si="66"/>
        <v>-1.1651647671212345E-4</v>
      </c>
      <c r="U75" s="68">
        <f t="shared" si="66"/>
        <v>-1.182932949957299E-4</v>
      </c>
      <c r="V75" s="68">
        <f t="shared" si="66"/>
        <v>-1.1980333751300609E-4</v>
      </c>
      <c r="W75" s="68">
        <f t="shared" si="66"/>
        <v>-1.210126111360515E-4</v>
      </c>
      <c r="X75" s="68">
        <f t="shared" si="66"/>
        <v>-1.2193534058182861E-4</v>
      </c>
      <c r="Y75" s="68">
        <f t="shared" si="66"/>
        <v>-1.2261362072748334E-4</v>
      </c>
      <c r="Z75" s="68">
        <f t="shared" si="66"/>
        <v>-1.2309858121917525E-4</v>
      </c>
      <c r="AA75" s="68">
        <f t="shared" si="66"/>
        <v>-1.2343846690505536E-4</v>
      </c>
      <c r="AB75" s="68">
        <f t="shared" si="66"/>
        <v>-1.2367334880500542E-4</v>
      </c>
      <c r="AC75" s="68">
        <f t="shared" si="66"/>
        <v>-1.2383409019375524E-4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1.1281068013309969E-2</v>
      </c>
      <c r="C81" s="66">
        <f t="shared" ref="C81:AC81" si="72">C39*C40*C47/C47/(C44)</f>
        <v>1.104832369611523E-2</v>
      </c>
      <c r="D81" s="66">
        <f t="shared" si="72"/>
        <v>1.0815104447201133E-2</v>
      </c>
      <c r="E81" s="66">
        <f t="shared" si="72"/>
        <v>1.0661553189675906E-2</v>
      </c>
      <c r="F81" s="66">
        <f t="shared" si="72"/>
        <v>1.0507027828144964E-2</v>
      </c>
      <c r="G81" s="66">
        <f t="shared" si="72"/>
        <v>1.0351138569203342E-2</v>
      </c>
      <c r="H81" s="66">
        <f t="shared" si="72"/>
        <v>1.0193347511802389E-2</v>
      </c>
      <c r="I81" s="66">
        <f t="shared" si="72"/>
        <v>1.0032920585651644E-2</v>
      </c>
      <c r="J81" s="66">
        <f t="shared" si="72"/>
        <v>1.0100135433363567E-2</v>
      </c>
      <c r="K81" s="66">
        <f t="shared" si="72"/>
        <v>1.0161561130700238E-2</v>
      </c>
      <c r="L81" s="66">
        <f t="shared" si="72"/>
        <v>1.0215062649025721E-2</v>
      </c>
      <c r="M81" s="66">
        <f t="shared" si="72"/>
        <v>1.0257993776547255E-2</v>
      </c>
      <c r="N81" s="66">
        <f t="shared" si="72"/>
        <v>1.0287347344646189E-2</v>
      </c>
      <c r="O81" s="66">
        <f t="shared" si="72"/>
        <v>1.0030960232828314E-2</v>
      </c>
      <c r="P81" s="66">
        <f t="shared" si="72"/>
        <v>9.7604696067792127E-3</v>
      </c>
      <c r="Q81" s="66">
        <f t="shared" si="72"/>
        <v>9.4773054445945124E-3</v>
      </c>
      <c r="R81" s="66">
        <f t="shared" si="72"/>
        <v>9.1857301427112226E-3</v>
      </c>
      <c r="S81" s="66">
        <f t="shared" si="72"/>
        <v>8.8926423931792575E-3</v>
      </c>
      <c r="T81" s="66">
        <f t="shared" si="72"/>
        <v>8.6202657541826645E-3</v>
      </c>
      <c r="U81" s="66">
        <f t="shared" si="72"/>
        <v>8.3610963424035466E-3</v>
      </c>
      <c r="V81" s="66">
        <f t="shared" si="72"/>
        <v>8.1193131890762056E-3</v>
      </c>
      <c r="W81" s="66">
        <f t="shared" si="72"/>
        <v>7.8958059804289243E-3</v>
      </c>
      <c r="X81" s="66">
        <f t="shared" si="72"/>
        <v>7.6889427811932904E-3</v>
      </c>
      <c r="Y81" s="66">
        <f t="shared" si="72"/>
        <v>7.5036790548426054E-3</v>
      </c>
      <c r="Z81" s="66">
        <f t="shared" si="72"/>
        <v>7.3289134640303066E-3</v>
      </c>
      <c r="AA81" s="66">
        <f t="shared" si="72"/>
        <v>7.1618369508476788E-3</v>
      </c>
      <c r="AB81" s="66">
        <f t="shared" si="72"/>
        <v>7.0002011210444637E-3</v>
      </c>
      <c r="AC81" s="66">
        <f t="shared" si="72"/>
        <v>6.8423242323661987E-3</v>
      </c>
    </row>
    <row r="82" spans="1:29" x14ac:dyDescent="0.25">
      <c r="A82" s="59" t="str">
        <f>A45</f>
        <v>Market failure (av. utilization)</v>
      </c>
      <c r="B82" s="66">
        <f t="shared" ref="B82:AC82" si="73">B71/B45-B71/B44</f>
        <v>6.9528722157986764E-3</v>
      </c>
      <c r="C82" s="66">
        <f t="shared" si="73"/>
        <v>6.8429660921653646E-3</v>
      </c>
      <c r="D82" s="66">
        <f t="shared" si="73"/>
        <v>6.7326727745874483E-3</v>
      </c>
      <c r="E82" s="66">
        <f t="shared" si="73"/>
        <v>6.6596364411521947E-3</v>
      </c>
      <c r="F82" s="66">
        <f t="shared" si="73"/>
        <v>6.5858082365189453E-3</v>
      </c>
      <c r="G82" s="66">
        <f t="shared" si="73"/>
        <v>6.5108638224075765E-3</v>
      </c>
      <c r="H82" s="66">
        <f t="shared" si="73"/>
        <v>6.4343521160842992E-3</v>
      </c>
      <c r="I82" s="66">
        <f t="shared" si="73"/>
        <v>6.3556523462438112E-3</v>
      </c>
      <c r="J82" s="66">
        <f t="shared" si="73"/>
        <v>6.3827532626252736E-3</v>
      </c>
      <c r="K82" s="66">
        <f t="shared" si="73"/>
        <v>6.4052999961922586E-3</v>
      </c>
      <c r="L82" s="66">
        <f t="shared" si="73"/>
        <v>6.4216351997722805E-3</v>
      </c>
      <c r="M82" s="66">
        <f t="shared" si="73"/>
        <v>6.4297160574348783E-3</v>
      </c>
      <c r="N82" s="66">
        <f t="shared" si="73"/>
        <v>6.4272387974112985E-3</v>
      </c>
      <c r="O82" s="66">
        <f t="shared" si="73"/>
        <v>6.285290941864103E-3</v>
      </c>
      <c r="P82" s="66">
        <f t="shared" si="73"/>
        <v>6.1311836600988646E-3</v>
      </c>
      <c r="Q82" s="66">
        <f t="shared" si="73"/>
        <v>5.9657496160494261E-3</v>
      </c>
      <c r="R82" s="66">
        <f t="shared" si="73"/>
        <v>5.7921490504912725E-3</v>
      </c>
      <c r="S82" s="66">
        <f t="shared" si="73"/>
        <v>5.6158100458674875E-3</v>
      </c>
      <c r="T82" s="66">
        <f t="shared" si="73"/>
        <v>5.4499733885888264E-3</v>
      </c>
      <c r="U82" s="66">
        <f t="shared" si="73"/>
        <v>5.2937291714561293E-3</v>
      </c>
      <c r="V82" s="66">
        <f t="shared" si="73"/>
        <v>5.1508139260275781E-3</v>
      </c>
      <c r="W82" s="66">
        <f t="shared" si="73"/>
        <v>5.0223021955842183E-3</v>
      </c>
      <c r="X82" s="66">
        <f t="shared" si="73"/>
        <v>4.9071515572253963E-3</v>
      </c>
      <c r="Y82" s="66">
        <f t="shared" si="73"/>
        <v>4.8068818102500899E-3</v>
      </c>
      <c r="Z82" s="66">
        <f t="shared" si="73"/>
        <v>4.7152822944987165E-3</v>
      </c>
      <c r="AA82" s="66">
        <f t="shared" si="73"/>
        <v>4.6301002585910876E-3</v>
      </c>
      <c r="AB82" s="66">
        <f t="shared" si="73"/>
        <v>4.549504499672891E-3</v>
      </c>
      <c r="AC82" s="66">
        <f t="shared" si="73"/>
        <v>4.4721081299707692E-3</v>
      </c>
    </row>
    <row r="83" spans="1:29" x14ac:dyDescent="0.25">
      <c r="A83" s="59" t="str">
        <f>A46</f>
        <v>Payload loss (fuel)</v>
      </c>
      <c r="B83" s="66">
        <f>B71/(B44-B46)-B71/B44</f>
        <v>1.2843864944512701E-3</v>
      </c>
      <c r="C83" s="66">
        <f t="shared" ref="C83:AC83" si="74">C71/(C44-C46)-C71/C44</f>
        <v>1.2639205859050588E-3</v>
      </c>
      <c r="D83" s="66">
        <f t="shared" si="74"/>
        <v>1.2433191252823068E-3</v>
      </c>
      <c r="E83" s="66">
        <f t="shared" si="74"/>
        <v>1.2295062553758021E-3</v>
      </c>
      <c r="F83" s="66">
        <f t="shared" si="74"/>
        <v>1.2154163140591576E-3</v>
      </c>
      <c r="G83" s="66">
        <f t="shared" si="74"/>
        <v>1.2009366383978915E-3</v>
      </c>
      <c r="H83" s="66">
        <f t="shared" si="74"/>
        <v>1.1859111161744654E-3</v>
      </c>
      <c r="I83" s="66">
        <f t="shared" si="74"/>
        <v>1.1701259469089845E-3</v>
      </c>
      <c r="J83" s="66">
        <f t="shared" si="74"/>
        <v>1.1732988554561813E-3</v>
      </c>
      <c r="K83" s="66">
        <f t="shared" si="74"/>
        <v>1.1748847672791753E-3</v>
      </c>
      <c r="L83" s="66">
        <f t="shared" si="74"/>
        <v>1.1743159085912842E-3</v>
      </c>
      <c r="M83" s="66">
        <f t="shared" si="74"/>
        <v>1.1709026309665339E-3</v>
      </c>
      <c r="N83" s="66">
        <f t="shared" si="74"/>
        <v>1.1638861106157486E-3</v>
      </c>
      <c r="O83" s="66">
        <f t="shared" si="74"/>
        <v>1.129797146877911E-3</v>
      </c>
      <c r="P83" s="66">
        <f t="shared" si="74"/>
        <v>1.0918099086314938E-3</v>
      </c>
      <c r="Q83" s="66">
        <f t="shared" si="74"/>
        <v>1.0503595406834727E-3</v>
      </c>
      <c r="R83" s="66">
        <f t="shared" si="74"/>
        <v>1.0066547846418437E-3</v>
      </c>
      <c r="S83" s="66">
        <f t="shared" si="74"/>
        <v>9.6258563015132192E-4</v>
      </c>
      <c r="T83" s="66">
        <f t="shared" si="74"/>
        <v>9.2141704795710259E-4</v>
      </c>
      <c r="U83" s="66">
        <f t="shared" si="74"/>
        <v>8.8375526093436088E-4</v>
      </c>
      <c r="V83" s="66">
        <f t="shared" si="74"/>
        <v>8.5061300403981369E-4</v>
      </c>
      <c r="W83" s="66">
        <f t="shared" si="74"/>
        <v>8.2215175724718696E-4</v>
      </c>
      <c r="X83" s="66">
        <f t="shared" si="74"/>
        <v>7.979108061261786E-4</v>
      </c>
      <c r="Y83" s="66">
        <f t="shared" si="74"/>
        <v>7.7772833530568262E-4</v>
      </c>
      <c r="Z83" s="66">
        <f t="shared" si="74"/>
        <v>7.6018946675497114E-4</v>
      </c>
      <c r="AA83" s="66">
        <f t="shared" si="74"/>
        <v>7.445864919385977E-4</v>
      </c>
      <c r="AB83" s="66">
        <f t="shared" si="74"/>
        <v>7.3035607489207489E-4</v>
      </c>
      <c r="AC83" s="66">
        <f t="shared" si="74"/>
        <v>7.1707742300858301E-4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2.2998315569490169E-2</v>
      </c>
      <c r="C85" s="67">
        <f t="shared" ref="C85:AC85" si="76">C74+C75+C76+C77+C78+C79+C80+C81+C82+C83+C84</f>
        <v>2.2634393024589864E-2</v>
      </c>
      <c r="D85" s="67">
        <f t="shared" si="76"/>
        <v>2.2269124946536122E-2</v>
      </c>
      <c r="E85" s="67">
        <f t="shared" si="76"/>
        <v>2.2027073534644448E-2</v>
      </c>
      <c r="F85" s="67">
        <f t="shared" si="76"/>
        <v>2.1782270453848895E-2</v>
      </c>
      <c r="G85" s="67">
        <f t="shared" si="76"/>
        <v>2.1533589484089601E-2</v>
      </c>
      <c r="H85" s="67">
        <f t="shared" si="76"/>
        <v>2.1279464879605935E-2</v>
      </c>
      <c r="I85" s="67">
        <f t="shared" si="76"/>
        <v>2.1017742929588933E-2</v>
      </c>
      <c r="J85" s="67">
        <f t="shared" si="76"/>
        <v>2.1105606201828202E-2</v>
      </c>
      <c r="K85" s="67">
        <f t="shared" si="76"/>
        <v>2.1177650656048017E-2</v>
      </c>
      <c r="L85" s="67">
        <f t="shared" si="76"/>
        <v>2.1228129308547696E-2</v>
      </c>
      <c r="M85" s="67">
        <f t="shared" si="76"/>
        <v>2.1249968711118561E-2</v>
      </c>
      <c r="N85" s="67">
        <f t="shared" si="76"/>
        <v>2.1235210753194091E-2</v>
      </c>
      <c r="O85" s="67">
        <f t="shared" si="76"/>
        <v>2.0757534740871265E-2</v>
      </c>
      <c r="P85" s="67">
        <f t="shared" si="76"/>
        <v>2.0237962247108485E-2</v>
      </c>
      <c r="Q85" s="67">
        <f t="shared" si="76"/>
        <v>1.9679530491505962E-2</v>
      </c>
      <c r="R85" s="67">
        <f t="shared" si="76"/>
        <v>1.9093323968095103E-2</v>
      </c>
      <c r="S85" s="67">
        <f t="shared" si="76"/>
        <v>1.8498195424155255E-2</v>
      </c>
      <c r="T85" s="67">
        <f t="shared" si="76"/>
        <v>1.7938787287965219E-2</v>
      </c>
      <c r="U85" s="67">
        <f t="shared" si="76"/>
        <v>1.7412862322402797E-2</v>
      </c>
      <c r="V85" s="67">
        <f t="shared" si="76"/>
        <v>1.6933109923544031E-2</v>
      </c>
      <c r="W85" s="67">
        <f t="shared" si="76"/>
        <v>1.6503049519115902E-2</v>
      </c>
      <c r="X85" s="67">
        <f t="shared" si="76"/>
        <v>1.6118962823123577E-2</v>
      </c>
      <c r="Y85" s="67">
        <f t="shared" si="76"/>
        <v>1.5785437393005246E-2</v>
      </c>
      <c r="Z85" s="67">
        <f t="shared" si="76"/>
        <v>1.5481650037731495E-2</v>
      </c>
      <c r="AA85" s="67">
        <f t="shared" si="76"/>
        <v>1.5199853200703779E-2</v>
      </c>
      <c r="AB85" s="67">
        <f t="shared" si="76"/>
        <v>1.4933761037037892E-2</v>
      </c>
      <c r="AC85" s="67">
        <f t="shared" si="76"/>
        <v>1.467861872983527E-2</v>
      </c>
    </row>
    <row r="87" spans="1:29" x14ac:dyDescent="0.25">
      <c r="B87" s="40"/>
    </row>
    <row r="107" spans="1:2" s="3" customFormat="1" ht="21" x14ac:dyDescent="0.35">
      <c r="A107" s="2" t="str">
        <f>'Parameter Input'!A223</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Input'!$L$249</f>
        <v>30000000</v>
      </c>
      <c r="C117" s="42">
        <f>'Parameter Input'!$M$249</f>
        <v>18000000</v>
      </c>
      <c r="D117" s="1" t="s">
        <v>15</v>
      </c>
      <c r="L117" s="51">
        <f>'Parameter Input'!$O$249</f>
        <v>17</v>
      </c>
      <c r="M117" s="52">
        <v>0</v>
      </c>
      <c r="N117" s="52">
        <v>1</v>
      </c>
      <c r="O117" s="52">
        <f>'Parameter Input'!$P$249</f>
        <v>0.9</v>
      </c>
      <c r="P117" s="53">
        <f>'Parameter Input'!$Q$249</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Input'!$L$250</f>
        <v>-1500000</v>
      </c>
      <c r="C118" s="61">
        <f>'Parameter Input'!$M$250</f>
        <v>-1800000</v>
      </c>
      <c r="D118" s="1" t="s">
        <v>15</v>
      </c>
      <c r="L118" s="54">
        <f>'Parameter Input'!$O$250</f>
        <v>17</v>
      </c>
      <c r="M118" s="37">
        <v>0</v>
      </c>
      <c r="N118" s="37">
        <v>1</v>
      </c>
      <c r="O118" s="37">
        <f>'Parameter Input'!$P$250</f>
        <v>0.9</v>
      </c>
      <c r="P118" s="55">
        <f>'Parameter Input'!$Q$250</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Input'!$L$256</f>
        <v>0.06</v>
      </c>
      <c r="C121" s="91">
        <f>'Parameter Input'!$M$256</f>
        <v>0.06</v>
      </c>
      <c r="D121" s="1" t="s">
        <v>57</v>
      </c>
      <c r="L121" s="54">
        <f>'Parameter Input'!$O$256</f>
        <v>17</v>
      </c>
      <c r="M121" s="37">
        <v>0</v>
      </c>
      <c r="N121" s="37">
        <v>1</v>
      </c>
      <c r="O121" s="37">
        <f>'Parameter Input'!$P$256</f>
        <v>0.9</v>
      </c>
      <c r="P121" s="55">
        <f>'Parameter Input'!$Q$256</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Input'!$L$252</f>
        <v>338823.5294117647</v>
      </c>
      <c r="C123" s="61">
        <f>'Parameter Input'!$M$252</f>
        <v>338823.5294117647</v>
      </c>
      <c r="D123" s="1" t="s">
        <v>38</v>
      </c>
      <c r="L123" s="54">
        <f>'Parameter Input'!$O$252</f>
        <v>17</v>
      </c>
      <c r="M123" s="37">
        <v>0</v>
      </c>
      <c r="N123" s="37">
        <v>1</v>
      </c>
      <c r="O123" s="37">
        <f>'Parameter Input'!$P$252</f>
        <v>0.9</v>
      </c>
      <c r="P123" s="55">
        <f>'Parameter Input'!$Q$252</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Input'!$L$253</f>
        <v>589</v>
      </c>
      <c r="C125" s="61">
        <f>'Parameter Input'!$M$253</f>
        <v>519</v>
      </c>
      <c r="D125" s="1" t="s">
        <v>60</v>
      </c>
      <c r="L125" s="54">
        <f>'Parameter Input'!$O$253</f>
        <v>17</v>
      </c>
      <c r="M125" s="37">
        <v>0</v>
      </c>
      <c r="N125" s="37">
        <v>1</v>
      </c>
      <c r="O125" s="37">
        <f>'Parameter Input'!$P$253</f>
        <v>0.9</v>
      </c>
      <c r="P125" s="55">
        <f>'Parameter Input'!$Q$253</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Input'!$L$254</f>
        <v>0.23976160758395154</v>
      </c>
      <c r="C126" s="61">
        <f>'Parameter Input'!$M$254</f>
        <v>0.11428118371505049</v>
      </c>
      <c r="D126" s="1" t="s">
        <v>68</v>
      </c>
      <c r="L126" s="54">
        <f>'Parameter Input'!$O$254</f>
        <v>14</v>
      </c>
      <c r="M126" s="37">
        <v>0</v>
      </c>
      <c r="N126" s="37">
        <v>1</v>
      </c>
      <c r="O126" s="37">
        <f>'Parameter Input'!$P$254</f>
        <v>0.9</v>
      </c>
      <c r="P126" s="55">
        <f>'Parameter Input'!$Q$254</f>
        <v>0.4</v>
      </c>
      <c r="Q126" s="4">
        <f t="shared" si="77"/>
        <v>0.99354772139898062</v>
      </c>
      <c r="R126" s="4">
        <f t="shared" si="77"/>
        <v>0.99076681540580536</v>
      </c>
      <c r="S126" s="4">
        <f t="shared" si="77"/>
        <v>0.9867978615748374</v>
      </c>
      <c r="T126" s="4">
        <f t="shared" ref="T126:AI133" si="78">$N126+($M126-$N126)*((1/(1+EXP(-$P126*(T$9-$L126)))^$O126))</f>
        <v>0.98114509762858249</v>
      </c>
      <c r="U126" s="4">
        <f t="shared" si="78"/>
        <v>0.97311898315872036</v>
      </c>
      <c r="V126" s="4">
        <f t="shared" si="78"/>
        <v>0.96177484161592774</v>
      </c>
      <c r="W126" s="4">
        <f t="shared" si="78"/>
        <v>0.94584787155511363</v>
      </c>
      <c r="X126" s="4">
        <f t="shared" si="78"/>
        <v>0.92370360150141495</v>
      </c>
      <c r="Y126" s="4">
        <f t="shared" si="78"/>
        <v>0.89334463567658451</v>
      </c>
      <c r="Z126" s="4">
        <f t="shared" si="78"/>
        <v>0.85254543874327005</v>
      </c>
      <c r="AA126" s="4">
        <f t="shared" si="78"/>
        <v>0.79921300652623883</v>
      </c>
      <c r="AB126" s="4">
        <f t="shared" si="78"/>
        <v>0.73204982249993378</v>
      </c>
      <c r="AC126" s="4">
        <f t="shared" si="78"/>
        <v>0.65145592958786691</v>
      </c>
      <c r="AD126" s="4">
        <f t="shared" si="78"/>
        <v>0.56032247880849573</v>
      </c>
      <c r="AE126" s="4">
        <f t="shared" si="78"/>
        <v>0.46411326873185343</v>
      </c>
      <c r="AF126" s="4">
        <f t="shared" si="78"/>
        <v>0.36979727595523937</v>
      </c>
      <c r="AG126" s="4">
        <f t="shared" si="78"/>
        <v>0.28393948637231203</v>
      </c>
      <c r="AH126" s="4">
        <f t="shared" si="78"/>
        <v>0.21097259161117732</v>
      </c>
      <c r="AI126" s="4">
        <f t="shared" si="78"/>
        <v>0.15253917653798199</v>
      </c>
      <c r="AJ126" s="4">
        <f t="shared" ref="AJ126:AR133" si="79">$N126+($M126-$N126)*((1/(1+EXP(-$P126*(AJ$9-$L126)))^$O126))</f>
        <v>0.10795188737709993</v>
      </c>
      <c r="AK126" s="4">
        <f t="shared" si="79"/>
        <v>7.5176653938091809E-2</v>
      </c>
      <c r="AL126" s="4">
        <f t="shared" si="79"/>
        <v>5.1742836177502194E-2</v>
      </c>
      <c r="AM126" s="4">
        <f t="shared" si="79"/>
        <v>3.5319190625345942E-2</v>
      </c>
      <c r="AN126" s="4">
        <f t="shared" si="79"/>
        <v>2.3969442072658165E-2</v>
      </c>
      <c r="AO126" s="4">
        <f t="shared" si="79"/>
        <v>1.6202243558389728E-2</v>
      </c>
      <c r="AP126" s="4">
        <f t="shared" si="79"/>
        <v>1.0922240564108399E-2</v>
      </c>
      <c r="AQ126" s="4">
        <f t="shared" si="79"/>
        <v>7.3493212906090566E-3</v>
      </c>
      <c r="AR126" s="4">
        <f t="shared" si="79"/>
        <v>4.9390262185057265E-3</v>
      </c>
    </row>
    <row r="127" spans="1:44" x14ac:dyDescent="0.25">
      <c r="A127" s="24" t="s">
        <v>206</v>
      </c>
      <c r="B127" s="115">
        <f>'Parameter Input'!$L$257</f>
        <v>0</v>
      </c>
      <c r="C127" s="116">
        <f>'Parameter Input'!$M$257</f>
        <v>0</v>
      </c>
      <c r="D127" s="1" t="s">
        <v>76</v>
      </c>
      <c r="L127" s="54">
        <f>'Parameter Input'!$O$257</f>
        <v>17</v>
      </c>
      <c r="M127" s="37">
        <v>0</v>
      </c>
      <c r="N127" s="37">
        <v>1</v>
      </c>
      <c r="O127" s="37">
        <f>'Parameter Input'!$P$257</f>
        <v>0.9</v>
      </c>
      <c r="P127" s="55">
        <f>'Parameter Input'!$Q$257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Input'!$L$251</f>
        <v>25</v>
      </c>
      <c r="C128" s="61">
        <f>'Parameter Input'!$M$251</f>
        <v>25</v>
      </c>
      <c r="D128" s="1" t="s">
        <v>42</v>
      </c>
      <c r="L128" s="54">
        <f>'Parameter Input'!$O$251</f>
        <v>17</v>
      </c>
      <c r="M128" s="37">
        <v>0</v>
      </c>
      <c r="N128" s="37">
        <v>1</v>
      </c>
      <c r="O128" s="37">
        <f>'Parameter Input'!$P$251</f>
        <v>0.9</v>
      </c>
      <c r="P128" s="55">
        <f>'Parameter Input'!$Q$251</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Input'!$L$255</f>
        <v>0.08</v>
      </c>
      <c r="C132" s="46">
        <f>'Parameter Input'!$M$255</f>
        <v>7.0000000000000007E-2</v>
      </c>
      <c r="D132" s="1" t="s">
        <v>57</v>
      </c>
      <c r="L132" s="54">
        <f>'Parameter Input'!$O$255</f>
        <v>17</v>
      </c>
      <c r="M132" s="37">
        <v>0</v>
      </c>
      <c r="N132" s="37">
        <v>1</v>
      </c>
      <c r="O132" s="37">
        <f>'Parameter Input'!$P$255</f>
        <v>0.9</v>
      </c>
      <c r="P132" s="55">
        <f>'Parameter Input'!$Q$255</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29973644.945217423</v>
      </c>
      <c r="C137" s="62">
        <f t="shared" ref="C137:C145" si="84">$B117+($C117-$B117)*(1-R117)</f>
        <v>29962243.117830768</v>
      </c>
      <c r="D137" s="62">
        <f t="shared" ref="D137:D145" si="85">$B117+($C117-$B117)*(1-S117)</f>
        <v>29945921.655881997</v>
      </c>
      <c r="E137" s="62">
        <f t="shared" ref="E137:E145" si="86">$B117+($C117-$B117)*(1-T117)</f>
        <v>29922572.656787768</v>
      </c>
      <c r="F137" s="62">
        <f t="shared" ref="F137:F145" si="87">$B117+($C117-$B117)*(1-U117)</f>
        <v>29889201.784869663</v>
      </c>
      <c r="G137" s="62">
        <f t="shared" ref="G137:G145" si="88">$B117+($C117-$B117)*(1-V117)</f>
        <v>29841574.338898048</v>
      </c>
      <c r="H137" s="62">
        <f t="shared" ref="H137:H145" si="89">$B117+($C117-$B117)*(1-W117)</f>
        <v>29773741.171542991</v>
      </c>
      <c r="I137" s="62">
        <f t="shared" ref="I137:I145" si="90">$B117+($C117-$B117)*(1-X117)</f>
        <v>29677427.797904644</v>
      </c>
      <c r="J137" s="62">
        <f t="shared" ref="J137:J145" si="91">$B117+($C117-$B117)*(1-Y117)</f>
        <v>29541298.099391133</v>
      </c>
      <c r="K137" s="62">
        <f t="shared" ref="K137:K145" si="92">$B117+($C117-$B117)*(1-Z117)</f>
        <v>29350174.458661363</v>
      </c>
      <c r="L137" s="62">
        <f t="shared" ref="L137:L145" si="93">$B117+($C117-$B117)*(1-AA117)</f>
        <v>29084443.218016978</v>
      </c>
      <c r="M137" s="62">
        <f t="shared" ref="M137:M145" si="94">$B117+($C117-$B117)*(1-AB117)</f>
        <v>28720135.628119014</v>
      </c>
      <c r="N137" s="62">
        <f t="shared" ref="N137:N145" si="95">$B117+($C117-$B117)*(1-AC117)</f>
        <v>28230545.26491924</v>
      </c>
      <c r="O137" s="62">
        <f t="shared" ref="O137:O145" si="96">$B117+($C117-$B117)*(1-AD117)</f>
        <v>27590556.078314867</v>
      </c>
      <c r="P137" s="62">
        <f t="shared" ref="P137:P145" si="97">$B117+($C117-$B117)*(1-AE117)</f>
        <v>26784597.869999204</v>
      </c>
      <c r="Q137" s="62">
        <f t="shared" ref="Q137:Q145" si="98">$B117+($C117-$B117)*(1-AF117)</f>
        <v>25817471.155054402</v>
      </c>
      <c r="R137" s="62">
        <f t="shared" ref="R137:R145" si="99">$B117+($C117-$B117)*(1-AG117)</f>
        <v>24723869.74570195</v>
      </c>
      <c r="S137" s="62">
        <f t="shared" ref="S137:S145" si="100">$B117+($C117-$B117)*(1-AH117)</f>
        <v>23569359.224782243</v>
      </c>
      <c r="T137" s="62">
        <f t="shared" ref="T137:T145" si="101">$B117+($C117-$B117)*(1-AI117)</f>
        <v>22437567.311462872</v>
      </c>
      <c r="U137" s="62">
        <f t="shared" ref="U137:U145" si="102">$B117+($C117-$B117)*(1-AJ117)</f>
        <v>21407273.836467743</v>
      </c>
      <c r="V137" s="62">
        <f t="shared" ref="V137:V145" si="103">$B117+($C117-$B117)*(1-AK117)</f>
        <v>20531671.099334128</v>
      </c>
      <c r="W137" s="62">
        <f t="shared" ref="W137:W145" si="104">$B117+($C117-$B117)*(1-AL117)</f>
        <v>19830470.118455783</v>
      </c>
      <c r="X137" s="62">
        <f t="shared" ref="X137:X145" si="105">$B117+($C117-$B117)*(1-AM117)</f>
        <v>19295422.648525201</v>
      </c>
      <c r="Y137" s="62">
        <f t="shared" ref="Y137:Y145" si="106">$B117+($C117-$B117)*(1-AN117)</f>
        <v>18902119.8472571</v>
      </c>
      <c r="Z137" s="62">
        <f t="shared" ref="Z137:Z145" si="107">$B117+($C117-$B117)*(1-AO117)</f>
        <v>18620914.034130026</v>
      </c>
      <c r="AA137" s="62">
        <f t="shared" ref="AA137:AA145" si="108">$B117+($C117-$B117)*(1-AP117)</f>
        <v>18423830.287504151</v>
      </c>
      <c r="AB137" s="62">
        <f t="shared" ref="AB137:AB145" si="109">$B117+($C117-$B117)*(1-AQ117)</f>
        <v>18287633.304871898</v>
      </c>
      <c r="AC137" s="62">
        <f t="shared" ref="AC137:AC145" si="110">$B117+($C117-$B117)*(1-AR117)</f>
        <v>18194426.922700677</v>
      </c>
    </row>
    <row r="138" spans="1:44" x14ac:dyDescent="0.25">
      <c r="A138" s="30" t="str">
        <f t="shared" si="82"/>
        <v>Residual value (vehicle)</v>
      </c>
      <c r="B138" s="62">
        <f t="shared" si="83"/>
        <v>-1500658.8763695643</v>
      </c>
      <c r="C138" s="62">
        <f t="shared" si="84"/>
        <v>-1500943.9220542307</v>
      </c>
      <c r="D138" s="62">
        <f t="shared" si="85"/>
        <v>-1501351.95860295</v>
      </c>
      <c r="E138" s="62">
        <f t="shared" si="86"/>
        <v>-1501935.6835803059</v>
      </c>
      <c r="F138" s="62">
        <f t="shared" si="87"/>
        <v>-1502769.9553782584</v>
      </c>
      <c r="G138" s="62">
        <f t="shared" si="88"/>
        <v>-1503960.6415275487</v>
      </c>
      <c r="H138" s="62">
        <f t="shared" si="89"/>
        <v>-1505656.4707114252</v>
      </c>
      <c r="I138" s="62">
        <f t="shared" si="90"/>
        <v>-1508064.3050523838</v>
      </c>
      <c r="J138" s="62">
        <f t="shared" si="91"/>
        <v>-1511467.5475152216</v>
      </c>
      <c r="K138" s="62">
        <f t="shared" si="92"/>
        <v>-1516245.6385334658</v>
      </c>
      <c r="L138" s="62">
        <f t="shared" si="93"/>
        <v>-1522888.9195495755</v>
      </c>
      <c r="M138" s="62">
        <f t="shared" si="94"/>
        <v>-1531996.6092970246</v>
      </c>
      <c r="N138" s="62">
        <f t="shared" si="95"/>
        <v>-1544236.368377019</v>
      </c>
      <c r="O138" s="62">
        <f t="shared" si="96"/>
        <v>-1560236.0980421284</v>
      </c>
      <c r="P138" s="62">
        <f t="shared" si="97"/>
        <v>-1580385.0532500199</v>
      </c>
      <c r="Q138" s="62">
        <f t="shared" si="98"/>
        <v>-1604563.22112364</v>
      </c>
      <c r="R138" s="62">
        <f t="shared" si="99"/>
        <v>-1631903.2563574512</v>
      </c>
      <c r="S138" s="62">
        <f t="shared" si="100"/>
        <v>-1660766.019380444</v>
      </c>
      <c r="T138" s="62">
        <f t="shared" si="101"/>
        <v>-1689060.8172134282</v>
      </c>
      <c r="U138" s="62">
        <f t="shared" si="102"/>
        <v>-1714818.1540883065</v>
      </c>
      <c r="V138" s="62">
        <f t="shared" si="103"/>
        <v>-1736708.2225166468</v>
      </c>
      <c r="W138" s="62">
        <f t="shared" si="104"/>
        <v>-1754238.2470386054</v>
      </c>
      <c r="X138" s="62">
        <f t="shared" si="105"/>
        <v>-1767614.43378687</v>
      </c>
      <c r="Y138" s="62">
        <f t="shared" si="106"/>
        <v>-1777447.0038185725</v>
      </c>
      <c r="Z138" s="62">
        <f t="shared" si="107"/>
        <v>-1784477.1491467494</v>
      </c>
      <c r="AA138" s="62">
        <f t="shared" si="108"/>
        <v>-1789404.2428123963</v>
      </c>
      <c r="AB138" s="62">
        <f t="shared" si="109"/>
        <v>-1792809.1673782025</v>
      </c>
      <c r="AC138" s="62">
        <f t="shared" si="110"/>
        <v>-1795139.3269324831</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6">
        <f>'Parameter Input'!J6</f>
        <v>0.18104231880665794</v>
      </c>
      <c r="C146" s="66">
        <f>'Parameter Input'!K6</f>
        <v>0.17732719010569079</v>
      </c>
      <c r="D146" s="66">
        <f>'Parameter Input'!L6</f>
        <v>0.17361206140472354</v>
      </c>
      <c r="E146" s="66">
        <f>'Parameter Input'!M6</f>
        <v>0.17118675002498271</v>
      </c>
      <c r="F146" s="66">
        <f>'Parameter Input'!N6</f>
        <v>0.16876143864524187</v>
      </c>
      <c r="G146" s="66">
        <f>'Parameter Input'!O6</f>
        <v>0.16633612726550104</v>
      </c>
      <c r="H146" s="66">
        <f>'Parameter Input'!P6</f>
        <v>0.1639108158857602</v>
      </c>
      <c r="I146" s="66">
        <f>'Parameter Input'!Q6</f>
        <v>0.16148550450601945</v>
      </c>
      <c r="J146" s="66">
        <f>'Parameter Input'!R6</f>
        <v>0.1627875388918204</v>
      </c>
      <c r="K146" s="66">
        <f>'Parameter Input'!S6</f>
        <v>0.16408957327762139</v>
      </c>
      <c r="L146" s="66">
        <f>'Parameter Input'!T6</f>
        <v>0.16539160766342234</v>
      </c>
      <c r="M146" s="66">
        <f>'Parameter Input'!U6</f>
        <v>0.16669364204922332</v>
      </c>
      <c r="N146" s="66">
        <f>'Parameter Input'!V6</f>
        <v>0.16799567643502425</v>
      </c>
      <c r="O146" s="66">
        <f>'Parameter Input'!W6</f>
        <v>0.16487244686609676</v>
      </c>
      <c r="P146" s="66">
        <f>'Parameter Input'!X6</f>
        <v>0.16174921729716923</v>
      </c>
      <c r="Q146" s="66">
        <f>'Parameter Input'!Y6</f>
        <v>0.15862598772824177</v>
      </c>
      <c r="R146" s="66">
        <f>'Parameter Input'!Z6</f>
        <v>0.15550275815931427</v>
      </c>
      <c r="S146" s="66">
        <f>'Parameter Input'!AA6</f>
        <v>0.15237952859038681</v>
      </c>
      <c r="T146" s="66">
        <f>'Parameter Input'!AB6</f>
        <v>0.14950198735980291</v>
      </c>
      <c r="U146" s="66">
        <f>'Parameter Input'!AC6</f>
        <v>0.14662444612921899</v>
      </c>
      <c r="V146" s="66">
        <f>'Parameter Input'!AD6</f>
        <v>0.14374690489863506</v>
      </c>
      <c r="W146" s="66">
        <f>'Parameter Input'!AE6</f>
        <v>0.14086936366805117</v>
      </c>
      <c r="X146" s="66">
        <f>'Parameter Input'!AF6</f>
        <v>0.13799182243746722</v>
      </c>
      <c r="Y146" s="66">
        <f>'Parameter Input'!AG6</f>
        <v>0.1352562604095163</v>
      </c>
      <c r="Z146" s="66">
        <f>'Parameter Input'!AH6</f>
        <v>0.13252069838156535</v>
      </c>
      <c r="AA146" s="66">
        <f>'Parameter Input'!AI6</f>
        <v>0.12978513635361441</v>
      </c>
      <c r="AB146" s="66">
        <f>'Parameter Input'!AJ6</f>
        <v>0.12704957432566347</v>
      </c>
      <c r="AC146" s="66">
        <f>'Parameter Input'!AK6</f>
        <v>0.12431401229771254</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755.79245394358725</v>
      </c>
      <c r="C152" s="62">
        <f t="shared" si="116"/>
        <v>755.70266455291733</v>
      </c>
      <c r="D152" s="62">
        <f t="shared" si="116"/>
        <v>755.57413304007082</v>
      </c>
      <c r="E152" s="62">
        <f t="shared" si="116"/>
        <v>755.39025967220368</v>
      </c>
      <c r="F152" s="62">
        <f t="shared" si="116"/>
        <v>755.12746405584869</v>
      </c>
      <c r="G152" s="62">
        <f t="shared" si="116"/>
        <v>754.75239791882211</v>
      </c>
      <c r="H152" s="62">
        <f t="shared" si="116"/>
        <v>754.21821172590103</v>
      </c>
      <c r="I152" s="62">
        <f t="shared" si="116"/>
        <v>753.45974390849915</v>
      </c>
      <c r="J152" s="62">
        <f t="shared" si="116"/>
        <v>752.3877225327052</v>
      </c>
      <c r="K152" s="62">
        <f t="shared" si="116"/>
        <v>750.88262386195834</v>
      </c>
      <c r="L152" s="62">
        <f t="shared" si="117"/>
        <v>748.78999034188371</v>
      </c>
      <c r="M152" s="62">
        <f t="shared" si="117"/>
        <v>745.92106807143728</v>
      </c>
      <c r="N152" s="62">
        <f t="shared" si="117"/>
        <v>742.06554396123909</v>
      </c>
      <c r="O152" s="62">
        <f t="shared" si="117"/>
        <v>737.02562911672953</v>
      </c>
      <c r="P152" s="62">
        <f t="shared" si="117"/>
        <v>730.67870822624377</v>
      </c>
      <c r="Q152" s="62">
        <f t="shared" si="117"/>
        <v>723.06258534605354</v>
      </c>
      <c r="R152" s="62">
        <f t="shared" si="117"/>
        <v>714.45047424740278</v>
      </c>
      <c r="S152" s="62">
        <f t="shared" si="117"/>
        <v>705.35870389516015</v>
      </c>
      <c r="T152" s="62">
        <f t="shared" si="117"/>
        <v>696.44584257777012</v>
      </c>
      <c r="U152" s="62">
        <f t="shared" si="117"/>
        <v>688.33228146218346</v>
      </c>
      <c r="V152" s="62">
        <f t="shared" si="118"/>
        <v>681.43690990725634</v>
      </c>
      <c r="W152" s="62">
        <f t="shared" si="118"/>
        <v>675.91495218283933</v>
      </c>
      <c r="X152" s="62">
        <f t="shared" si="118"/>
        <v>671.70145335713607</v>
      </c>
      <c r="Y152" s="62">
        <f t="shared" si="118"/>
        <v>668.60419379714972</v>
      </c>
      <c r="Z152" s="62">
        <f t="shared" si="118"/>
        <v>666.38969801877408</v>
      </c>
      <c r="AA152" s="62">
        <f t="shared" si="118"/>
        <v>664.83766351409531</v>
      </c>
      <c r="AB152" s="62">
        <f t="shared" si="118"/>
        <v>663.76511227586627</v>
      </c>
      <c r="AC152" s="62">
        <f t="shared" si="118"/>
        <v>663.03111201626791</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0">((1+C141)^C148)*C141/(((1+C141)^C148)-1)*(C137)</f>
        <v>2343847.949386192</v>
      </c>
      <c r="D156" s="63">
        <f t="shared" si="120"/>
        <v>2342571.1749815131</v>
      </c>
      <c r="E156" s="63">
        <f t="shared" si="120"/>
        <v>2340744.6594088301</v>
      </c>
      <c r="F156" s="63">
        <f t="shared" si="120"/>
        <v>2338134.1656147949</v>
      </c>
      <c r="G156" s="63">
        <f t="shared" si="120"/>
        <v>2334408.426819603</v>
      </c>
      <c r="H156" s="63">
        <f t="shared" si="120"/>
        <v>2329102.0607514726</v>
      </c>
      <c r="I156" s="63">
        <f t="shared" si="120"/>
        <v>2321567.7816117923</v>
      </c>
      <c r="J156" s="63">
        <f t="shared" si="120"/>
        <v>2310918.8020458543</v>
      </c>
      <c r="K156" s="63">
        <f t="shared" si="120"/>
        <v>2295967.8268587827</v>
      </c>
      <c r="L156" s="63">
        <f t="shared" si="120"/>
        <v>2275180.5439766962</v>
      </c>
      <c r="M156" s="63">
        <f t="shared" si="120"/>
        <v>2246681.9567991556</v>
      </c>
      <c r="N156" s="63">
        <f t="shared" si="120"/>
        <v>2208382.9094176819</v>
      </c>
      <c r="O156" s="63">
        <f t="shared" si="120"/>
        <v>2158318.6556582791</v>
      </c>
      <c r="P156" s="63">
        <f t="shared" si="120"/>
        <v>2095271.1900055008</v>
      </c>
      <c r="Q156" s="63">
        <f t="shared" si="120"/>
        <v>2019616.0409999515</v>
      </c>
      <c r="R156" s="63">
        <f t="shared" si="120"/>
        <v>1934067.1917139916</v>
      </c>
      <c r="S156" s="63">
        <f t="shared" si="120"/>
        <v>1843753.6225209001</v>
      </c>
      <c r="T156" s="63">
        <f t="shared" si="120"/>
        <v>1755217.2554427353</v>
      </c>
      <c r="U156" s="63">
        <f t="shared" si="120"/>
        <v>1674620.7780983469</v>
      </c>
      <c r="V156" s="63">
        <f t="shared" si="120"/>
        <v>1606125.2495146997</v>
      </c>
      <c r="W156" s="63">
        <f t="shared" si="120"/>
        <v>1551272.5979733593</v>
      </c>
      <c r="X156" s="63">
        <f t="shared" si="120"/>
        <v>1509417.5903129096</v>
      </c>
      <c r="Y156" s="63">
        <f t="shared" si="120"/>
        <v>1478650.8029060119</v>
      </c>
      <c r="Z156" s="63">
        <f t="shared" si="120"/>
        <v>1456652.995002867</v>
      </c>
      <c r="AA156" s="63">
        <f t="shared" si="120"/>
        <v>1441235.7802913454</v>
      </c>
      <c r="AB156" s="63">
        <f t="shared" si="120"/>
        <v>1430581.5373096101</v>
      </c>
      <c r="AC156" s="63">
        <f t="shared" si="120"/>
        <v>1423290.3079159164</v>
      </c>
    </row>
    <row r="157" spans="1:29" x14ac:dyDescent="0.25">
      <c r="A157" s="30" t="str">
        <f>A138</f>
        <v>Residual value (vehicle)</v>
      </c>
      <c r="B157" s="62">
        <f>((1+B141)^B148)*B141/(((1+B141)^B148)-1)*(B138)</f>
        <v>-117391.61905450956</v>
      </c>
      <c r="C157" s="62">
        <f t="shared" ref="C157:AC157" si="121">((1+C141)^C148)*C141/(((1+C141)^C148)-1)*(C138)</f>
        <v>-117413.91724296159</v>
      </c>
      <c r="D157" s="62">
        <f t="shared" si="121"/>
        <v>-117445.83660307855</v>
      </c>
      <c r="E157" s="62">
        <f t="shared" si="121"/>
        <v>-117491.49949239564</v>
      </c>
      <c r="F157" s="62">
        <f t="shared" si="121"/>
        <v>-117556.76183724651</v>
      </c>
      <c r="G157" s="62">
        <f t="shared" si="121"/>
        <v>-117649.9053071263</v>
      </c>
      <c r="H157" s="62">
        <f t="shared" si="121"/>
        <v>-117782.56445882957</v>
      </c>
      <c r="I157" s="62">
        <f t="shared" si="121"/>
        <v>-117970.92143732157</v>
      </c>
      <c r="J157" s="62">
        <f t="shared" si="121"/>
        <v>-118237.14592647002</v>
      </c>
      <c r="K157" s="62">
        <f t="shared" si="121"/>
        <v>-118610.92030614681</v>
      </c>
      <c r="L157" s="62">
        <f t="shared" si="121"/>
        <v>-119130.60237819898</v>
      </c>
      <c r="M157" s="62">
        <f t="shared" si="121"/>
        <v>-119843.06705763748</v>
      </c>
      <c r="N157" s="62">
        <f t="shared" si="121"/>
        <v>-120800.54324217433</v>
      </c>
      <c r="O157" s="62">
        <f t="shared" si="121"/>
        <v>-122052.1495861594</v>
      </c>
      <c r="P157" s="62">
        <f t="shared" si="121"/>
        <v>-123628.33622747887</v>
      </c>
      <c r="Q157" s="62">
        <f t="shared" si="121"/>
        <v>-125519.71495261759</v>
      </c>
      <c r="R157" s="62">
        <f t="shared" si="121"/>
        <v>-127658.43618476659</v>
      </c>
      <c r="S157" s="62">
        <f t="shared" si="121"/>
        <v>-129916.27541459388</v>
      </c>
      <c r="T157" s="62">
        <f t="shared" si="121"/>
        <v>-132129.68459154799</v>
      </c>
      <c r="U157" s="62">
        <f t="shared" si="121"/>
        <v>-134144.59652515771</v>
      </c>
      <c r="V157" s="62">
        <f t="shared" si="121"/>
        <v>-135856.98473974891</v>
      </c>
      <c r="W157" s="62">
        <f t="shared" si="121"/>
        <v>-137228.30102828241</v>
      </c>
      <c r="X157" s="62">
        <f t="shared" si="121"/>
        <v>-138274.67621979365</v>
      </c>
      <c r="Y157" s="62">
        <f t="shared" si="121"/>
        <v>-139043.84590496609</v>
      </c>
      <c r="Z157" s="62">
        <f t="shared" si="121"/>
        <v>-139593.79110254472</v>
      </c>
      <c r="AA157" s="62">
        <f t="shared" si="121"/>
        <v>-139979.22147033276</v>
      </c>
      <c r="AB157" s="62">
        <f t="shared" si="121"/>
        <v>-140245.57754487614</v>
      </c>
      <c r="AC157" s="62">
        <f t="shared" si="121"/>
        <v>-140427.85827971846</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12792731.127093505</v>
      </c>
      <c r="C163" s="62">
        <f t="shared" ref="C163:AC163" si="127">C145*C146*C153</f>
        <v>12528799.071394671</v>
      </c>
      <c r="D163" s="62">
        <f t="shared" si="127"/>
        <v>12264328.443126084</v>
      </c>
      <c r="E163" s="62">
        <f t="shared" si="127"/>
        <v>12090201.317092478</v>
      </c>
      <c r="F163" s="62">
        <f t="shared" si="127"/>
        <v>11914969.557116391</v>
      </c>
      <c r="G163" s="62">
        <f t="shared" si="127"/>
        <v>11738191.13747659</v>
      </c>
      <c r="H163" s="62">
        <f t="shared" si="127"/>
        <v>11559256.07838391</v>
      </c>
      <c r="I163" s="62">
        <f t="shared" si="127"/>
        <v>11377331.944128966</v>
      </c>
      <c r="J163" s="62">
        <f t="shared" si="127"/>
        <v>11453553.581434283</v>
      </c>
      <c r="K163" s="62">
        <f t="shared" si="127"/>
        <v>11523210.322214071</v>
      </c>
      <c r="L163" s="62">
        <f t="shared" si="127"/>
        <v>11583881.043995168</v>
      </c>
      <c r="M163" s="62">
        <f t="shared" si="127"/>
        <v>11632564.942604586</v>
      </c>
      <c r="N163" s="62">
        <f t="shared" si="127"/>
        <v>11665851.888828779</v>
      </c>
      <c r="O163" s="62">
        <f t="shared" si="127"/>
        <v>11375108.904027309</v>
      </c>
      <c r="P163" s="62">
        <f t="shared" si="127"/>
        <v>11068372.534087626</v>
      </c>
      <c r="Q163" s="62">
        <f t="shared" si="127"/>
        <v>10747264.374170177</v>
      </c>
      <c r="R163" s="62">
        <f t="shared" si="127"/>
        <v>10416617.981834527</v>
      </c>
      <c r="S163" s="62">
        <f t="shared" si="127"/>
        <v>10084256.473865278</v>
      </c>
      <c r="T163" s="62">
        <f t="shared" si="127"/>
        <v>9775381.3652431425</v>
      </c>
      <c r="U163" s="62">
        <f t="shared" si="127"/>
        <v>9481483.2522856221</v>
      </c>
      <c r="V163" s="62">
        <f t="shared" si="127"/>
        <v>9207301.1564124171</v>
      </c>
      <c r="W163" s="62">
        <f t="shared" si="127"/>
        <v>8953843.9818064012</v>
      </c>
      <c r="X163" s="62">
        <f t="shared" si="127"/>
        <v>8719261.1138731912</v>
      </c>
      <c r="Y163" s="62">
        <f t="shared" si="127"/>
        <v>8509172.0481915157</v>
      </c>
      <c r="Z163" s="62">
        <f t="shared" si="127"/>
        <v>8310987.8682103679</v>
      </c>
      <c r="AA163" s="62">
        <f t="shared" si="127"/>
        <v>8121523.1022612676</v>
      </c>
      <c r="AB163" s="62">
        <f t="shared" si="127"/>
        <v>7938228.0712644216</v>
      </c>
      <c r="AC163" s="62">
        <f t="shared" si="127"/>
        <v>7759195.6795032695</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17121801.128019515</v>
      </c>
      <c r="C165" s="64">
        <f t="shared" ref="C165:AC165" si="129">C156+C157+C158+C159+C160+C161+C162+C163+C164</f>
        <v>16856954.846594147</v>
      </c>
      <c r="D165" s="64">
        <f t="shared" si="129"/>
        <v>16591175.524560768</v>
      </c>
      <c r="E165" s="64">
        <f t="shared" si="129"/>
        <v>16415176.220065162</v>
      </c>
      <c r="F165" s="64">
        <f t="shared" si="129"/>
        <v>16237268.703950189</v>
      </c>
      <c r="G165" s="64">
        <f t="shared" si="129"/>
        <v>16056671.402045313</v>
      </c>
      <c r="H165" s="64">
        <f t="shared" si="129"/>
        <v>15872297.3177328</v>
      </c>
      <c r="I165" s="64">
        <f t="shared" si="129"/>
        <v>15682650.547359684</v>
      </c>
      <c r="J165" s="64">
        <f t="shared" si="129"/>
        <v>15747956.980609916</v>
      </c>
      <c r="K165" s="64">
        <f t="shared" si="129"/>
        <v>15802288.971822955</v>
      </c>
      <c r="L165" s="64">
        <f t="shared" si="129"/>
        <v>15841652.728649914</v>
      </c>
      <c r="M165" s="64">
        <f t="shared" si="129"/>
        <v>15861125.575402353</v>
      </c>
      <c r="N165" s="64">
        <f t="shared" si="129"/>
        <v>15855155.998060536</v>
      </c>
      <c r="O165" s="64">
        <f t="shared" si="129"/>
        <v>15513097.153155677</v>
      </c>
      <c r="P165" s="64">
        <f t="shared" si="129"/>
        <v>15141737.130921897</v>
      </c>
      <c r="Q165" s="64">
        <f t="shared" si="129"/>
        <v>14743082.443273759</v>
      </c>
      <c r="R165" s="64">
        <f t="shared" si="129"/>
        <v>14324748.480420001</v>
      </c>
      <c r="S165" s="64">
        <f t="shared" si="129"/>
        <v>13899815.564027833</v>
      </c>
      <c r="T165" s="64">
        <f t="shared" si="129"/>
        <v>13500190.679150578</v>
      </c>
      <c r="U165" s="64">
        <f t="shared" si="129"/>
        <v>13123681.176915061</v>
      </c>
      <c r="V165" s="64">
        <f t="shared" si="129"/>
        <v>12779291.164243616</v>
      </c>
      <c r="W165" s="64">
        <f t="shared" si="129"/>
        <v>12469610.021807726</v>
      </c>
      <c r="X165" s="64">
        <f t="shared" si="129"/>
        <v>12192125.771022554</v>
      </c>
      <c r="Y165" s="64">
        <f t="shared" si="129"/>
        <v>11950500.74824881</v>
      </c>
      <c r="Z165" s="64">
        <f t="shared" si="129"/>
        <v>11729768.815166939</v>
      </c>
      <c r="AA165" s="64">
        <f t="shared" si="129"/>
        <v>11524501.404138528</v>
      </c>
      <c r="AB165" s="64">
        <f t="shared" si="129"/>
        <v>11330285.774085404</v>
      </c>
      <c r="AC165" s="64">
        <f t="shared" si="129"/>
        <v>11143779.872195717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19.539498974368939</v>
      </c>
      <c r="C168" s="65">
        <f t="shared" ref="C168:AC168" si="131">((1+C141)^C148)*C141/(((1+C141)^C148)-1)*(C137)/C153</f>
        <v>19.532066244884934</v>
      </c>
      <c r="D168" s="65">
        <f t="shared" si="131"/>
        <v>19.521426458179274</v>
      </c>
      <c r="E168" s="65">
        <f t="shared" si="131"/>
        <v>19.506205495073583</v>
      </c>
      <c r="F168" s="65">
        <f t="shared" si="131"/>
        <v>19.484451380123293</v>
      </c>
      <c r="G168" s="65">
        <f t="shared" si="131"/>
        <v>19.453403556830025</v>
      </c>
      <c r="H168" s="65">
        <f t="shared" si="131"/>
        <v>19.409183839595606</v>
      </c>
      <c r="I168" s="65">
        <f t="shared" si="131"/>
        <v>19.346398180098269</v>
      </c>
      <c r="J168" s="65">
        <f t="shared" si="131"/>
        <v>19.257656683715453</v>
      </c>
      <c r="K168" s="65">
        <f t="shared" si="131"/>
        <v>19.133065223823188</v>
      </c>
      <c r="L168" s="65">
        <f t="shared" si="131"/>
        <v>18.959837866472469</v>
      </c>
      <c r="M168" s="65">
        <f t="shared" si="131"/>
        <v>18.722349639992963</v>
      </c>
      <c r="N168" s="65">
        <f t="shared" si="131"/>
        <v>18.403190911814015</v>
      </c>
      <c r="O168" s="65">
        <f t="shared" si="131"/>
        <v>17.985988797152327</v>
      </c>
      <c r="P168" s="65">
        <f t="shared" si="131"/>
        <v>17.460593250045839</v>
      </c>
      <c r="Q168" s="65">
        <f t="shared" si="131"/>
        <v>16.830133674999598</v>
      </c>
      <c r="R168" s="65">
        <f t="shared" si="131"/>
        <v>16.117226597616597</v>
      </c>
      <c r="S168" s="65">
        <f t="shared" si="131"/>
        <v>15.364613521007501</v>
      </c>
      <c r="T168" s="65">
        <f t="shared" si="131"/>
        <v>14.626810462022794</v>
      </c>
      <c r="U168" s="65">
        <f t="shared" si="131"/>
        <v>13.955173150819558</v>
      </c>
      <c r="V168" s="65">
        <f t="shared" si="131"/>
        <v>13.384377079289164</v>
      </c>
      <c r="W168" s="65">
        <f t="shared" si="131"/>
        <v>12.927271649777994</v>
      </c>
      <c r="X168" s="65">
        <f t="shared" si="131"/>
        <v>12.578479919274246</v>
      </c>
      <c r="Y168" s="65">
        <f t="shared" si="131"/>
        <v>12.322090024216767</v>
      </c>
      <c r="Z168" s="65">
        <f t="shared" si="131"/>
        <v>12.138774958357224</v>
      </c>
      <c r="AA168" s="65">
        <f t="shared" si="131"/>
        <v>12.010298169094545</v>
      </c>
      <c r="AB168" s="65">
        <f t="shared" si="131"/>
        <v>11.921512810913416</v>
      </c>
      <c r="AC168" s="65">
        <f t="shared" si="131"/>
        <v>11.860752565965971</v>
      </c>
    </row>
    <row r="169" spans="1:29" x14ac:dyDescent="0.25">
      <c r="A169" s="30" t="str">
        <f t="shared" si="130"/>
        <v>Residual value (vehicle)</v>
      </c>
      <c r="B169" s="66">
        <f>((1+B141)^B148)*B141/(((1+B141)^B148)-1)*(B138)/B153</f>
        <v>-0.97826349212091301</v>
      </c>
      <c r="C169" s="66">
        <f t="shared" ref="C169:AC169" si="132">((1+C141)^C148)*C141/(((1+C141)^C148)-1)*(C138)/C153</f>
        <v>-0.97844931035801319</v>
      </c>
      <c r="D169" s="66">
        <f t="shared" si="132"/>
        <v>-0.97871530502565462</v>
      </c>
      <c r="E169" s="66">
        <f t="shared" si="132"/>
        <v>-0.97909582910329696</v>
      </c>
      <c r="F169" s="66">
        <f t="shared" si="132"/>
        <v>-0.9796396819770542</v>
      </c>
      <c r="G169" s="66">
        <f t="shared" si="132"/>
        <v>-0.98041587755938586</v>
      </c>
      <c r="H169" s="66">
        <f t="shared" si="132"/>
        <v>-0.98152137049024646</v>
      </c>
      <c r="I169" s="66">
        <f t="shared" si="132"/>
        <v>-0.98309101197767967</v>
      </c>
      <c r="J169" s="66">
        <f t="shared" si="132"/>
        <v>-0.98530954938725024</v>
      </c>
      <c r="K169" s="66">
        <f t="shared" si="132"/>
        <v>-0.9884243358845568</v>
      </c>
      <c r="L169" s="66">
        <f t="shared" si="132"/>
        <v>-0.99275501981832481</v>
      </c>
      <c r="M169" s="66">
        <f t="shared" si="132"/>
        <v>-0.99869222548031233</v>
      </c>
      <c r="N169" s="66">
        <f t="shared" si="132"/>
        <v>-1.0066711936847861</v>
      </c>
      <c r="O169" s="66">
        <f t="shared" si="132"/>
        <v>-1.0171012465513283</v>
      </c>
      <c r="P169" s="66">
        <f t="shared" si="132"/>
        <v>-1.0302361352289906</v>
      </c>
      <c r="Q169" s="66">
        <f t="shared" si="132"/>
        <v>-1.0459976246051466</v>
      </c>
      <c r="R169" s="66">
        <f t="shared" si="132"/>
        <v>-1.0638203015397216</v>
      </c>
      <c r="S169" s="66">
        <f t="shared" si="132"/>
        <v>-1.082635628454949</v>
      </c>
      <c r="T169" s="66">
        <f t="shared" si="132"/>
        <v>-1.1010807049295666</v>
      </c>
      <c r="U169" s="66">
        <f t="shared" si="132"/>
        <v>-1.1178716377096476</v>
      </c>
      <c r="V169" s="66">
        <f t="shared" si="132"/>
        <v>-1.1321415394979075</v>
      </c>
      <c r="W169" s="66">
        <f t="shared" si="132"/>
        <v>-1.1435691752356867</v>
      </c>
      <c r="X169" s="66">
        <f t="shared" si="132"/>
        <v>-1.1522889684982804</v>
      </c>
      <c r="Y169" s="66">
        <f t="shared" si="132"/>
        <v>-1.1586987158747175</v>
      </c>
      <c r="Z169" s="66">
        <f t="shared" si="132"/>
        <v>-1.1632815925212061</v>
      </c>
      <c r="AA169" s="66">
        <f t="shared" si="132"/>
        <v>-1.1664935122527731</v>
      </c>
      <c r="AB169" s="66">
        <f t="shared" si="132"/>
        <v>-1.1687131462073013</v>
      </c>
      <c r="AC169" s="66">
        <f t="shared" si="132"/>
        <v>-1.1702321523309871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106.60609272577921</v>
      </c>
      <c r="C175" s="66">
        <f t="shared" ref="C175:AC175" si="138">C145*C146*C153/C153</f>
        <v>104.40665892828892</v>
      </c>
      <c r="D175" s="66">
        <f t="shared" si="138"/>
        <v>102.2027370260507</v>
      </c>
      <c r="E175" s="66">
        <f t="shared" si="138"/>
        <v>100.75167764243731</v>
      </c>
      <c r="F175" s="66">
        <f t="shared" si="138"/>
        <v>99.291412975969919</v>
      </c>
      <c r="G175" s="66">
        <f t="shared" si="138"/>
        <v>97.818259478971584</v>
      </c>
      <c r="H175" s="66">
        <f t="shared" si="138"/>
        <v>96.327133986532573</v>
      </c>
      <c r="I175" s="66">
        <f t="shared" si="138"/>
        <v>94.811099534408044</v>
      </c>
      <c r="J175" s="66">
        <f t="shared" si="138"/>
        <v>95.446279845285702</v>
      </c>
      <c r="K175" s="66">
        <f t="shared" si="138"/>
        <v>96.026752685117259</v>
      </c>
      <c r="L175" s="66">
        <f t="shared" si="138"/>
        <v>96.532342033293062</v>
      </c>
      <c r="M175" s="66">
        <f t="shared" si="138"/>
        <v>96.938041188371557</v>
      </c>
      <c r="N175" s="66">
        <f t="shared" si="138"/>
        <v>97.215432406906487</v>
      </c>
      <c r="O175" s="66">
        <f t="shared" si="138"/>
        <v>94.792574200227577</v>
      </c>
      <c r="P175" s="66">
        <f t="shared" si="138"/>
        <v>92.236437784063554</v>
      </c>
      <c r="Q175" s="66">
        <f t="shared" si="138"/>
        <v>89.560536451418145</v>
      </c>
      <c r="R175" s="66">
        <f t="shared" si="138"/>
        <v>86.805149848621056</v>
      </c>
      <c r="S175" s="66">
        <f t="shared" si="138"/>
        <v>84.035470615543986</v>
      </c>
      <c r="T175" s="66">
        <f t="shared" si="138"/>
        <v>81.461511377026184</v>
      </c>
      <c r="U175" s="66">
        <f t="shared" si="138"/>
        <v>79.012360435713518</v>
      </c>
      <c r="V175" s="66">
        <f t="shared" si="138"/>
        <v>76.727509636770137</v>
      </c>
      <c r="W175" s="66">
        <f t="shared" si="138"/>
        <v>74.615366515053339</v>
      </c>
      <c r="X175" s="66">
        <f t="shared" si="138"/>
        <v>72.660509282276593</v>
      </c>
      <c r="Y175" s="66">
        <f t="shared" si="138"/>
        <v>70.909767068262624</v>
      </c>
      <c r="Z175" s="66">
        <f t="shared" si="138"/>
        <v>69.258232235086396</v>
      </c>
      <c r="AA175" s="66">
        <f t="shared" si="138"/>
        <v>67.679359185510563</v>
      </c>
      <c r="AB175" s="66">
        <f t="shared" si="138"/>
        <v>66.151900593870181</v>
      </c>
      <c r="AC175" s="66">
        <f t="shared" si="138"/>
        <v>64.659963995860579</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143.3335653852649</v>
      </c>
      <c r="C177" s="76">
        <f t="shared" ref="C177:AC177" si="141">C168+C169+C170-C171+C172+C173+C174+C175+C176</f>
        <v>141.12651304005351</v>
      </c>
      <c r="D177" s="76">
        <f t="shared" si="141"/>
        <v>138.91168535644198</v>
      </c>
      <c r="E177" s="76">
        <f t="shared" si="141"/>
        <v>137.44502448564526</v>
      </c>
      <c r="F177" s="76">
        <f t="shared" si="141"/>
        <v>135.96246185135385</v>
      </c>
      <c r="G177" s="76">
        <f t="shared" si="141"/>
        <v>134.4574843354799</v>
      </c>
      <c r="H177" s="76">
        <f t="shared" si="141"/>
        <v>132.92103363287561</v>
      </c>
      <c r="I177" s="76">
        <f t="shared" si="141"/>
        <v>131.3406438797663</v>
      </c>
      <c r="J177" s="76">
        <f t="shared" si="141"/>
        <v>131.88486415685159</v>
      </c>
      <c r="K177" s="76">
        <f t="shared" si="141"/>
        <v>132.33763075029356</v>
      </c>
      <c r="L177" s="76">
        <f t="shared" si="141"/>
        <v>132.66566205718487</v>
      </c>
      <c r="M177" s="76">
        <f t="shared" si="141"/>
        <v>132.82793578012189</v>
      </c>
      <c r="N177" s="76">
        <f t="shared" si="141"/>
        <v>132.7781893022734</v>
      </c>
      <c r="O177" s="76">
        <f t="shared" si="141"/>
        <v>129.92769892806626</v>
      </c>
      <c r="P177" s="76">
        <f t="shared" si="141"/>
        <v>126.83303207611809</v>
      </c>
      <c r="Q177" s="76">
        <f t="shared" si="141"/>
        <v>123.51090967905027</v>
      </c>
      <c r="R177" s="76">
        <f t="shared" si="141"/>
        <v>120.02479332193562</v>
      </c>
      <c r="S177" s="76">
        <f t="shared" si="141"/>
        <v>116.48368568533422</v>
      </c>
      <c r="T177" s="76">
        <f t="shared" si="141"/>
        <v>113.15347831135711</v>
      </c>
      <c r="U177" s="76">
        <f t="shared" si="141"/>
        <v>110.01589912606111</v>
      </c>
      <c r="V177" s="76">
        <f t="shared" si="141"/>
        <v>107.14598235379908</v>
      </c>
      <c r="W177" s="76">
        <f t="shared" si="141"/>
        <v>104.56530616683332</v>
      </c>
      <c r="X177" s="76">
        <f t="shared" si="141"/>
        <v>102.25293741029024</v>
      </c>
      <c r="Y177" s="76">
        <f t="shared" si="141"/>
        <v>100.23939555384237</v>
      </c>
      <c r="Z177" s="76">
        <f t="shared" si="141"/>
        <v>98.399962778160102</v>
      </c>
      <c r="AA177" s="76">
        <f t="shared" si="141"/>
        <v>96.689401019590022</v>
      </c>
      <c r="AB177" s="76">
        <f t="shared" si="141"/>
        <v>95.070937435813988</v>
      </c>
      <c r="AC177" s="76">
        <f t="shared" si="141"/>
        <v>93.51672158673324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2.0676718491395704E-3</v>
      </c>
      <c r="C180" s="65">
        <f t="shared" ref="C180:AC180" si="143">((1+C141)^C148)*C141/(((1+C141)^C148)-1)*(C137)/C153/(C150)</f>
        <v>2.0668853169190406E-3</v>
      </c>
      <c r="D180" s="65">
        <f t="shared" si="143"/>
        <v>2.0657594135639443E-3</v>
      </c>
      <c r="E180" s="65">
        <f t="shared" si="143"/>
        <v>2.064148729637416E-3</v>
      </c>
      <c r="F180" s="65">
        <f t="shared" si="143"/>
        <v>2.0618467068913536E-3</v>
      </c>
      <c r="G180" s="65">
        <f t="shared" si="143"/>
        <v>2.0585612229449763E-3</v>
      </c>
      <c r="H180" s="65">
        <f t="shared" si="143"/>
        <v>2.0538818877878949E-3</v>
      </c>
      <c r="I180" s="65">
        <f t="shared" si="143"/>
        <v>2.0472379026559013E-3</v>
      </c>
      <c r="J180" s="65">
        <f t="shared" si="143"/>
        <v>2.0378472681180375E-3</v>
      </c>
      <c r="K180" s="65">
        <f t="shared" si="143"/>
        <v>2.0246629866479565E-3</v>
      </c>
      <c r="L180" s="65">
        <f t="shared" si="143"/>
        <v>2.0063320493621663E-3</v>
      </c>
      <c r="M180" s="65">
        <f t="shared" si="143"/>
        <v>1.9812010201050753E-3</v>
      </c>
      <c r="N180" s="65">
        <f t="shared" si="143"/>
        <v>1.9474276097157688E-3</v>
      </c>
      <c r="O180" s="65">
        <f t="shared" si="143"/>
        <v>1.9032792377938971E-3</v>
      </c>
      <c r="P180" s="65">
        <f t="shared" si="143"/>
        <v>1.8476818254016762E-3</v>
      </c>
      <c r="Q180" s="65">
        <f t="shared" si="143"/>
        <v>1.7809665264549839E-3</v>
      </c>
      <c r="R180" s="65">
        <f t="shared" si="143"/>
        <v>1.7055266240864123E-3</v>
      </c>
      <c r="S180" s="65">
        <f t="shared" si="143"/>
        <v>1.6258850286780425E-3</v>
      </c>
      <c r="T180" s="65">
        <f t="shared" si="143"/>
        <v>1.547810630901883E-3</v>
      </c>
      <c r="U180" s="65">
        <f t="shared" si="143"/>
        <v>1.4767378995576251E-3</v>
      </c>
      <c r="V180" s="65">
        <f t="shared" si="143"/>
        <v>1.4163361988665782E-3</v>
      </c>
      <c r="W180" s="65">
        <f t="shared" si="143"/>
        <v>1.3679652539447613E-3</v>
      </c>
      <c r="X180" s="65">
        <f t="shared" si="143"/>
        <v>1.3310560761136767E-3</v>
      </c>
      <c r="Y180" s="65">
        <f t="shared" si="143"/>
        <v>1.3039248702874885E-3</v>
      </c>
      <c r="Z180" s="65">
        <f t="shared" si="143"/>
        <v>1.2845264506198121E-3</v>
      </c>
      <c r="AA180" s="65">
        <f t="shared" si="143"/>
        <v>1.270931023184608E-3</v>
      </c>
      <c r="AB180" s="65">
        <f t="shared" si="143"/>
        <v>1.2615357471866049E-3</v>
      </c>
      <c r="AC180" s="65">
        <f t="shared" si="143"/>
        <v>1.2551060916366106E-3</v>
      </c>
    </row>
    <row r="181" spans="1:29" x14ac:dyDescent="0.25">
      <c r="A181" s="30" t="str">
        <f t="shared" si="142"/>
        <v>Residual value (vehicle)</v>
      </c>
      <c r="B181" s="68">
        <f>((1+B141)^B148)*B141/(((1+B141)^B148)-1)*(B138)/B153/(B150)</f>
        <v>-1.0351994625618128E-4</v>
      </c>
      <c r="C181" s="68">
        <f t="shared" ref="C181:AC181" si="144">((1+C141)^C148)*C141/(((1+C141)^C148)-1)*(C138)/C153/(C150)</f>
        <v>-1.0353960956169452E-4</v>
      </c>
      <c r="D181" s="68">
        <f t="shared" si="144"/>
        <v>-1.0356775714557191E-4</v>
      </c>
      <c r="E181" s="68">
        <f t="shared" si="144"/>
        <v>-1.0360802424373513E-4</v>
      </c>
      <c r="F181" s="68">
        <f t="shared" si="144"/>
        <v>-1.0366557481238669E-4</v>
      </c>
      <c r="G181" s="68">
        <f t="shared" si="144"/>
        <v>-1.0374771191104613E-4</v>
      </c>
      <c r="H181" s="68">
        <f t="shared" si="144"/>
        <v>-1.0386469528997317E-4</v>
      </c>
      <c r="I181" s="68">
        <f t="shared" si="144"/>
        <v>-1.0403079491827298E-4</v>
      </c>
      <c r="J181" s="68">
        <f t="shared" si="144"/>
        <v>-1.042655607817196E-4</v>
      </c>
      <c r="K181" s="68">
        <f t="shared" si="144"/>
        <v>-1.0459516781847161E-4</v>
      </c>
      <c r="L181" s="68">
        <f t="shared" si="144"/>
        <v>-1.0505344125061638E-4</v>
      </c>
      <c r="M181" s="68">
        <f t="shared" si="144"/>
        <v>-1.0568171698204363E-4</v>
      </c>
      <c r="N181" s="68">
        <f t="shared" si="144"/>
        <v>-1.0652605224177631E-4</v>
      </c>
      <c r="O181" s="68">
        <f t="shared" si="144"/>
        <v>-1.076297615398231E-4</v>
      </c>
      <c r="P181" s="68">
        <f t="shared" si="144"/>
        <v>-1.0901969684962864E-4</v>
      </c>
      <c r="Q181" s="68">
        <f t="shared" si="144"/>
        <v>-1.1068757932329594E-4</v>
      </c>
      <c r="R181" s="68">
        <f t="shared" si="144"/>
        <v>-1.1257357688251022E-4</v>
      </c>
      <c r="S181" s="68">
        <f t="shared" si="144"/>
        <v>-1.1456461676771947E-4</v>
      </c>
      <c r="T181" s="68">
        <f t="shared" si="144"/>
        <v>-1.1651647671212345E-4</v>
      </c>
      <c r="U181" s="68">
        <f t="shared" si="144"/>
        <v>-1.182932949957299E-4</v>
      </c>
      <c r="V181" s="68">
        <f t="shared" si="144"/>
        <v>-1.1980333751300609E-4</v>
      </c>
      <c r="W181" s="68">
        <f t="shared" si="144"/>
        <v>-1.210126111360515E-4</v>
      </c>
      <c r="X181" s="68">
        <f t="shared" si="144"/>
        <v>-1.2193534058182861E-4</v>
      </c>
      <c r="Y181" s="68">
        <f t="shared" si="144"/>
        <v>-1.2261362072748334E-4</v>
      </c>
      <c r="Z181" s="68">
        <f t="shared" si="144"/>
        <v>-1.2309858121917525E-4</v>
      </c>
      <c r="AA181" s="68">
        <f t="shared" si="144"/>
        <v>-1.2343846690505536E-4</v>
      </c>
      <c r="AB181" s="68">
        <f t="shared" si="144"/>
        <v>-1.2367334880500542E-4</v>
      </c>
      <c r="AC181" s="68">
        <f t="shared" si="144"/>
        <v>-1.2383409019375524E-4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1.1281068013309969E-2</v>
      </c>
      <c r="C187" s="66">
        <f t="shared" ref="C187:AC187" si="150">C145*C146*C153/C153/(C150)</f>
        <v>1.104832369611523E-2</v>
      </c>
      <c r="D187" s="66">
        <f t="shared" si="150"/>
        <v>1.0815104447201133E-2</v>
      </c>
      <c r="E187" s="66">
        <f t="shared" si="150"/>
        <v>1.0661553189675906E-2</v>
      </c>
      <c r="F187" s="66">
        <f t="shared" si="150"/>
        <v>1.0507027828144964E-2</v>
      </c>
      <c r="G187" s="66">
        <f t="shared" si="150"/>
        <v>1.0351138569203342E-2</v>
      </c>
      <c r="H187" s="66">
        <f t="shared" si="150"/>
        <v>1.0193347511802389E-2</v>
      </c>
      <c r="I187" s="66">
        <f t="shared" si="150"/>
        <v>1.0032920585651644E-2</v>
      </c>
      <c r="J187" s="66">
        <f t="shared" si="150"/>
        <v>1.0100135433363567E-2</v>
      </c>
      <c r="K187" s="66">
        <f t="shared" si="150"/>
        <v>1.0161561130700238E-2</v>
      </c>
      <c r="L187" s="66">
        <f t="shared" si="150"/>
        <v>1.0215062649025721E-2</v>
      </c>
      <c r="M187" s="66">
        <f t="shared" si="150"/>
        <v>1.0257993776547255E-2</v>
      </c>
      <c r="N187" s="66">
        <f t="shared" si="150"/>
        <v>1.0287347344646189E-2</v>
      </c>
      <c r="O187" s="66">
        <f t="shared" si="150"/>
        <v>1.0030960232828314E-2</v>
      </c>
      <c r="P187" s="66">
        <f t="shared" si="150"/>
        <v>9.7604696067792127E-3</v>
      </c>
      <c r="Q187" s="66">
        <f t="shared" si="150"/>
        <v>9.4773054445945124E-3</v>
      </c>
      <c r="R187" s="66">
        <f t="shared" si="150"/>
        <v>9.1857301427112226E-3</v>
      </c>
      <c r="S187" s="66">
        <f t="shared" si="150"/>
        <v>8.8926423931792575E-3</v>
      </c>
      <c r="T187" s="66">
        <f t="shared" si="150"/>
        <v>8.6202657541826645E-3</v>
      </c>
      <c r="U187" s="66">
        <f t="shared" si="150"/>
        <v>8.3610963424035466E-3</v>
      </c>
      <c r="V187" s="66">
        <f t="shared" si="150"/>
        <v>8.1193131890762056E-3</v>
      </c>
      <c r="W187" s="66">
        <f t="shared" si="150"/>
        <v>7.8958059804289243E-3</v>
      </c>
      <c r="X187" s="66">
        <f t="shared" si="150"/>
        <v>7.6889427811932904E-3</v>
      </c>
      <c r="Y187" s="66">
        <f t="shared" si="150"/>
        <v>7.5036790548426054E-3</v>
      </c>
      <c r="Z187" s="66">
        <f t="shared" si="150"/>
        <v>7.3289134640303066E-3</v>
      </c>
      <c r="AA187" s="66">
        <f t="shared" si="150"/>
        <v>7.1618369508476788E-3</v>
      </c>
      <c r="AB187" s="66">
        <f t="shared" si="150"/>
        <v>7.0002011210444637E-3</v>
      </c>
      <c r="AC187" s="66">
        <f t="shared" si="150"/>
        <v>6.8423242323661987E-3</v>
      </c>
    </row>
    <row r="188" spans="1:29" x14ac:dyDescent="0.25">
      <c r="A188" s="59" t="str">
        <f>A151</f>
        <v>Market failure (av. utilization)</v>
      </c>
      <c r="B188" s="66">
        <f t="shared" ref="B188:AC188" si="151">B177/B151-B177/B150</f>
        <v>1.1287496228198541E-2</v>
      </c>
      <c r="C188" s="66">
        <f t="shared" si="151"/>
        <v>1.1113691195476096E-2</v>
      </c>
      <c r="D188" s="66">
        <f t="shared" si="151"/>
        <v>1.0939273856050556E-2</v>
      </c>
      <c r="E188" s="66">
        <f t="shared" si="151"/>
        <v>1.0823774538059921E-2</v>
      </c>
      <c r="F188" s="66">
        <f t="shared" si="151"/>
        <v>1.07070229586399E-2</v>
      </c>
      <c r="G188" s="66">
        <f t="shared" si="151"/>
        <v>1.058850621074285E-2</v>
      </c>
      <c r="H188" s="66">
        <f t="shared" si="151"/>
        <v>1.046751095423162E-2</v>
      </c>
      <c r="I188" s="66">
        <f t="shared" si="151"/>
        <v>1.0343055504251315E-2</v>
      </c>
      <c r="J188" s="66">
        <f t="shared" si="151"/>
        <v>1.0385912767366189E-2</v>
      </c>
      <c r="K188" s="66">
        <f t="shared" si="151"/>
        <v>1.0421568066960487E-2</v>
      </c>
      <c r="L188" s="66">
        <f t="shared" si="151"/>
        <v>1.0447400481924243E-2</v>
      </c>
      <c r="M188" s="66">
        <f t="shared" si="151"/>
        <v>1.0460179512646488E-2</v>
      </c>
      <c r="N188" s="66">
        <f t="shared" si="151"/>
        <v>1.0456261985167341E-2</v>
      </c>
      <c r="O188" s="66">
        <f t="shared" si="151"/>
        <v>1.0231786306627588E-2</v>
      </c>
      <c r="P188" s="66">
        <f t="shared" si="151"/>
        <v>9.9880817680220984E-3</v>
      </c>
      <c r="Q188" s="66">
        <f t="shared" si="151"/>
        <v>9.7264651402229809E-3</v>
      </c>
      <c r="R188" s="66">
        <f t="shared" si="151"/>
        <v>9.4519340132938091E-3</v>
      </c>
      <c r="S188" s="66">
        <f t="shared" si="151"/>
        <v>9.1730723315631736E-3</v>
      </c>
      <c r="T188" s="66">
        <f t="shared" si="151"/>
        <v>8.9108190130759869E-3</v>
      </c>
      <c r="U188" s="66">
        <f t="shared" si="151"/>
        <v>8.6637351348196265E-3</v>
      </c>
      <c r="V188" s="66">
        <f t="shared" si="151"/>
        <v>8.4377296304209946E-3</v>
      </c>
      <c r="W188" s="66">
        <f t="shared" si="151"/>
        <v>8.2345017776268379E-3</v>
      </c>
      <c r="X188" s="66">
        <f t="shared" si="151"/>
        <v>8.052403093710565E-3</v>
      </c>
      <c r="Y188" s="66">
        <f t="shared" si="151"/>
        <v>7.8938369822147293E-3</v>
      </c>
      <c r="Z188" s="66">
        <f t="shared" si="151"/>
        <v>7.7489819340497684E-3</v>
      </c>
      <c r="AA188" s="66">
        <f t="shared" si="151"/>
        <v>7.6142754586609584E-3</v>
      </c>
      <c r="AB188" s="66">
        <f t="shared" si="151"/>
        <v>7.4868217003717184E-3</v>
      </c>
      <c r="AC188" s="66">
        <f t="shared" si="151"/>
        <v>7.364427441307898E-3</v>
      </c>
    </row>
    <row r="189" spans="1:29" x14ac:dyDescent="0.25">
      <c r="A189" s="59" t="str">
        <f>A152</f>
        <v>Payload loss (fuel)</v>
      </c>
      <c r="B189" s="66">
        <f>B177/(B150-B152)-B177/B150</f>
        <v>1.3185258345998034E-3</v>
      </c>
      <c r="C189" s="66">
        <f t="shared" ref="C189:AC189" si="152">C177/(C150-C152)-C177/C150</f>
        <v>1.2980555177152901E-3</v>
      </c>
      <c r="D189" s="66">
        <f t="shared" si="152"/>
        <v>1.2774477468129007E-3</v>
      </c>
      <c r="E189" s="66">
        <f t="shared" si="152"/>
        <v>1.2636258499319764E-3</v>
      </c>
      <c r="F189" s="66">
        <f t="shared" si="152"/>
        <v>1.2495230077397591E-3</v>
      </c>
      <c r="G189" s="66">
        <f t="shared" si="152"/>
        <v>1.2350249210917388E-3</v>
      </c>
      <c r="H189" s="66">
        <f t="shared" si="152"/>
        <v>1.2199731798482778E-3</v>
      </c>
      <c r="I189" s="66">
        <f t="shared" si="152"/>
        <v>1.2041507888663483E-3</v>
      </c>
      <c r="J189" s="66">
        <f t="shared" si="152"/>
        <v>1.2072710991662197E-3</v>
      </c>
      <c r="K189" s="66">
        <f t="shared" si="152"/>
        <v>1.2087831858761458E-3</v>
      </c>
      <c r="L189" s="66">
        <f t="shared" si="152"/>
        <v>1.2081117259223461E-3</v>
      </c>
      <c r="M189" s="66">
        <f t="shared" si="152"/>
        <v>1.2045578659817049E-3</v>
      </c>
      <c r="N189" s="66">
        <f t="shared" si="152"/>
        <v>1.1973525639563162E-3</v>
      </c>
      <c r="O189" s="66">
        <f t="shared" si="152"/>
        <v>1.1630170780418288E-3</v>
      </c>
      <c r="P189" s="66">
        <f t="shared" si="152"/>
        <v>1.1247197922119225E-3</v>
      </c>
      <c r="Q189" s="66">
        <f t="shared" si="152"/>
        <v>1.0828979713383615E-3</v>
      </c>
      <c r="R189" s="66">
        <f t="shared" si="152"/>
        <v>1.0387739664128263E-3</v>
      </c>
      <c r="S189" s="66">
        <f t="shared" si="152"/>
        <v>9.9426310865601344E-4</v>
      </c>
      <c r="T189" s="66">
        <f t="shared" si="152"/>
        <v>9.5266240572329346E-4</v>
      </c>
      <c r="U189" s="66">
        <f t="shared" si="152"/>
        <v>9.1460801472485233E-4</v>
      </c>
      <c r="V189" s="66">
        <f t="shared" si="152"/>
        <v>8.8113267147209122E-4</v>
      </c>
      <c r="W189" s="66">
        <f t="shared" si="152"/>
        <v>8.5240505966035704E-4</v>
      </c>
      <c r="X189" s="66">
        <f t="shared" si="152"/>
        <v>8.2796108561753595E-4</v>
      </c>
      <c r="Y189" s="66">
        <f t="shared" si="152"/>
        <v>8.0762950091197404E-4</v>
      </c>
      <c r="Z189" s="66">
        <f t="shared" si="152"/>
        <v>7.8998408256398915E-4</v>
      </c>
      <c r="AA189" s="66">
        <f t="shared" si="152"/>
        <v>7.7430646409123831E-4</v>
      </c>
      <c r="AB189" s="66">
        <f t="shared" si="152"/>
        <v>7.6002447909895472E-4</v>
      </c>
      <c r="AC189" s="66">
        <f t="shared" si="152"/>
        <v>7.4671054395598381E-4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2.7704612122780282E-2</v>
      </c>
      <c r="C191" s="67">
        <f t="shared" ref="C191:AC191" si="154">C180+C181+C182+C183+C184+C185+C186+C187+C188+C189+C190</f>
        <v>2.7276786260452542E-2</v>
      </c>
      <c r="D191" s="67">
        <f t="shared" si="154"/>
        <v>2.6847387850271541E-2</v>
      </c>
      <c r="E191" s="67">
        <f t="shared" si="154"/>
        <v>2.6562864426850061E-2</v>
      </c>
      <c r="F191" s="67">
        <f t="shared" si="154"/>
        <v>2.6275125070392171E-2</v>
      </c>
      <c r="G191" s="67">
        <f t="shared" si="154"/>
        <v>2.5982853355860439E-2</v>
      </c>
      <c r="H191" s="67">
        <f t="shared" si="154"/>
        <v>2.5684218982168789E-2</v>
      </c>
      <c r="I191" s="67">
        <f t="shared" si="154"/>
        <v>2.5376704130295514E-2</v>
      </c>
      <c r="J191" s="67">
        <f t="shared" si="154"/>
        <v>2.5480271151020872E-2</v>
      </c>
      <c r="K191" s="67">
        <f t="shared" si="154"/>
        <v>2.5565350346154932E-2</v>
      </c>
      <c r="L191" s="67">
        <f t="shared" si="154"/>
        <v>2.5625223608772438E-2</v>
      </c>
      <c r="M191" s="67">
        <f t="shared" si="154"/>
        <v>2.5651620602087057E-2</v>
      </c>
      <c r="N191" s="67">
        <f t="shared" si="154"/>
        <v>2.5635233595032419E-2</v>
      </c>
      <c r="O191" s="67">
        <f t="shared" si="154"/>
        <v>2.5074783237540383E-2</v>
      </c>
      <c r="P191" s="67">
        <f t="shared" si="154"/>
        <v>2.446530343935386E-2</v>
      </c>
      <c r="Q191" s="67">
        <f t="shared" si="154"/>
        <v>2.3810317647076126E-2</v>
      </c>
      <c r="R191" s="67">
        <f t="shared" si="154"/>
        <v>2.3122761313410338E-2</v>
      </c>
      <c r="S191" s="67">
        <f t="shared" si="154"/>
        <v>2.2424668389097346E-2</v>
      </c>
      <c r="T191" s="67">
        <f t="shared" si="154"/>
        <v>2.1768411470960286E-2</v>
      </c>
      <c r="U191" s="67">
        <f t="shared" si="154"/>
        <v>2.1151254240298498E-2</v>
      </c>
      <c r="V191" s="67">
        <f t="shared" si="154"/>
        <v>2.0588078496111439E-2</v>
      </c>
      <c r="W191" s="67">
        <f t="shared" si="154"/>
        <v>2.0083035604313407E-2</v>
      </c>
      <c r="X191" s="67">
        <f t="shared" si="154"/>
        <v>1.9631797839841821E-2</v>
      </c>
      <c r="Y191" s="67">
        <f t="shared" si="154"/>
        <v>1.9239826931317892E-2</v>
      </c>
      <c r="Z191" s="67">
        <f t="shared" si="154"/>
        <v>1.888267749383328E-2</v>
      </c>
      <c r="AA191" s="67">
        <f t="shared" si="154"/>
        <v>1.8551281573668005E-2</v>
      </c>
      <c r="AB191" s="67">
        <f t="shared" si="154"/>
        <v>1.8238279842685313E-2</v>
      </c>
      <c r="AC191" s="67">
        <f t="shared" si="154"/>
        <v>1.7938104362861515E-2</v>
      </c>
    </row>
    <row r="193" spans="2:2" x14ac:dyDescent="0.25">
      <c r="B193" s="40"/>
    </row>
    <row r="215" spans="1:44" s="3" customFormat="1" ht="21" x14ac:dyDescent="0.35">
      <c r="A215" s="2" t="str">
        <f>'Parameter Input'!A235</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Input'!$L$249</f>
        <v>30000000</v>
      </c>
      <c r="C225" s="42">
        <f>'Parameter Input'!$M$249</f>
        <v>18000000</v>
      </c>
      <c r="D225" s="1" t="s">
        <v>15</v>
      </c>
      <c r="L225" s="51">
        <f>'Parameter Input'!$O$249</f>
        <v>17</v>
      </c>
      <c r="M225" s="52">
        <v>0</v>
      </c>
      <c r="N225" s="52">
        <v>1</v>
      </c>
      <c r="O225" s="52">
        <f>'Parameter Input'!$P$249</f>
        <v>0.9</v>
      </c>
      <c r="P225" s="53">
        <f>'Parameter Input'!$Q$249</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Input'!$L$250</f>
        <v>-1500000</v>
      </c>
      <c r="C226" s="61">
        <f>'Parameter Input'!$M$250</f>
        <v>-1800000</v>
      </c>
      <c r="D226" s="1" t="s">
        <v>15</v>
      </c>
      <c r="L226" s="54">
        <f>'Parameter Input'!$O$250</f>
        <v>17</v>
      </c>
      <c r="M226" s="37">
        <v>0</v>
      </c>
      <c r="N226" s="37">
        <v>1</v>
      </c>
      <c r="O226" s="37">
        <f>'Parameter Input'!$P$250</f>
        <v>0.9</v>
      </c>
      <c r="P226" s="55">
        <f>'Parameter Input'!$Q$250</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Input'!$L$256</f>
        <v>0.06</v>
      </c>
      <c r="C229" s="91">
        <f>'Parameter Input'!$M$256</f>
        <v>0.06</v>
      </c>
      <c r="D229" s="1" t="s">
        <v>57</v>
      </c>
      <c r="L229" s="54">
        <f>'Parameter Input'!$O$256</f>
        <v>17</v>
      </c>
      <c r="M229" s="37">
        <v>0</v>
      </c>
      <c r="N229" s="37">
        <v>1</v>
      </c>
      <c r="O229" s="37">
        <f>'Parameter Input'!$P$256</f>
        <v>0.9</v>
      </c>
      <c r="P229" s="55">
        <f>'Parameter Input'!$Q$256</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Input'!$L$252</f>
        <v>338823.5294117647</v>
      </c>
      <c r="C231" s="61">
        <f>'Parameter Input'!$M$252</f>
        <v>338823.5294117647</v>
      </c>
      <c r="D231" s="1" t="s">
        <v>38</v>
      </c>
      <c r="L231" s="54">
        <f>'Parameter Input'!$O$252</f>
        <v>17</v>
      </c>
      <c r="M231" s="37">
        <v>0</v>
      </c>
      <c r="N231" s="37">
        <v>1</v>
      </c>
      <c r="O231" s="37">
        <f>'Parameter Input'!$P$252</f>
        <v>0.9</v>
      </c>
      <c r="P231" s="55">
        <f>'Parameter Input'!$Q$252</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Input'!$L$253</f>
        <v>589</v>
      </c>
      <c r="C233" s="61">
        <f>'Parameter Input'!$M$253</f>
        <v>519</v>
      </c>
      <c r="D233" s="1" t="s">
        <v>60</v>
      </c>
      <c r="L233" s="54">
        <f>'Parameter Input'!$O$253</f>
        <v>17</v>
      </c>
      <c r="M233" s="37">
        <v>0</v>
      </c>
      <c r="N233" s="37">
        <v>1</v>
      </c>
      <c r="O233" s="37">
        <f>'Parameter Input'!$P$253</f>
        <v>0.9</v>
      </c>
      <c r="P233" s="55">
        <f>'Parameter Input'!$Q$253</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Input'!$L$254</f>
        <v>0.23976160758395154</v>
      </c>
      <c r="C234" s="61">
        <f>'Parameter Input'!$M$254</f>
        <v>0.11428118371505049</v>
      </c>
      <c r="D234" s="1" t="s">
        <v>68</v>
      </c>
      <c r="L234" s="54">
        <f>'Parameter Input'!$O$254</f>
        <v>14</v>
      </c>
      <c r="M234" s="37">
        <v>0</v>
      </c>
      <c r="N234" s="37">
        <v>1</v>
      </c>
      <c r="O234" s="37">
        <f>'Parameter Input'!$P$254</f>
        <v>0.9</v>
      </c>
      <c r="P234" s="55">
        <f>'Parameter Input'!$Q$254</f>
        <v>0.4</v>
      </c>
      <c r="Q234" s="4">
        <f t="shared" si="155"/>
        <v>0.99354772139898062</v>
      </c>
      <c r="R234" s="4">
        <f t="shared" si="155"/>
        <v>0.99076681540580536</v>
      </c>
      <c r="S234" s="4">
        <f t="shared" si="155"/>
        <v>0.9867978615748374</v>
      </c>
      <c r="T234" s="4">
        <f t="shared" ref="T234:AI241" si="156">$N234+($M234-$N234)*((1/(1+EXP(-$P234*(T$9-$L234)))^$O234))</f>
        <v>0.98114509762858249</v>
      </c>
      <c r="U234" s="4">
        <f t="shared" si="156"/>
        <v>0.97311898315872036</v>
      </c>
      <c r="V234" s="4">
        <f t="shared" si="156"/>
        <v>0.96177484161592774</v>
      </c>
      <c r="W234" s="4">
        <f t="shared" si="156"/>
        <v>0.94584787155511363</v>
      </c>
      <c r="X234" s="4">
        <f t="shared" si="156"/>
        <v>0.92370360150141495</v>
      </c>
      <c r="Y234" s="4">
        <f t="shared" si="156"/>
        <v>0.89334463567658451</v>
      </c>
      <c r="Z234" s="4">
        <f t="shared" si="156"/>
        <v>0.85254543874327005</v>
      </c>
      <c r="AA234" s="4">
        <f t="shared" si="156"/>
        <v>0.79921300652623883</v>
      </c>
      <c r="AB234" s="4">
        <f t="shared" si="156"/>
        <v>0.73204982249993378</v>
      </c>
      <c r="AC234" s="4">
        <f t="shared" si="156"/>
        <v>0.65145592958786691</v>
      </c>
      <c r="AD234" s="4">
        <f t="shared" si="156"/>
        <v>0.56032247880849573</v>
      </c>
      <c r="AE234" s="4">
        <f t="shared" si="156"/>
        <v>0.46411326873185343</v>
      </c>
      <c r="AF234" s="4">
        <f t="shared" si="156"/>
        <v>0.36979727595523937</v>
      </c>
      <c r="AG234" s="4">
        <f t="shared" si="156"/>
        <v>0.28393948637231203</v>
      </c>
      <c r="AH234" s="4">
        <f t="shared" si="156"/>
        <v>0.21097259161117732</v>
      </c>
      <c r="AI234" s="4">
        <f t="shared" si="156"/>
        <v>0.15253917653798199</v>
      </c>
      <c r="AJ234" s="4">
        <f t="shared" ref="AJ234:AR241" si="157">$N234+($M234-$N234)*((1/(1+EXP(-$P234*(AJ$9-$L234)))^$O234))</f>
        <v>0.10795188737709993</v>
      </c>
      <c r="AK234" s="4">
        <f t="shared" si="157"/>
        <v>7.5176653938091809E-2</v>
      </c>
      <c r="AL234" s="4">
        <f t="shared" si="157"/>
        <v>5.1742836177502194E-2</v>
      </c>
      <c r="AM234" s="4">
        <f t="shared" si="157"/>
        <v>3.5319190625345942E-2</v>
      </c>
      <c r="AN234" s="4">
        <f t="shared" si="157"/>
        <v>2.3969442072658165E-2</v>
      </c>
      <c r="AO234" s="4">
        <f t="shared" si="157"/>
        <v>1.6202243558389728E-2</v>
      </c>
      <c r="AP234" s="4">
        <f t="shared" si="157"/>
        <v>1.0922240564108399E-2</v>
      </c>
      <c r="AQ234" s="4">
        <f t="shared" si="157"/>
        <v>7.3493212906090566E-3</v>
      </c>
      <c r="AR234" s="4">
        <f t="shared" si="157"/>
        <v>4.9390262185057265E-3</v>
      </c>
    </row>
    <row r="235" spans="1:44" x14ac:dyDescent="0.25">
      <c r="A235" s="24" t="s">
        <v>206</v>
      </c>
      <c r="B235" s="115">
        <f>'Parameter Input'!$L$257</f>
        <v>0</v>
      </c>
      <c r="C235" s="116">
        <f>'Parameter Input'!$M$257</f>
        <v>0</v>
      </c>
      <c r="D235" s="1" t="s">
        <v>76</v>
      </c>
      <c r="L235" s="54">
        <f>'Parameter Input'!$O$257</f>
        <v>17</v>
      </c>
      <c r="M235" s="37">
        <v>0</v>
      </c>
      <c r="N235" s="37">
        <v>1</v>
      </c>
      <c r="O235" s="37">
        <f>'Parameter Input'!$P$257</f>
        <v>0.9</v>
      </c>
      <c r="P235" s="55">
        <f>'Parameter Input'!$Q$257</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Input'!$L$251</f>
        <v>25</v>
      </c>
      <c r="C236" s="61">
        <f>'Parameter Input'!$M$251</f>
        <v>25</v>
      </c>
      <c r="D236" s="1" t="s">
        <v>42</v>
      </c>
      <c r="L236" s="54">
        <f>'Parameter Input'!$O$251</f>
        <v>17</v>
      </c>
      <c r="M236" s="37">
        <v>0</v>
      </c>
      <c r="N236" s="37">
        <v>1</v>
      </c>
      <c r="O236" s="37">
        <f>'Parameter Input'!$P$251</f>
        <v>0.9</v>
      </c>
      <c r="P236" s="55">
        <f>'Parameter Input'!$Q$251</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Input'!$L$255</f>
        <v>0.08</v>
      </c>
      <c r="C240" s="46">
        <f>'Parameter Input'!$M$255</f>
        <v>7.0000000000000007E-2</v>
      </c>
      <c r="D240" s="1" t="s">
        <v>57</v>
      </c>
      <c r="L240" s="54">
        <f>'Parameter Input'!$O$255</f>
        <v>17</v>
      </c>
      <c r="M240" s="37">
        <v>0</v>
      </c>
      <c r="N240" s="37">
        <v>1</v>
      </c>
      <c r="O240" s="37">
        <f>'Parameter Input'!$P$255</f>
        <v>0.9</v>
      </c>
      <c r="P240" s="55">
        <f>'Parameter Input'!$Q$255</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29973644.945217423</v>
      </c>
      <c r="C245" s="62">
        <f t="shared" ref="C245:C253" si="162">$B225+($C225-$B225)*(1-R225)</f>
        <v>29962243.117830768</v>
      </c>
      <c r="D245" s="62">
        <f t="shared" ref="D245:D253" si="163">$B225+($C225-$B225)*(1-S225)</f>
        <v>29945921.655881997</v>
      </c>
      <c r="E245" s="62">
        <f t="shared" ref="E245:E253" si="164">$B225+($C225-$B225)*(1-T225)</f>
        <v>29922572.656787768</v>
      </c>
      <c r="F245" s="62">
        <f t="shared" ref="F245:F253" si="165">$B225+($C225-$B225)*(1-U225)</f>
        <v>29889201.784869663</v>
      </c>
      <c r="G245" s="62">
        <f t="shared" ref="G245:G253" si="166">$B225+($C225-$B225)*(1-V225)</f>
        <v>29841574.338898048</v>
      </c>
      <c r="H245" s="62">
        <f t="shared" ref="H245:H253" si="167">$B225+($C225-$B225)*(1-W225)</f>
        <v>29773741.171542991</v>
      </c>
      <c r="I245" s="62">
        <f t="shared" ref="I245:I253" si="168">$B225+($C225-$B225)*(1-X225)</f>
        <v>29677427.797904644</v>
      </c>
      <c r="J245" s="62">
        <f t="shared" ref="J245:J253" si="169">$B225+($C225-$B225)*(1-Y225)</f>
        <v>29541298.099391133</v>
      </c>
      <c r="K245" s="62">
        <f t="shared" ref="K245:K253" si="170">$B225+($C225-$B225)*(1-Z225)</f>
        <v>29350174.458661363</v>
      </c>
      <c r="L245" s="62">
        <f t="shared" ref="L245:L253" si="171">$B225+($C225-$B225)*(1-AA225)</f>
        <v>29084443.218016978</v>
      </c>
      <c r="M245" s="62">
        <f t="shared" ref="M245:M253" si="172">$B225+($C225-$B225)*(1-AB225)</f>
        <v>28720135.628119014</v>
      </c>
      <c r="N245" s="62">
        <f t="shared" ref="N245:N253" si="173">$B225+($C225-$B225)*(1-AC225)</f>
        <v>28230545.26491924</v>
      </c>
      <c r="O245" s="62">
        <f t="shared" ref="O245:O253" si="174">$B225+($C225-$B225)*(1-AD225)</f>
        <v>27590556.078314867</v>
      </c>
      <c r="P245" s="62">
        <f t="shared" ref="P245:P253" si="175">$B225+($C225-$B225)*(1-AE225)</f>
        <v>26784597.869999204</v>
      </c>
      <c r="Q245" s="62">
        <f t="shared" ref="Q245:Q253" si="176">$B225+($C225-$B225)*(1-AF225)</f>
        <v>25817471.155054402</v>
      </c>
      <c r="R245" s="62">
        <f t="shared" ref="R245:R253" si="177">$B225+($C225-$B225)*(1-AG225)</f>
        <v>24723869.74570195</v>
      </c>
      <c r="S245" s="62">
        <f t="shared" ref="S245:S253" si="178">$B225+($C225-$B225)*(1-AH225)</f>
        <v>23569359.224782243</v>
      </c>
      <c r="T245" s="62">
        <f t="shared" ref="T245:T253" si="179">$B225+($C225-$B225)*(1-AI225)</f>
        <v>22437567.311462872</v>
      </c>
      <c r="U245" s="62">
        <f t="shared" ref="U245:U253" si="180">$B225+($C225-$B225)*(1-AJ225)</f>
        <v>21407273.836467743</v>
      </c>
      <c r="V245" s="62">
        <f t="shared" ref="V245:V253" si="181">$B225+($C225-$B225)*(1-AK225)</f>
        <v>20531671.099334128</v>
      </c>
      <c r="W245" s="62">
        <f t="shared" ref="W245:W253" si="182">$B225+($C225-$B225)*(1-AL225)</f>
        <v>19830470.118455783</v>
      </c>
      <c r="X245" s="62">
        <f t="shared" ref="X245:X253" si="183">$B225+($C225-$B225)*(1-AM225)</f>
        <v>19295422.648525201</v>
      </c>
      <c r="Y245" s="62">
        <f t="shared" ref="Y245:Y253" si="184">$B225+($C225-$B225)*(1-AN225)</f>
        <v>18902119.8472571</v>
      </c>
      <c r="Z245" s="62">
        <f t="shared" ref="Z245:Z253" si="185">$B225+($C225-$B225)*(1-AO225)</f>
        <v>18620914.034130026</v>
      </c>
      <c r="AA245" s="62">
        <f t="shared" ref="AA245:AA253" si="186">$B225+($C225-$B225)*(1-AP225)</f>
        <v>18423830.287504151</v>
      </c>
      <c r="AB245" s="62">
        <f t="shared" ref="AB245:AB253" si="187">$B225+($C225-$B225)*(1-AQ225)</f>
        <v>18287633.304871898</v>
      </c>
      <c r="AC245" s="62">
        <f t="shared" ref="AC245:AC253" si="188">$B225+($C225-$B225)*(1-AR225)</f>
        <v>18194426.922700677</v>
      </c>
    </row>
    <row r="246" spans="1:44" x14ac:dyDescent="0.25">
      <c r="A246" s="30" t="str">
        <f t="shared" si="160"/>
        <v>Residual value (vehicle)</v>
      </c>
      <c r="B246" s="62">
        <f t="shared" si="161"/>
        <v>-1500658.8763695643</v>
      </c>
      <c r="C246" s="62">
        <f t="shared" si="162"/>
        <v>-1500943.9220542307</v>
      </c>
      <c r="D246" s="62">
        <f t="shared" si="163"/>
        <v>-1501351.95860295</v>
      </c>
      <c r="E246" s="62">
        <f t="shared" si="164"/>
        <v>-1501935.6835803059</v>
      </c>
      <c r="F246" s="62">
        <f t="shared" si="165"/>
        <v>-1502769.9553782584</v>
      </c>
      <c r="G246" s="62">
        <f t="shared" si="166"/>
        <v>-1503960.6415275487</v>
      </c>
      <c r="H246" s="62">
        <f t="shared" si="167"/>
        <v>-1505656.4707114252</v>
      </c>
      <c r="I246" s="62">
        <f t="shared" si="168"/>
        <v>-1508064.3050523838</v>
      </c>
      <c r="J246" s="62">
        <f t="shared" si="169"/>
        <v>-1511467.5475152216</v>
      </c>
      <c r="K246" s="62">
        <f t="shared" si="170"/>
        <v>-1516245.6385334658</v>
      </c>
      <c r="L246" s="62">
        <f t="shared" si="171"/>
        <v>-1522888.9195495755</v>
      </c>
      <c r="M246" s="62">
        <f t="shared" si="172"/>
        <v>-1531996.6092970246</v>
      </c>
      <c r="N246" s="62">
        <f t="shared" si="173"/>
        <v>-1544236.368377019</v>
      </c>
      <c r="O246" s="62">
        <f t="shared" si="174"/>
        <v>-1560236.0980421284</v>
      </c>
      <c r="P246" s="62">
        <f t="shared" si="175"/>
        <v>-1580385.0532500199</v>
      </c>
      <c r="Q246" s="62">
        <f t="shared" si="176"/>
        <v>-1604563.22112364</v>
      </c>
      <c r="R246" s="62">
        <f t="shared" si="177"/>
        <v>-1631903.2563574512</v>
      </c>
      <c r="S246" s="62">
        <f t="shared" si="178"/>
        <v>-1660766.019380444</v>
      </c>
      <c r="T246" s="62">
        <f t="shared" si="179"/>
        <v>-1689060.8172134282</v>
      </c>
      <c r="U246" s="62">
        <f t="shared" si="180"/>
        <v>-1714818.1540883065</v>
      </c>
      <c r="V246" s="62">
        <f t="shared" si="181"/>
        <v>-1736708.2225166468</v>
      </c>
      <c r="W246" s="62">
        <f t="shared" si="182"/>
        <v>-1754238.2470386054</v>
      </c>
      <c r="X246" s="62">
        <f t="shared" si="183"/>
        <v>-1767614.43378687</v>
      </c>
      <c r="Y246" s="62">
        <f t="shared" si="184"/>
        <v>-1777447.0038185725</v>
      </c>
      <c r="Z246" s="62">
        <f t="shared" si="185"/>
        <v>-1784477.1491467494</v>
      </c>
      <c r="AA246" s="62">
        <f t="shared" si="186"/>
        <v>-1789404.2428123963</v>
      </c>
      <c r="AB246" s="62">
        <f t="shared" si="187"/>
        <v>-1792809.1673782025</v>
      </c>
      <c r="AC246" s="62">
        <f t="shared" si="188"/>
        <v>-1795139.3269324831</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Input'!J6</f>
        <v>0.18104231880665794</v>
      </c>
      <c r="C254" s="62">
        <f>'Parameter Input'!K6</f>
        <v>0.17732719010569079</v>
      </c>
      <c r="D254" s="62">
        <f>'Parameter Input'!L6</f>
        <v>0.17361206140472354</v>
      </c>
      <c r="E254" s="62">
        <f>'Parameter Input'!M6</f>
        <v>0.17118675002498271</v>
      </c>
      <c r="F254" s="62">
        <f>'Parameter Input'!N6</f>
        <v>0.16876143864524187</v>
      </c>
      <c r="G254" s="62">
        <f>'Parameter Input'!O6</f>
        <v>0.16633612726550104</v>
      </c>
      <c r="H254" s="62">
        <f>'Parameter Input'!P6</f>
        <v>0.1639108158857602</v>
      </c>
      <c r="I254" s="62">
        <f>'Parameter Input'!Q6</f>
        <v>0.16148550450601945</v>
      </c>
      <c r="J254" s="62">
        <f>'Parameter Input'!R6</f>
        <v>0.1627875388918204</v>
      </c>
      <c r="K254" s="62">
        <f>'Parameter Input'!S6</f>
        <v>0.16408957327762139</v>
      </c>
      <c r="L254" s="62">
        <f>'Parameter Input'!T6</f>
        <v>0.16539160766342234</v>
      </c>
      <c r="M254" s="62">
        <f>'Parameter Input'!U6</f>
        <v>0.16669364204922332</v>
      </c>
      <c r="N254" s="62">
        <f>'Parameter Input'!V6</f>
        <v>0.16799567643502425</v>
      </c>
      <c r="O254" s="62">
        <f>'Parameter Input'!W6</f>
        <v>0.16487244686609676</v>
      </c>
      <c r="P254" s="62">
        <f>'Parameter Input'!X6</f>
        <v>0.16174921729716923</v>
      </c>
      <c r="Q254" s="62">
        <f>'Parameter Input'!Y6</f>
        <v>0.15862598772824177</v>
      </c>
      <c r="R254" s="62">
        <f>'Parameter Input'!Z6</f>
        <v>0.15550275815931427</v>
      </c>
      <c r="S254" s="62">
        <f>'Parameter Input'!AA6</f>
        <v>0.15237952859038681</v>
      </c>
      <c r="T254" s="62">
        <f>'Parameter Input'!AB6</f>
        <v>0.14950198735980291</v>
      </c>
      <c r="U254" s="62">
        <f>'Parameter Input'!AC6</f>
        <v>0.14662444612921899</v>
      </c>
      <c r="V254" s="62">
        <f>'Parameter Input'!AD6</f>
        <v>0.14374690489863506</v>
      </c>
      <c r="W254" s="62">
        <f>'Parameter Input'!AE6</f>
        <v>0.14086936366805117</v>
      </c>
      <c r="X254" s="62">
        <f>'Parameter Input'!AF6</f>
        <v>0.13799182243746722</v>
      </c>
      <c r="Y254" s="62">
        <f>'Parameter Input'!AG6</f>
        <v>0.1352562604095163</v>
      </c>
      <c r="Z254" s="62">
        <f>'Parameter Input'!AH6</f>
        <v>0.13252069838156535</v>
      </c>
      <c r="AA254" s="62">
        <f>'Parameter Input'!AI6</f>
        <v>0.12978513635361441</v>
      </c>
      <c r="AB254" s="62">
        <f>'Parameter Input'!AJ6</f>
        <v>0.12704957432566347</v>
      </c>
      <c r="AC254" s="62">
        <f>'Parameter Input'!AK6</f>
        <v>0.12431401229771254</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755.79245394358725</v>
      </c>
      <c r="C260" s="62">
        <f t="shared" si="194"/>
        <v>755.70266455291733</v>
      </c>
      <c r="D260" s="62">
        <f t="shared" si="194"/>
        <v>755.57413304007082</v>
      </c>
      <c r="E260" s="62">
        <f t="shared" si="194"/>
        <v>755.39025967220368</v>
      </c>
      <c r="F260" s="62">
        <f t="shared" si="194"/>
        <v>755.12746405584869</v>
      </c>
      <c r="G260" s="62">
        <f t="shared" si="194"/>
        <v>754.75239791882211</v>
      </c>
      <c r="H260" s="62">
        <f t="shared" si="194"/>
        <v>754.21821172590103</v>
      </c>
      <c r="I260" s="62">
        <f t="shared" si="194"/>
        <v>753.45974390849915</v>
      </c>
      <c r="J260" s="62">
        <f t="shared" si="194"/>
        <v>752.3877225327052</v>
      </c>
      <c r="K260" s="62">
        <f t="shared" si="194"/>
        <v>750.88262386195834</v>
      </c>
      <c r="L260" s="62">
        <f t="shared" si="195"/>
        <v>748.78999034188371</v>
      </c>
      <c r="M260" s="62">
        <f t="shared" si="195"/>
        <v>745.92106807143728</v>
      </c>
      <c r="N260" s="62">
        <f t="shared" si="195"/>
        <v>742.06554396123909</v>
      </c>
      <c r="O260" s="62">
        <f t="shared" si="195"/>
        <v>737.02562911672953</v>
      </c>
      <c r="P260" s="62">
        <f t="shared" si="195"/>
        <v>730.67870822624377</v>
      </c>
      <c r="Q260" s="62">
        <f t="shared" si="195"/>
        <v>723.06258534605354</v>
      </c>
      <c r="R260" s="62">
        <f t="shared" si="195"/>
        <v>714.45047424740278</v>
      </c>
      <c r="S260" s="62">
        <f t="shared" si="195"/>
        <v>705.35870389516015</v>
      </c>
      <c r="T260" s="62">
        <f t="shared" si="195"/>
        <v>696.44584257777012</v>
      </c>
      <c r="U260" s="62">
        <f t="shared" si="195"/>
        <v>688.33228146218346</v>
      </c>
      <c r="V260" s="62">
        <f t="shared" si="196"/>
        <v>681.43690990725634</v>
      </c>
      <c r="W260" s="62">
        <f t="shared" si="196"/>
        <v>675.91495218283933</v>
      </c>
      <c r="X260" s="62">
        <f t="shared" si="196"/>
        <v>671.70145335713607</v>
      </c>
      <c r="Y260" s="62">
        <f t="shared" si="196"/>
        <v>668.60419379714972</v>
      </c>
      <c r="Z260" s="62">
        <f t="shared" si="196"/>
        <v>666.38969801877408</v>
      </c>
      <c r="AA260" s="62">
        <f t="shared" si="196"/>
        <v>664.83766351409531</v>
      </c>
      <c r="AB260" s="62">
        <f t="shared" si="196"/>
        <v>663.76511227586627</v>
      </c>
      <c r="AC260" s="62">
        <f t="shared" si="196"/>
        <v>663.03111201626791</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8">((1+C249)^C256)*C249/(((1+C249)^C256)-1)*(C245)</f>
        <v>2343847.949386192</v>
      </c>
      <c r="D264" s="63">
        <f t="shared" si="198"/>
        <v>2342571.1749815131</v>
      </c>
      <c r="E264" s="63">
        <f t="shared" si="198"/>
        <v>2340744.6594088301</v>
      </c>
      <c r="F264" s="63">
        <f t="shared" si="198"/>
        <v>2338134.1656147949</v>
      </c>
      <c r="G264" s="63">
        <f t="shared" si="198"/>
        <v>2334408.426819603</v>
      </c>
      <c r="H264" s="63">
        <f t="shared" si="198"/>
        <v>2329102.0607514726</v>
      </c>
      <c r="I264" s="63">
        <f t="shared" si="198"/>
        <v>2321567.7816117923</v>
      </c>
      <c r="J264" s="63">
        <f t="shared" si="198"/>
        <v>2310918.8020458543</v>
      </c>
      <c r="K264" s="63">
        <f t="shared" si="198"/>
        <v>2295967.8268587827</v>
      </c>
      <c r="L264" s="63">
        <f t="shared" si="198"/>
        <v>2275180.5439766962</v>
      </c>
      <c r="M264" s="63">
        <f t="shared" si="198"/>
        <v>2246681.9567991556</v>
      </c>
      <c r="N264" s="63">
        <f t="shared" si="198"/>
        <v>2208382.9094176819</v>
      </c>
      <c r="O264" s="63">
        <f t="shared" si="198"/>
        <v>2158318.6556582791</v>
      </c>
      <c r="P264" s="63">
        <f t="shared" si="198"/>
        <v>2095271.1900055008</v>
      </c>
      <c r="Q264" s="63">
        <f t="shared" si="198"/>
        <v>2019616.0409999515</v>
      </c>
      <c r="R264" s="63">
        <f t="shared" si="198"/>
        <v>1934067.1917139916</v>
      </c>
      <c r="S264" s="63">
        <f t="shared" si="198"/>
        <v>1843753.6225209001</v>
      </c>
      <c r="T264" s="63">
        <f t="shared" si="198"/>
        <v>1755217.2554427353</v>
      </c>
      <c r="U264" s="63">
        <f t="shared" si="198"/>
        <v>1674620.7780983469</v>
      </c>
      <c r="V264" s="63">
        <f t="shared" si="198"/>
        <v>1606125.2495146997</v>
      </c>
      <c r="W264" s="63">
        <f t="shared" si="198"/>
        <v>1551272.5979733593</v>
      </c>
      <c r="X264" s="63">
        <f t="shared" si="198"/>
        <v>1509417.5903129096</v>
      </c>
      <c r="Y264" s="63">
        <f t="shared" si="198"/>
        <v>1478650.8029060119</v>
      </c>
      <c r="Z264" s="63">
        <f t="shared" si="198"/>
        <v>1456652.995002867</v>
      </c>
      <c r="AA264" s="63">
        <f t="shared" si="198"/>
        <v>1441235.7802913454</v>
      </c>
      <c r="AB264" s="63">
        <f t="shared" si="198"/>
        <v>1430581.5373096101</v>
      </c>
      <c r="AC264" s="63">
        <f t="shared" si="198"/>
        <v>1423290.3079159164</v>
      </c>
    </row>
    <row r="265" spans="1:29" x14ac:dyDescent="0.25">
      <c r="A265" s="30" t="str">
        <f>A246</f>
        <v>Residual value (vehicle)</v>
      </c>
      <c r="B265" s="62">
        <f>((1+B249)^B256)*B249/(((1+B249)^B256)-1)*(B246)</f>
        <v>-117391.61905450956</v>
      </c>
      <c r="C265" s="62">
        <f t="shared" ref="C265:AC265" si="199">((1+C249)^C256)*C249/(((1+C249)^C256)-1)*(C246)</f>
        <v>-117413.91724296159</v>
      </c>
      <c r="D265" s="62">
        <f t="shared" si="199"/>
        <v>-117445.83660307855</v>
      </c>
      <c r="E265" s="62">
        <f t="shared" si="199"/>
        <v>-117491.49949239564</v>
      </c>
      <c r="F265" s="62">
        <f t="shared" si="199"/>
        <v>-117556.76183724651</v>
      </c>
      <c r="G265" s="62">
        <f t="shared" si="199"/>
        <v>-117649.9053071263</v>
      </c>
      <c r="H265" s="62">
        <f t="shared" si="199"/>
        <v>-117782.56445882957</v>
      </c>
      <c r="I265" s="62">
        <f t="shared" si="199"/>
        <v>-117970.92143732157</v>
      </c>
      <c r="J265" s="62">
        <f t="shared" si="199"/>
        <v>-118237.14592647002</v>
      </c>
      <c r="K265" s="62">
        <f t="shared" si="199"/>
        <v>-118610.92030614681</v>
      </c>
      <c r="L265" s="62">
        <f t="shared" si="199"/>
        <v>-119130.60237819898</v>
      </c>
      <c r="M265" s="62">
        <f t="shared" si="199"/>
        <v>-119843.06705763748</v>
      </c>
      <c r="N265" s="62">
        <f t="shared" si="199"/>
        <v>-120800.54324217433</v>
      </c>
      <c r="O265" s="62">
        <f t="shared" si="199"/>
        <v>-122052.1495861594</v>
      </c>
      <c r="P265" s="62">
        <f t="shared" si="199"/>
        <v>-123628.33622747887</v>
      </c>
      <c r="Q265" s="62">
        <f t="shared" si="199"/>
        <v>-125519.71495261759</v>
      </c>
      <c r="R265" s="62">
        <f t="shared" si="199"/>
        <v>-127658.43618476659</v>
      </c>
      <c r="S265" s="62">
        <f t="shared" si="199"/>
        <v>-129916.27541459388</v>
      </c>
      <c r="T265" s="62">
        <f t="shared" si="199"/>
        <v>-132129.68459154799</v>
      </c>
      <c r="U265" s="62">
        <f t="shared" si="199"/>
        <v>-134144.59652515771</v>
      </c>
      <c r="V265" s="62">
        <f t="shared" si="199"/>
        <v>-135856.98473974891</v>
      </c>
      <c r="W265" s="62">
        <f t="shared" si="199"/>
        <v>-137228.30102828241</v>
      </c>
      <c r="X265" s="62">
        <f t="shared" si="199"/>
        <v>-138274.67621979365</v>
      </c>
      <c r="Y265" s="62">
        <f t="shared" si="199"/>
        <v>-139043.84590496609</v>
      </c>
      <c r="Z265" s="62">
        <f t="shared" si="199"/>
        <v>-139593.79110254472</v>
      </c>
      <c r="AA265" s="62">
        <f t="shared" si="199"/>
        <v>-139979.22147033276</v>
      </c>
      <c r="AB265" s="62">
        <f t="shared" si="199"/>
        <v>-140245.57754487614</v>
      </c>
      <c r="AC265" s="62">
        <f t="shared" si="199"/>
        <v>-140427.85827971846</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12792731.127093505</v>
      </c>
      <c r="C271" s="62">
        <f t="shared" ref="C271:AC271" si="205">C253*C254*C261</f>
        <v>12528799.071394671</v>
      </c>
      <c r="D271" s="62">
        <f t="shared" si="205"/>
        <v>12264328.443126084</v>
      </c>
      <c r="E271" s="62">
        <f t="shared" si="205"/>
        <v>12090201.317092478</v>
      </c>
      <c r="F271" s="62">
        <f t="shared" si="205"/>
        <v>11914969.557116391</v>
      </c>
      <c r="G271" s="62">
        <f t="shared" si="205"/>
        <v>11738191.13747659</v>
      </c>
      <c r="H271" s="62">
        <f t="shared" si="205"/>
        <v>11559256.07838391</v>
      </c>
      <c r="I271" s="62">
        <f t="shared" si="205"/>
        <v>11377331.944128966</v>
      </c>
      <c r="J271" s="62">
        <f t="shared" si="205"/>
        <v>11453553.581434283</v>
      </c>
      <c r="K271" s="62">
        <f t="shared" si="205"/>
        <v>11523210.322214071</v>
      </c>
      <c r="L271" s="62">
        <f t="shared" si="205"/>
        <v>11583881.043995168</v>
      </c>
      <c r="M271" s="62">
        <f t="shared" si="205"/>
        <v>11632564.942604586</v>
      </c>
      <c r="N271" s="62">
        <f t="shared" si="205"/>
        <v>11665851.888828779</v>
      </c>
      <c r="O271" s="62">
        <f t="shared" si="205"/>
        <v>11375108.904027309</v>
      </c>
      <c r="P271" s="62">
        <f t="shared" si="205"/>
        <v>11068372.534087626</v>
      </c>
      <c r="Q271" s="62">
        <f t="shared" si="205"/>
        <v>10747264.374170177</v>
      </c>
      <c r="R271" s="62">
        <f t="shared" si="205"/>
        <v>10416617.981834527</v>
      </c>
      <c r="S271" s="62">
        <f t="shared" si="205"/>
        <v>10084256.473865278</v>
      </c>
      <c r="T271" s="62">
        <f t="shared" si="205"/>
        <v>9775381.3652431425</v>
      </c>
      <c r="U271" s="62">
        <f t="shared" si="205"/>
        <v>9481483.2522856221</v>
      </c>
      <c r="V271" s="62">
        <f t="shared" si="205"/>
        <v>9207301.1564124171</v>
      </c>
      <c r="W271" s="62">
        <f t="shared" si="205"/>
        <v>8953843.9818064012</v>
      </c>
      <c r="X271" s="62">
        <f t="shared" si="205"/>
        <v>8719261.1138731912</v>
      </c>
      <c r="Y271" s="62">
        <f t="shared" si="205"/>
        <v>8509172.0481915157</v>
      </c>
      <c r="Z271" s="62">
        <f t="shared" si="205"/>
        <v>8310987.8682103679</v>
      </c>
      <c r="AA271" s="62">
        <f t="shared" si="205"/>
        <v>8121523.1022612676</v>
      </c>
      <c r="AB271" s="62">
        <f t="shared" si="205"/>
        <v>7938228.0712644216</v>
      </c>
      <c r="AC271" s="62">
        <f t="shared" si="205"/>
        <v>7759195.6795032695</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16735078.937799945</v>
      </c>
      <c r="C273" s="64">
        <f t="shared" ref="C273:AC273" si="207">C264+C265+C266+C267+C268+C269+C270+C271+C272</f>
        <v>16470232.656374577</v>
      </c>
      <c r="D273" s="64">
        <f t="shared" si="207"/>
        <v>16204453.334341194</v>
      </c>
      <c r="E273" s="64">
        <f t="shared" si="207"/>
        <v>16028454.02984559</v>
      </c>
      <c r="F273" s="64">
        <f t="shared" si="207"/>
        <v>15850546.513730615</v>
      </c>
      <c r="G273" s="64">
        <f t="shared" si="207"/>
        <v>15669949.211825743</v>
      </c>
      <c r="H273" s="64">
        <f t="shared" si="207"/>
        <v>15485575.12751323</v>
      </c>
      <c r="I273" s="64">
        <f t="shared" si="207"/>
        <v>15295928.357140113</v>
      </c>
      <c r="J273" s="64">
        <f t="shared" si="207"/>
        <v>15361234.790390344</v>
      </c>
      <c r="K273" s="64">
        <f t="shared" si="207"/>
        <v>15415566.781603383</v>
      </c>
      <c r="L273" s="64">
        <f t="shared" si="207"/>
        <v>15454930.538430342</v>
      </c>
      <c r="M273" s="64">
        <f t="shared" si="207"/>
        <v>15474403.385182781</v>
      </c>
      <c r="N273" s="64">
        <f t="shared" si="207"/>
        <v>15468433.807840962</v>
      </c>
      <c r="O273" s="64">
        <f t="shared" si="207"/>
        <v>15126374.962936105</v>
      </c>
      <c r="P273" s="64">
        <f t="shared" si="207"/>
        <v>14755014.940702325</v>
      </c>
      <c r="Q273" s="64">
        <f t="shared" si="207"/>
        <v>14356360.253054187</v>
      </c>
      <c r="R273" s="64">
        <f t="shared" si="207"/>
        <v>13938026.290200429</v>
      </c>
      <c r="S273" s="64">
        <f t="shared" si="207"/>
        <v>13513093.373808261</v>
      </c>
      <c r="T273" s="64">
        <f t="shared" si="207"/>
        <v>13113468.488931006</v>
      </c>
      <c r="U273" s="64">
        <f t="shared" si="207"/>
        <v>12736958.986695487</v>
      </c>
      <c r="V273" s="64">
        <f t="shared" si="207"/>
        <v>12392568.974024044</v>
      </c>
      <c r="W273" s="64">
        <f t="shared" si="207"/>
        <v>12082887.831588155</v>
      </c>
      <c r="X273" s="64">
        <f t="shared" si="207"/>
        <v>11805403.580802983</v>
      </c>
      <c r="Y273" s="64">
        <f t="shared" si="207"/>
        <v>11563778.558029238</v>
      </c>
      <c r="Z273" s="64">
        <f t="shared" si="207"/>
        <v>11343046.624947367</v>
      </c>
      <c r="AA273" s="64">
        <f t="shared" si="207"/>
        <v>11137779.213918956</v>
      </c>
      <c r="AB273" s="64">
        <f t="shared" si="207"/>
        <v>10943563.583865833</v>
      </c>
      <c r="AC273" s="64">
        <f t="shared" si="207"/>
        <v>10757057.681976143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19.539498974368939</v>
      </c>
      <c r="C276" s="65">
        <f t="shared" ref="C276:AC276" si="209">((1+C249)^C256)*C249/(((1+C249)^C256)-1)*(C245)/C261</f>
        <v>19.532066244884934</v>
      </c>
      <c r="D276" s="65">
        <f t="shared" si="209"/>
        <v>19.521426458179274</v>
      </c>
      <c r="E276" s="65">
        <f t="shared" si="209"/>
        <v>19.506205495073583</v>
      </c>
      <c r="F276" s="65">
        <f t="shared" si="209"/>
        <v>19.484451380123293</v>
      </c>
      <c r="G276" s="65">
        <f t="shared" si="209"/>
        <v>19.453403556830025</v>
      </c>
      <c r="H276" s="65">
        <f t="shared" si="209"/>
        <v>19.409183839595606</v>
      </c>
      <c r="I276" s="65">
        <f t="shared" si="209"/>
        <v>19.346398180098269</v>
      </c>
      <c r="J276" s="65">
        <f t="shared" si="209"/>
        <v>19.257656683715453</v>
      </c>
      <c r="K276" s="65">
        <f t="shared" si="209"/>
        <v>19.133065223823188</v>
      </c>
      <c r="L276" s="65">
        <f t="shared" si="209"/>
        <v>18.959837866472469</v>
      </c>
      <c r="M276" s="65">
        <f t="shared" si="209"/>
        <v>18.722349639992963</v>
      </c>
      <c r="N276" s="65">
        <f t="shared" si="209"/>
        <v>18.403190911814015</v>
      </c>
      <c r="O276" s="65">
        <f t="shared" si="209"/>
        <v>17.985988797152327</v>
      </c>
      <c r="P276" s="65">
        <f t="shared" si="209"/>
        <v>17.460593250045839</v>
      </c>
      <c r="Q276" s="65">
        <f t="shared" si="209"/>
        <v>16.830133674999598</v>
      </c>
      <c r="R276" s="65">
        <f t="shared" si="209"/>
        <v>16.117226597616597</v>
      </c>
      <c r="S276" s="65">
        <f t="shared" si="209"/>
        <v>15.364613521007501</v>
      </c>
      <c r="T276" s="65">
        <f t="shared" si="209"/>
        <v>14.626810462022794</v>
      </c>
      <c r="U276" s="65">
        <f t="shared" si="209"/>
        <v>13.955173150819558</v>
      </c>
      <c r="V276" s="65">
        <f t="shared" si="209"/>
        <v>13.384377079289164</v>
      </c>
      <c r="W276" s="65">
        <f t="shared" si="209"/>
        <v>12.927271649777994</v>
      </c>
      <c r="X276" s="65">
        <f t="shared" si="209"/>
        <v>12.578479919274246</v>
      </c>
      <c r="Y276" s="65">
        <f t="shared" si="209"/>
        <v>12.322090024216767</v>
      </c>
      <c r="Z276" s="65">
        <f t="shared" si="209"/>
        <v>12.138774958357224</v>
      </c>
      <c r="AA276" s="65">
        <f t="shared" si="209"/>
        <v>12.010298169094545</v>
      </c>
      <c r="AB276" s="65">
        <f t="shared" si="209"/>
        <v>11.921512810913416</v>
      </c>
      <c r="AC276" s="65">
        <f t="shared" si="209"/>
        <v>11.860752565965971</v>
      </c>
    </row>
    <row r="277" spans="1:29" x14ac:dyDescent="0.25">
      <c r="A277" s="30" t="str">
        <f t="shared" si="208"/>
        <v>Residual value (vehicle)</v>
      </c>
      <c r="B277" s="66">
        <f>((1+B249)^B256)*B249/(((1+B249)^B256)-1)*(B246)/B261</f>
        <v>-0.97826349212091301</v>
      </c>
      <c r="C277" s="66">
        <f t="shared" ref="C277:AC277" si="210">((1+C249)^C256)*C249/(((1+C249)^C256)-1)*(C246)/C261</f>
        <v>-0.97844931035801319</v>
      </c>
      <c r="D277" s="66">
        <f t="shared" si="210"/>
        <v>-0.97871530502565462</v>
      </c>
      <c r="E277" s="66">
        <f t="shared" si="210"/>
        <v>-0.97909582910329696</v>
      </c>
      <c r="F277" s="66">
        <f t="shared" si="210"/>
        <v>-0.9796396819770542</v>
      </c>
      <c r="G277" s="66">
        <f t="shared" si="210"/>
        <v>-0.98041587755938586</v>
      </c>
      <c r="H277" s="66">
        <f t="shared" si="210"/>
        <v>-0.98152137049024646</v>
      </c>
      <c r="I277" s="66">
        <f t="shared" si="210"/>
        <v>-0.98309101197767967</v>
      </c>
      <c r="J277" s="66">
        <f t="shared" si="210"/>
        <v>-0.98530954938725024</v>
      </c>
      <c r="K277" s="66">
        <f t="shared" si="210"/>
        <v>-0.9884243358845568</v>
      </c>
      <c r="L277" s="66">
        <f t="shared" si="210"/>
        <v>-0.99275501981832481</v>
      </c>
      <c r="M277" s="66">
        <f t="shared" si="210"/>
        <v>-0.99869222548031233</v>
      </c>
      <c r="N277" s="66">
        <f t="shared" si="210"/>
        <v>-1.0066711936847861</v>
      </c>
      <c r="O277" s="66">
        <f t="shared" si="210"/>
        <v>-1.0171012465513283</v>
      </c>
      <c r="P277" s="66">
        <f t="shared" si="210"/>
        <v>-1.0302361352289906</v>
      </c>
      <c r="Q277" s="66">
        <f t="shared" si="210"/>
        <v>-1.0459976246051466</v>
      </c>
      <c r="R277" s="66">
        <f t="shared" si="210"/>
        <v>-1.0638203015397216</v>
      </c>
      <c r="S277" s="66">
        <f t="shared" si="210"/>
        <v>-1.082635628454949</v>
      </c>
      <c r="T277" s="66">
        <f t="shared" si="210"/>
        <v>-1.1010807049295666</v>
      </c>
      <c r="U277" s="66">
        <f t="shared" si="210"/>
        <v>-1.1178716377096476</v>
      </c>
      <c r="V277" s="66">
        <f t="shared" si="210"/>
        <v>-1.1321415394979075</v>
      </c>
      <c r="W277" s="66">
        <f t="shared" si="210"/>
        <v>-1.1435691752356867</v>
      </c>
      <c r="X277" s="66">
        <f t="shared" si="210"/>
        <v>-1.1522889684982804</v>
      </c>
      <c r="Y277" s="66">
        <f t="shared" si="210"/>
        <v>-1.1586987158747175</v>
      </c>
      <c r="Z277" s="66">
        <f t="shared" si="210"/>
        <v>-1.1632815925212061</v>
      </c>
      <c r="AA277" s="66">
        <f t="shared" si="210"/>
        <v>-1.1664935122527731</v>
      </c>
      <c r="AB277" s="66">
        <f t="shared" si="210"/>
        <v>-1.1687131462073013</v>
      </c>
      <c r="AC277" s="66">
        <f t="shared" si="210"/>
        <v>-1.1702321523309871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106.60609272577921</v>
      </c>
      <c r="C283" s="66">
        <f t="shared" ref="C283:AC283" si="216">C253*C254*C261/C261</f>
        <v>104.40665892828892</v>
      </c>
      <c r="D283" s="66">
        <f t="shared" si="216"/>
        <v>102.2027370260507</v>
      </c>
      <c r="E283" s="66">
        <f t="shared" si="216"/>
        <v>100.75167764243731</v>
      </c>
      <c r="F283" s="66">
        <f t="shared" si="216"/>
        <v>99.291412975969919</v>
      </c>
      <c r="G283" s="66">
        <f t="shared" si="216"/>
        <v>97.818259478971584</v>
      </c>
      <c r="H283" s="66">
        <f t="shared" si="216"/>
        <v>96.327133986532573</v>
      </c>
      <c r="I283" s="66">
        <f t="shared" si="216"/>
        <v>94.811099534408044</v>
      </c>
      <c r="J283" s="66">
        <f t="shared" si="216"/>
        <v>95.446279845285702</v>
      </c>
      <c r="K283" s="66">
        <f t="shared" si="216"/>
        <v>96.026752685117259</v>
      </c>
      <c r="L283" s="66">
        <f t="shared" si="216"/>
        <v>96.532342033293062</v>
      </c>
      <c r="M283" s="66">
        <f t="shared" si="216"/>
        <v>96.938041188371557</v>
      </c>
      <c r="N283" s="66">
        <f t="shared" si="216"/>
        <v>97.215432406906487</v>
      </c>
      <c r="O283" s="66">
        <f t="shared" si="216"/>
        <v>94.792574200227577</v>
      </c>
      <c r="P283" s="66">
        <f t="shared" si="216"/>
        <v>92.236437784063554</v>
      </c>
      <c r="Q283" s="66">
        <f t="shared" si="216"/>
        <v>89.560536451418145</v>
      </c>
      <c r="R283" s="66">
        <f t="shared" si="216"/>
        <v>86.805149848621056</v>
      </c>
      <c r="S283" s="66">
        <f t="shared" si="216"/>
        <v>84.035470615543986</v>
      </c>
      <c r="T283" s="66">
        <f t="shared" si="216"/>
        <v>81.461511377026184</v>
      </c>
      <c r="U283" s="66">
        <f t="shared" si="216"/>
        <v>79.012360435713518</v>
      </c>
      <c r="V283" s="66">
        <f t="shared" si="216"/>
        <v>76.727509636770137</v>
      </c>
      <c r="W283" s="66">
        <f t="shared" si="216"/>
        <v>74.615366515053339</v>
      </c>
      <c r="X283" s="66">
        <f t="shared" si="216"/>
        <v>72.660509282276593</v>
      </c>
      <c r="Y283" s="66">
        <f t="shared" si="216"/>
        <v>70.909767068262624</v>
      </c>
      <c r="Z283" s="66">
        <f t="shared" si="216"/>
        <v>69.258232235086396</v>
      </c>
      <c r="AA283" s="66">
        <f t="shared" si="216"/>
        <v>67.679359185510563</v>
      </c>
      <c r="AB283" s="66">
        <f t="shared" si="216"/>
        <v>66.151900593870181</v>
      </c>
      <c r="AC283" s="66">
        <f t="shared" si="216"/>
        <v>64.659963995860579</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139.58936901201997</v>
      </c>
      <c r="C285" s="76">
        <f t="shared" ref="C285:AC285" si="219">C276+C277+C278-C279+C280+C281+C282+C283+C284</f>
        <v>137.38231666680861</v>
      </c>
      <c r="D285" s="76">
        <f t="shared" si="219"/>
        <v>135.16748898319707</v>
      </c>
      <c r="E285" s="76">
        <f t="shared" si="219"/>
        <v>133.70082811240036</v>
      </c>
      <c r="F285" s="76">
        <f t="shared" si="219"/>
        <v>132.21826547810892</v>
      </c>
      <c r="G285" s="76">
        <f t="shared" si="219"/>
        <v>130.71328796223497</v>
      </c>
      <c r="H285" s="76">
        <f t="shared" si="219"/>
        <v>129.1768372596307</v>
      </c>
      <c r="I285" s="76">
        <f t="shared" si="219"/>
        <v>127.5964475065214</v>
      </c>
      <c r="J285" s="76">
        <f t="shared" si="219"/>
        <v>128.14066778360666</v>
      </c>
      <c r="K285" s="76">
        <f t="shared" si="219"/>
        <v>128.59343437704865</v>
      </c>
      <c r="L285" s="76">
        <f t="shared" si="219"/>
        <v>128.92146568393997</v>
      </c>
      <c r="M285" s="76">
        <f t="shared" si="219"/>
        <v>129.08373940687696</v>
      </c>
      <c r="N285" s="76">
        <f t="shared" si="219"/>
        <v>129.03399292902847</v>
      </c>
      <c r="O285" s="76">
        <f t="shared" si="219"/>
        <v>126.18350255482133</v>
      </c>
      <c r="P285" s="76">
        <f t="shared" si="219"/>
        <v>123.08883570287315</v>
      </c>
      <c r="Q285" s="76">
        <f t="shared" si="219"/>
        <v>119.76671330580535</v>
      </c>
      <c r="R285" s="76">
        <f t="shared" si="219"/>
        <v>116.28059694869069</v>
      </c>
      <c r="S285" s="76">
        <f t="shared" si="219"/>
        <v>112.73948931208929</v>
      </c>
      <c r="T285" s="76">
        <f t="shared" si="219"/>
        <v>109.40928193811217</v>
      </c>
      <c r="U285" s="76">
        <f t="shared" si="219"/>
        <v>106.27170275281618</v>
      </c>
      <c r="V285" s="76">
        <f t="shared" si="219"/>
        <v>103.40178598055415</v>
      </c>
      <c r="W285" s="76">
        <f t="shared" si="219"/>
        <v>100.82110979358841</v>
      </c>
      <c r="X285" s="76">
        <f t="shared" si="219"/>
        <v>98.508741037045311</v>
      </c>
      <c r="Y285" s="76">
        <f t="shared" si="219"/>
        <v>96.495199180597439</v>
      </c>
      <c r="Z285" s="76">
        <f t="shared" si="219"/>
        <v>94.65576640491517</v>
      </c>
      <c r="AA285" s="76">
        <f t="shared" si="219"/>
        <v>92.94520464634509</v>
      </c>
      <c r="AB285" s="76">
        <f t="shared" si="219"/>
        <v>91.326741062569056</v>
      </c>
      <c r="AC285" s="76">
        <f t="shared" si="219"/>
        <v>89.772525213488322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2.0676718491395704E-3</v>
      </c>
      <c r="C288" s="65">
        <f t="shared" ref="C288:AC288" si="221">((1+C249)^C256)*C249/(((1+C249)^C256)-1)*(C245)/C261/(C258)</f>
        <v>2.0668853169190406E-3</v>
      </c>
      <c r="D288" s="65">
        <f t="shared" si="221"/>
        <v>2.0657594135639443E-3</v>
      </c>
      <c r="E288" s="65">
        <f t="shared" si="221"/>
        <v>2.064148729637416E-3</v>
      </c>
      <c r="F288" s="65">
        <f t="shared" si="221"/>
        <v>2.0618467068913536E-3</v>
      </c>
      <c r="G288" s="65">
        <f t="shared" si="221"/>
        <v>2.0585612229449763E-3</v>
      </c>
      <c r="H288" s="65">
        <f t="shared" si="221"/>
        <v>2.0538818877878949E-3</v>
      </c>
      <c r="I288" s="65">
        <f t="shared" si="221"/>
        <v>2.0472379026559013E-3</v>
      </c>
      <c r="J288" s="65">
        <f t="shared" si="221"/>
        <v>2.0378472681180375E-3</v>
      </c>
      <c r="K288" s="65">
        <f t="shared" si="221"/>
        <v>2.0246629866479565E-3</v>
      </c>
      <c r="L288" s="65">
        <f t="shared" si="221"/>
        <v>2.0063320493621663E-3</v>
      </c>
      <c r="M288" s="65">
        <f t="shared" si="221"/>
        <v>1.9812010201050753E-3</v>
      </c>
      <c r="N288" s="65">
        <f t="shared" si="221"/>
        <v>1.9474276097157688E-3</v>
      </c>
      <c r="O288" s="65">
        <f t="shared" si="221"/>
        <v>1.9032792377938971E-3</v>
      </c>
      <c r="P288" s="65">
        <f t="shared" si="221"/>
        <v>1.8476818254016762E-3</v>
      </c>
      <c r="Q288" s="65">
        <f t="shared" si="221"/>
        <v>1.7809665264549839E-3</v>
      </c>
      <c r="R288" s="65">
        <f t="shared" si="221"/>
        <v>1.7055266240864123E-3</v>
      </c>
      <c r="S288" s="65">
        <f t="shared" si="221"/>
        <v>1.6258850286780425E-3</v>
      </c>
      <c r="T288" s="65">
        <f t="shared" si="221"/>
        <v>1.547810630901883E-3</v>
      </c>
      <c r="U288" s="65">
        <f t="shared" si="221"/>
        <v>1.4767378995576251E-3</v>
      </c>
      <c r="V288" s="65">
        <f t="shared" si="221"/>
        <v>1.4163361988665782E-3</v>
      </c>
      <c r="W288" s="65">
        <f t="shared" si="221"/>
        <v>1.3679652539447613E-3</v>
      </c>
      <c r="X288" s="65">
        <f t="shared" si="221"/>
        <v>1.3310560761136767E-3</v>
      </c>
      <c r="Y288" s="65">
        <f t="shared" si="221"/>
        <v>1.3039248702874885E-3</v>
      </c>
      <c r="Z288" s="65">
        <f t="shared" si="221"/>
        <v>1.2845264506198121E-3</v>
      </c>
      <c r="AA288" s="65">
        <f t="shared" si="221"/>
        <v>1.270931023184608E-3</v>
      </c>
      <c r="AB288" s="65">
        <f t="shared" si="221"/>
        <v>1.2615357471866049E-3</v>
      </c>
      <c r="AC288" s="65">
        <f t="shared" si="221"/>
        <v>1.2551060916366106E-3</v>
      </c>
    </row>
    <row r="289" spans="1:29" x14ac:dyDescent="0.25">
      <c r="A289" s="30" t="str">
        <f t="shared" si="220"/>
        <v>Residual value (vehicle)</v>
      </c>
      <c r="B289" s="68">
        <f>((1+B249)^B256)*B249/(((1+B249)^B256)-1)*(B246)/B261/(B258)</f>
        <v>-1.0351994625618128E-4</v>
      </c>
      <c r="C289" s="68">
        <f t="shared" ref="C289:AC289" si="222">((1+C249)^C256)*C249/(((1+C249)^C256)-1)*(C246)/C261/(C258)</f>
        <v>-1.0353960956169452E-4</v>
      </c>
      <c r="D289" s="68">
        <f t="shared" si="222"/>
        <v>-1.0356775714557191E-4</v>
      </c>
      <c r="E289" s="68">
        <f t="shared" si="222"/>
        <v>-1.0360802424373513E-4</v>
      </c>
      <c r="F289" s="68">
        <f t="shared" si="222"/>
        <v>-1.0366557481238669E-4</v>
      </c>
      <c r="G289" s="68">
        <f t="shared" si="222"/>
        <v>-1.0374771191104613E-4</v>
      </c>
      <c r="H289" s="68">
        <f t="shared" si="222"/>
        <v>-1.0386469528997317E-4</v>
      </c>
      <c r="I289" s="68">
        <f t="shared" si="222"/>
        <v>-1.0403079491827298E-4</v>
      </c>
      <c r="J289" s="68">
        <f t="shared" si="222"/>
        <v>-1.042655607817196E-4</v>
      </c>
      <c r="K289" s="68">
        <f t="shared" si="222"/>
        <v>-1.0459516781847161E-4</v>
      </c>
      <c r="L289" s="68">
        <f t="shared" si="222"/>
        <v>-1.0505344125061638E-4</v>
      </c>
      <c r="M289" s="68">
        <f t="shared" si="222"/>
        <v>-1.0568171698204363E-4</v>
      </c>
      <c r="N289" s="68">
        <f t="shared" si="222"/>
        <v>-1.0652605224177631E-4</v>
      </c>
      <c r="O289" s="68">
        <f t="shared" si="222"/>
        <v>-1.076297615398231E-4</v>
      </c>
      <c r="P289" s="68">
        <f t="shared" si="222"/>
        <v>-1.0901969684962864E-4</v>
      </c>
      <c r="Q289" s="68">
        <f t="shared" si="222"/>
        <v>-1.1068757932329594E-4</v>
      </c>
      <c r="R289" s="68">
        <f t="shared" si="222"/>
        <v>-1.1257357688251022E-4</v>
      </c>
      <c r="S289" s="68">
        <f t="shared" si="222"/>
        <v>-1.1456461676771947E-4</v>
      </c>
      <c r="T289" s="68">
        <f t="shared" si="222"/>
        <v>-1.1651647671212345E-4</v>
      </c>
      <c r="U289" s="68">
        <f t="shared" si="222"/>
        <v>-1.182932949957299E-4</v>
      </c>
      <c r="V289" s="68">
        <f t="shared" si="222"/>
        <v>-1.1980333751300609E-4</v>
      </c>
      <c r="W289" s="68">
        <f t="shared" si="222"/>
        <v>-1.210126111360515E-4</v>
      </c>
      <c r="X289" s="68">
        <f t="shared" si="222"/>
        <v>-1.2193534058182861E-4</v>
      </c>
      <c r="Y289" s="68">
        <f t="shared" si="222"/>
        <v>-1.2261362072748334E-4</v>
      </c>
      <c r="Z289" s="68">
        <f t="shared" si="222"/>
        <v>-1.2309858121917525E-4</v>
      </c>
      <c r="AA289" s="68">
        <f t="shared" si="222"/>
        <v>-1.2343846690505536E-4</v>
      </c>
      <c r="AB289" s="68">
        <f t="shared" si="222"/>
        <v>-1.2367334880500542E-4</v>
      </c>
      <c r="AC289" s="68">
        <f t="shared" si="222"/>
        <v>-1.2383409019375524E-4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1.1281068013309969E-2</v>
      </c>
      <c r="C295" s="66">
        <f t="shared" ref="C295:AC295" si="228">C253*C254*C261/C261/(C258)</f>
        <v>1.104832369611523E-2</v>
      </c>
      <c r="D295" s="66">
        <f t="shared" si="228"/>
        <v>1.0815104447201133E-2</v>
      </c>
      <c r="E295" s="66">
        <f t="shared" si="228"/>
        <v>1.0661553189675906E-2</v>
      </c>
      <c r="F295" s="66">
        <f t="shared" si="228"/>
        <v>1.0507027828144964E-2</v>
      </c>
      <c r="G295" s="66">
        <f t="shared" si="228"/>
        <v>1.0351138569203342E-2</v>
      </c>
      <c r="H295" s="66">
        <f t="shared" si="228"/>
        <v>1.0193347511802389E-2</v>
      </c>
      <c r="I295" s="66">
        <f t="shared" si="228"/>
        <v>1.0032920585651644E-2</v>
      </c>
      <c r="J295" s="66">
        <f t="shared" si="228"/>
        <v>1.0100135433363567E-2</v>
      </c>
      <c r="K295" s="66">
        <f t="shared" si="228"/>
        <v>1.0161561130700238E-2</v>
      </c>
      <c r="L295" s="66">
        <f t="shared" si="228"/>
        <v>1.0215062649025721E-2</v>
      </c>
      <c r="M295" s="66">
        <f t="shared" si="228"/>
        <v>1.0257993776547255E-2</v>
      </c>
      <c r="N295" s="66">
        <f t="shared" si="228"/>
        <v>1.0287347344646189E-2</v>
      </c>
      <c r="O295" s="66">
        <f t="shared" si="228"/>
        <v>1.0030960232828314E-2</v>
      </c>
      <c r="P295" s="66">
        <f t="shared" si="228"/>
        <v>9.7604696067792127E-3</v>
      </c>
      <c r="Q295" s="66">
        <f t="shared" si="228"/>
        <v>9.4773054445945124E-3</v>
      </c>
      <c r="R295" s="66">
        <f t="shared" si="228"/>
        <v>9.1857301427112226E-3</v>
      </c>
      <c r="S295" s="66">
        <f t="shared" si="228"/>
        <v>8.8926423931792575E-3</v>
      </c>
      <c r="T295" s="66">
        <f t="shared" si="228"/>
        <v>8.6202657541826645E-3</v>
      </c>
      <c r="U295" s="66">
        <f t="shared" si="228"/>
        <v>8.3610963424035466E-3</v>
      </c>
      <c r="V295" s="66">
        <f t="shared" si="228"/>
        <v>8.1193131890762056E-3</v>
      </c>
      <c r="W295" s="66">
        <f t="shared" si="228"/>
        <v>7.8958059804289243E-3</v>
      </c>
      <c r="X295" s="66">
        <f t="shared" si="228"/>
        <v>7.6889427811932904E-3</v>
      </c>
      <c r="Y295" s="66">
        <f t="shared" si="228"/>
        <v>7.5036790548426054E-3</v>
      </c>
      <c r="Z295" s="66">
        <f t="shared" si="228"/>
        <v>7.3289134640303066E-3</v>
      </c>
      <c r="AA295" s="66">
        <f t="shared" si="228"/>
        <v>7.1618369508476788E-3</v>
      </c>
      <c r="AB295" s="66">
        <f t="shared" si="228"/>
        <v>7.0002011210444637E-3</v>
      </c>
      <c r="AC295" s="66">
        <f t="shared" si="228"/>
        <v>6.8423242323661987E-3</v>
      </c>
    </row>
    <row r="296" spans="1:29" x14ac:dyDescent="0.25">
      <c r="A296" s="59" t="str">
        <f>A259</f>
        <v>Market failure (av. utilization)</v>
      </c>
      <c r="B296" s="66">
        <f t="shared" ref="B296:AC296" si="229">B285/B259-B285/B258</f>
        <v>1.3635103200197313E-2</v>
      </c>
      <c r="C296" s="66">
        <f t="shared" si="229"/>
        <v>1.3419518111531978E-2</v>
      </c>
      <c r="D296" s="66">
        <f t="shared" si="229"/>
        <v>1.3203173527052216E-2</v>
      </c>
      <c r="E296" s="66">
        <f t="shared" si="229"/>
        <v>1.3059909949929217E-2</v>
      </c>
      <c r="F296" s="66">
        <f t="shared" si="229"/>
        <v>1.2915093086994765E-2</v>
      </c>
      <c r="G296" s="66">
        <f t="shared" si="229"/>
        <v>1.2768086736237848E-2</v>
      </c>
      <c r="H296" s="66">
        <f t="shared" si="229"/>
        <v>1.2618006081526807E-2</v>
      </c>
      <c r="I296" s="66">
        <f t="shared" si="229"/>
        <v>1.2463633456070466E-2</v>
      </c>
      <c r="J296" s="66">
        <f t="shared" si="229"/>
        <v>1.2516792945895645E-2</v>
      </c>
      <c r="K296" s="66">
        <f t="shared" si="229"/>
        <v>1.2561019230969342E-2</v>
      </c>
      <c r="L296" s="66">
        <f t="shared" si="229"/>
        <v>1.2593061361068619E-2</v>
      </c>
      <c r="M296" s="66">
        <f t="shared" si="229"/>
        <v>1.2608912274176015E-2</v>
      </c>
      <c r="N296" s="66">
        <f t="shared" si="229"/>
        <v>1.2604053033360534E-2</v>
      </c>
      <c r="O296" s="66">
        <f t="shared" si="229"/>
        <v>1.2325616855171801E-2</v>
      </c>
      <c r="P296" s="66">
        <f t="shared" si="229"/>
        <v>1.2023329494786145E-2</v>
      </c>
      <c r="Q296" s="66">
        <f t="shared" si="229"/>
        <v>1.169882425453532E-2</v>
      </c>
      <c r="R296" s="66">
        <f t="shared" si="229"/>
        <v>1.1358300068248173E-2</v>
      </c>
      <c r="S296" s="66">
        <f t="shared" si="229"/>
        <v>1.1012404328409209E-2</v>
      </c>
      <c r="T296" s="66">
        <f t="shared" si="229"/>
        <v>1.0687109346824144E-2</v>
      </c>
      <c r="U296" s="66">
        <f t="shared" si="229"/>
        <v>1.0380630305525392E-2</v>
      </c>
      <c r="V296" s="66">
        <f t="shared" si="229"/>
        <v>1.0100296554877085E-2</v>
      </c>
      <c r="W296" s="66">
        <f t="shared" si="229"/>
        <v>9.8482158528535695E-3</v>
      </c>
      <c r="X296" s="66">
        <f t="shared" si="229"/>
        <v>9.6223434468420306E-3</v>
      </c>
      <c r="Y296" s="66">
        <f t="shared" si="229"/>
        <v>9.4256604816212401E-3</v>
      </c>
      <c r="Z296" s="66">
        <f t="shared" si="229"/>
        <v>9.2459845084166201E-3</v>
      </c>
      <c r="AA296" s="66">
        <f t="shared" si="229"/>
        <v>9.078896668751656E-3</v>
      </c>
      <c r="AB296" s="66">
        <f t="shared" si="229"/>
        <v>8.9208049877967325E-3</v>
      </c>
      <c r="AC296" s="66">
        <f t="shared" si="229"/>
        <v>8.7689890318425716E-3</v>
      </c>
    </row>
    <row r="297" spans="1:29" x14ac:dyDescent="0.25">
      <c r="A297" s="59" t="str">
        <f>A260</f>
        <v>Payload loss (fuel)</v>
      </c>
      <c r="B297" s="66">
        <f>B285/(B258-B260)-B285/B258</f>
        <v>1.284082962585361E-3</v>
      </c>
      <c r="C297" s="66">
        <f t="shared" ref="C297:AC297" si="230">C285/(C258-C260)-C285/C258</f>
        <v>1.2636170932335596E-3</v>
      </c>
      <c r="D297" s="66">
        <f t="shared" si="230"/>
        <v>1.2430156887153123E-3</v>
      </c>
      <c r="E297" s="66">
        <f t="shared" si="230"/>
        <v>1.2292028990673731E-3</v>
      </c>
      <c r="F297" s="66">
        <f t="shared" si="230"/>
        <v>1.2151130724520325E-3</v>
      </c>
      <c r="G297" s="66">
        <f t="shared" si="230"/>
        <v>1.200633560482306E-3</v>
      </c>
      <c r="H297" s="66">
        <f t="shared" si="230"/>
        <v>1.1856082713714144E-3</v>
      </c>
      <c r="I297" s="66">
        <f t="shared" si="230"/>
        <v>1.1698234330431156E-3</v>
      </c>
      <c r="J297" s="66">
        <f t="shared" si="230"/>
        <v>1.172996809239775E-3</v>
      </c>
      <c r="K297" s="66">
        <f t="shared" si="230"/>
        <v>1.1745833774396714E-3</v>
      </c>
      <c r="L297" s="66">
        <f t="shared" si="230"/>
        <v>1.174015430976609E-3</v>
      </c>
      <c r="M297" s="66">
        <f t="shared" si="230"/>
        <v>1.1706034032650803E-3</v>
      </c>
      <c r="N297" s="66">
        <f t="shared" si="230"/>
        <v>1.163588561366594E-3</v>
      </c>
      <c r="O297" s="66">
        <f t="shared" si="230"/>
        <v>1.1295017894501543E-3</v>
      </c>
      <c r="P297" s="66">
        <f t="shared" si="230"/>
        <v>1.0915173078276542E-3</v>
      </c>
      <c r="Q297" s="66">
        <f t="shared" si="230"/>
        <v>1.0500702424566331E-3</v>
      </c>
      <c r="R297" s="66">
        <f t="shared" si="230"/>
        <v>1.0063692139444611E-3</v>
      </c>
      <c r="S297" s="66">
        <f t="shared" si="230"/>
        <v>9.6230398662464599E-4</v>
      </c>
      <c r="T297" s="66">
        <f t="shared" si="230"/>
        <v>9.211392464031614E-4</v>
      </c>
      <c r="U297" s="66">
        <f t="shared" si="230"/>
        <v>8.8348095001078257E-4</v>
      </c>
      <c r="V297" s="66">
        <f t="shared" si="230"/>
        <v>8.5034165457721807E-4</v>
      </c>
      <c r="W297" s="66">
        <f t="shared" si="230"/>
        <v>8.2188277602811798E-4</v>
      </c>
      <c r="X297" s="66">
        <f t="shared" si="230"/>
        <v>7.9764362997791598E-4</v>
      </c>
      <c r="Y297" s="66">
        <f t="shared" si="230"/>
        <v>7.7746248492457232E-4</v>
      </c>
      <c r="Z297" s="66">
        <f t="shared" si="230"/>
        <v>7.5992456370496501E-4</v>
      </c>
      <c r="AA297" s="66">
        <f t="shared" si="230"/>
        <v>7.4432225254313783E-4</v>
      </c>
      <c r="AB297" s="66">
        <f t="shared" si="230"/>
        <v>7.3009229398569853E-4</v>
      </c>
      <c r="AC297" s="66">
        <f t="shared" si="230"/>
        <v>7.1681395580462486E-4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2.9676751363664457E-2</v>
      </c>
      <c r="C299" s="67">
        <f t="shared" ref="C299:AC299" si="232">C288+C289+C290+C291+C292+C293+C294+C295+C296+C297+C298</f>
        <v>2.920714989292654E-2</v>
      </c>
      <c r="D299" s="67">
        <f t="shared" si="232"/>
        <v>2.873583060407546E-2</v>
      </c>
      <c r="E299" s="67">
        <f t="shared" si="232"/>
        <v>2.8423552028754601E-2</v>
      </c>
      <c r="F299" s="67">
        <f t="shared" si="232"/>
        <v>2.8107760404359153E-2</v>
      </c>
      <c r="G299" s="67">
        <f t="shared" si="232"/>
        <v>2.7787017661645853E-2</v>
      </c>
      <c r="H299" s="67">
        <f t="shared" si="232"/>
        <v>2.7459324341886956E-2</v>
      </c>
      <c r="I299" s="67">
        <f t="shared" si="232"/>
        <v>2.712192986719128E-2</v>
      </c>
      <c r="J299" s="67">
        <f t="shared" si="232"/>
        <v>2.7235852180523733E-2</v>
      </c>
      <c r="K299" s="67">
        <f t="shared" si="232"/>
        <v>2.7329576842627164E-2</v>
      </c>
      <c r="L299" s="67">
        <f t="shared" si="232"/>
        <v>2.7395763333870924E-2</v>
      </c>
      <c r="M299" s="67">
        <f t="shared" si="232"/>
        <v>2.7425374041799809E-2</v>
      </c>
      <c r="N299" s="67">
        <f t="shared" si="232"/>
        <v>2.7408235781535735E-2</v>
      </c>
      <c r="O299" s="67">
        <f t="shared" si="232"/>
        <v>2.6794073638392771E-2</v>
      </c>
      <c r="P299" s="67">
        <f t="shared" si="232"/>
        <v>2.6126323822633489E-2</v>
      </c>
      <c r="Q299" s="67">
        <f t="shared" si="232"/>
        <v>2.5408824173406577E-2</v>
      </c>
      <c r="R299" s="67">
        <f t="shared" si="232"/>
        <v>2.4655697756796185E-2</v>
      </c>
      <c r="S299" s="67">
        <f t="shared" si="232"/>
        <v>2.3891016404811866E-2</v>
      </c>
      <c r="T299" s="67">
        <f t="shared" si="232"/>
        <v>2.317215378628816E-2</v>
      </c>
      <c r="U299" s="67">
        <f t="shared" si="232"/>
        <v>2.2495997487190042E-2</v>
      </c>
      <c r="V299" s="67">
        <f t="shared" si="232"/>
        <v>2.1878829544572508E-2</v>
      </c>
      <c r="W299" s="67">
        <f t="shared" si="232"/>
        <v>2.1325202536807752E-2</v>
      </c>
      <c r="X299" s="67">
        <f t="shared" si="232"/>
        <v>2.0830395878233515E-2</v>
      </c>
      <c r="Y299" s="67">
        <f t="shared" si="232"/>
        <v>2.0400458555636852E-2</v>
      </c>
      <c r="Z299" s="67">
        <f t="shared" si="232"/>
        <v>2.0008595690240959E-2</v>
      </c>
      <c r="AA299" s="67">
        <f t="shared" si="232"/>
        <v>1.9644893713110449E-2</v>
      </c>
      <c r="AB299" s="67">
        <f t="shared" si="232"/>
        <v>1.9301306085896919E-2</v>
      </c>
      <c r="AC299" s="67">
        <f t="shared" si="232"/>
        <v>1.897174450614468E-2</v>
      </c>
    </row>
    <row r="301" spans="1:29" x14ac:dyDescent="0.25">
      <c r="B301" s="40"/>
    </row>
    <row r="324" spans="1:44" s="3" customFormat="1" ht="21" x14ac:dyDescent="0.35">
      <c r="A324" s="2" t="str">
        <f>'Parameter Input'!A248</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Input'!$L$249</f>
        <v>30000000</v>
      </c>
      <c r="C334" s="42">
        <f>'Parameter Input'!$M$249</f>
        <v>18000000</v>
      </c>
      <c r="D334" s="1" t="s">
        <v>15</v>
      </c>
      <c r="L334" s="51">
        <f>'Parameter Input'!$O$249</f>
        <v>17</v>
      </c>
      <c r="M334" s="52">
        <v>0</v>
      </c>
      <c r="N334" s="52">
        <v>1</v>
      </c>
      <c r="O334" s="52">
        <f>'Parameter Input'!$P$249</f>
        <v>0.9</v>
      </c>
      <c r="P334" s="53">
        <f>'Parameter Input'!$Q$249</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Input'!$L$250</f>
        <v>-1500000</v>
      </c>
      <c r="C335" s="61">
        <f>'Parameter Input'!$M$250</f>
        <v>-1800000</v>
      </c>
      <c r="D335" s="1" t="s">
        <v>15</v>
      </c>
      <c r="L335" s="54">
        <f>'Parameter Input'!$O$250</f>
        <v>17</v>
      </c>
      <c r="M335" s="37">
        <v>0</v>
      </c>
      <c r="N335" s="37">
        <v>1</v>
      </c>
      <c r="O335" s="37">
        <f>'Parameter Input'!$P$250</f>
        <v>0.9</v>
      </c>
      <c r="P335" s="55">
        <f>'Parameter Input'!$Q$250</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Input'!$L$256</f>
        <v>0.06</v>
      </c>
      <c r="C338" s="91">
        <f>'Parameter Input'!$M$256</f>
        <v>0.06</v>
      </c>
      <c r="D338" s="1" t="s">
        <v>57</v>
      </c>
      <c r="L338" s="54">
        <f>'Parameter Input'!$O$256</f>
        <v>17</v>
      </c>
      <c r="M338" s="37">
        <v>0</v>
      </c>
      <c r="N338" s="37">
        <v>1</v>
      </c>
      <c r="O338" s="37">
        <f>'Parameter Input'!$P$256</f>
        <v>0.9</v>
      </c>
      <c r="P338" s="55">
        <f>'Parameter Input'!$Q$256</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Input'!$L$252</f>
        <v>338823.5294117647</v>
      </c>
      <c r="C340" s="61">
        <f>'Parameter Input'!$M$252</f>
        <v>338823.5294117647</v>
      </c>
      <c r="D340" s="1" t="s">
        <v>38</v>
      </c>
      <c r="L340" s="54">
        <f>'Parameter Input'!$O$252</f>
        <v>17</v>
      </c>
      <c r="M340" s="37">
        <v>0</v>
      </c>
      <c r="N340" s="37">
        <v>1</v>
      </c>
      <c r="O340" s="37">
        <f>'Parameter Input'!$P$252</f>
        <v>0.9</v>
      </c>
      <c r="P340" s="55">
        <f>'Parameter Input'!$Q$252</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Input'!$L$253</f>
        <v>589</v>
      </c>
      <c r="C342" s="61">
        <f>'Parameter Input'!$M$253</f>
        <v>519</v>
      </c>
      <c r="D342" s="1" t="s">
        <v>60</v>
      </c>
      <c r="L342" s="54">
        <f>'Parameter Input'!$O$253</f>
        <v>17</v>
      </c>
      <c r="M342" s="37">
        <v>0</v>
      </c>
      <c r="N342" s="37">
        <v>1</v>
      </c>
      <c r="O342" s="37">
        <f>'Parameter Input'!$P$253</f>
        <v>0.9</v>
      </c>
      <c r="P342" s="55">
        <f>'Parameter Input'!$Q$253</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Input'!$L$254</f>
        <v>0.23976160758395154</v>
      </c>
      <c r="C343" s="61">
        <f>'Parameter Input'!$M$254</f>
        <v>0.11428118371505049</v>
      </c>
      <c r="D343" s="1" t="s">
        <v>68</v>
      </c>
      <c r="L343" s="54">
        <f>'Parameter Input'!$O$254</f>
        <v>14</v>
      </c>
      <c r="M343" s="37">
        <v>0</v>
      </c>
      <c r="N343" s="37">
        <v>1</v>
      </c>
      <c r="O343" s="37">
        <f>'Parameter Input'!$P$254</f>
        <v>0.9</v>
      </c>
      <c r="P343" s="55">
        <f>'Parameter Input'!$Q$254</f>
        <v>0.4</v>
      </c>
      <c r="Q343" s="4">
        <f t="shared" si="233"/>
        <v>0.99354772139898062</v>
      </c>
      <c r="R343" s="4">
        <f t="shared" si="233"/>
        <v>0.99076681540580536</v>
      </c>
      <c r="S343" s="4">
        <f t="shared" si="233"/>
        <v>0.9867978615748374</v>
      </c>
      <c r="T343" s="4">
        <f t="shared" ref="T343:AI350" si="234">$N343+($M343-$N343)*((1/(1+EXP(-$P343*(T$9-$L343)))^$O343))</f>
        <v>0.98114509762858249</v>
      </c>
      <c r="U343" s="4">
        <f t="shared" si="234"/>
        <v>0.97311898315872036</v>
      </c>
      <c r="V343" s="4">
        <f t="shared" si="234"/>
        <v>0.96177484161592774</v>
      </c>
      <c r="W343" s="4">
        <f t="shared" si="234"/>
        <v>0.94584787155511363</v>
      </c>
      <c r="X343" s="4">
        <f t="shared" si="234"/>
        <v>0.92370360150141495</v>
      </c>
      <c r="Y343" s="4">
        <f t="shared" si="234"/>
        <v>0.89334463567658451</v>
      </c>
      <c r="Z343" s="4">
        <f t="shared" si="234"/>
        <v>0.85254543874327005</v>
      </c>
      <c r="AA343" s="4">
        <f t="shared" si="234"/>
        <v>0.79921300652623883</v>
      </c>
      <c r="AB343" s="4">
        <f t="shared" si="234"/>
        <v>0.73204982249993378</v>
      </c>
      <c r="AC343" s="4">
        <f t="shared" si="234"/>
        <v>0.65145592958786691</v>
      </c>
      <c r="AD343" s="4">
        <f t="shared" si="234"/>
        <v>0.56032247880849573</v>
      </c>
      <c r="AE343" s="4">
        <f t="shared" si="234"/>
        <v>0.46411326873185343</v>
      </c>
      <c r="AF343" s="4">
        <f t="shared" si="234"/>
        <v>0.36979727595523937</v>
      </c>
      <c r="AG343" s="4">
        <f t="shared" si="234"/>
        <v>0.28393948637231203</v>
      </c>
      <c r="AH343" s="4">
        <f t="shared" si="234"/>
        <v>0.21097259161117732</v>
      </c>
      <c r="AI343" s="4">
        <f t="shared" si="234"/>
        <v>0.15253917653798199</v>
      </c>
      <c r="AJ343" s="4">
        <f t="shared" ref="AJ343:AR350" si="235">$N343+($M343-$N343)*((1/(1+EXP(-$P343*(AJ$9-$L343)))^$O343))</f>
        <v>0.10795188737709993</v>
      </c>
      <c r="AK343" s="4">
        <f t="shared" si="235"/>
        <v>7.5176653938091809E-2</v>
      </c>
      <c r="AL343" s="4">
        <f t="shared" si="235"/>
        <v>5.1742836177502194E-2</v>
      </c>
      <c r="AM343" s="4">
        <f t="shared" si="235"/>
        <v>3.5319190625345942E-2</v>
      </c>
      <c r="AN343" s="4">
        <f t="shared" si="235"/>
        <v>2.3969442072658165E-2</v>
      </c>
      <c r="AO343" s="4">
        <f t="shared" si="235"/>
        <v>1.6202243558389728E-2</v>
      </c>
      <c r="AP343" s="4">
        <f t="shared" si="235"/>
        <v>1.0922240564108399E-2</v>
      </c>
      <c r="AQ343" s="4">
        <f t="shared" si="235"/>
        <v>7.3493212906090566E-3</v>
      </c>
      <c r="AR343" s="4">
        <f t="shared" si="235"/>
        <v>4.9390262185057265E-3</v>
      </c>
    </row>
    <row r="344" spans="1:44" x14ac:dyDescent="0.25">
      <c r="A344" s="24" t="s">
        <v>206</v>
      </c>
      <c r="B344" s="115">
        <f>'Parameter Input'!$L$257</f>
        <v>0</v>
      </c>
      <c r="C344" s="116">
        <f>'Parameter Input'!$M$257</f>
        <v>0</v>
      </c>
      <c r="D344" s="1" t="s">
        <v>76</v>
      </c>
      <c r="L344" s="54">
        <f>'Parameter Input'!$O$257</f>
        <v>17</v>
      </c>
      <c r="M344" s="37">
        <v>0</v>
      </c>
      <c r="N344" s="37">
        <v>1</v>
      </c>
      <c r="O344" s="37">
        <f>'Parameter Input'!$P$257</f>
        <v>0.9</v>
      </c>
      <c r="P344" s="55">
        <f>'Parameter Input'!$Q$257</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Input'!$L$251</f>
        <v>25</v>
      </c>
      <c r="C345" s="61">
        <f>'Parameter Input'!$M$251</f>
        <v>25</v>
      </c>
      <c r="D345" s="1" t="s">
        <v>42</v>
      </c>
      <c r="L345" s="54">
        <f>'Parameter Input'!$O$251</f>
        <v>17</v>
      </c>
      <c r="M345" s="37">
        <v>0</v>
      </c>
      <c r="N345" s="37">
        <v>1</v>
      </c>
      <c r="O345" s="37">
        <f>'Parameter Input'!$P$251</f>
        <v>0.9</v>
      </c>
      <c r="P345" s="55">
        <f>'Parameter Input'!$Q$251</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Input'!$L$255</f>
        <v>0.08</v>
      </c>
      <c r="C349" s="46">
        <f>'Parameter Input'!$M$255</f>
        <v>7.0000000000000007E-2</v>
      </c>
      <c r="D349" s="1" t="s">
        <v>57</v>
      </c>
      <c r="L349" s="54">
        <f>'Parameter Input'!$O$255</f>
        <v>17</v>
      </c>
      <c r="M349" s="37">
        <v>0</v>
      </c>
      <c r="N349" s="37">
        <v>1</v>
      </c>
      <c r="O349" s="37">
        <f>'Parameter Input'!$P$255</f>
        <v>0.9</v>
      </c>
      <c r="P349" s="55">
        <f>'Parameter Input'!$Q$255</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29973644.945217423</v>
      </c>
      <c r="C354" s="62">
        <f t="shared" ref="C354:C362" si="240">$B334+($C334-$B334)*(1-R334)</f>
        <v>29962243.117830768</v>
      </c>
      <c r="D354" s="62">
        <f t="shared" ref="D354:D362" si="241">$B334+($C334-$B334)*(1-S334)</f>
        <v>29945921.655881997</v>
      </c>
      <c r="E354" s="62">
        <f t="shared" ref="E354:E362" si="242">$B334+($C334-$B334)*(1-T334)</f>
        <v>29922572.656787768</v>
      </c>
      <c r="F354" s="62">
        <f t="shared" ref="F354:F362" si="243">$B334+($C334-$B334)*(1-U334)</f>
        <v>29889201.784869663</v>
      </c>
      <c r="G354" s="62">
        <f t="shared" ref="G354:G362" si="244">$B334+($C334-$B334)*(1-V334)</f>
        <v>29841574.338898048</v>
      </c>
      <c r="H354" s="62">
        <f t="shared" ref="H354:H362" si="245">$B334+($C334-$B334)*(1-W334)</f>
        <v>29773741.171542991</v>
      </c>
      <c r="I354" s="62">
        <f t="shared" ref="I354:I362" si="246">$B334+($C334-$B334)*(1-X334)</f>
        <v>29677427.797904644</v>
      </c>
      <c r="J354" s="62">
        <f t="shared" ref="J354:J362" si="247">$B334+($C334-$B334)*(1-Y334)</f>
        <v>29541298.099391133</v>
      </c>
      <c r="K354" s="62">
        <f t="shared" ref="K354:K362" si="248">$B334+($C334-$B334)*(1-Z334)</f>
        <v>29350174.458661363</v>
      </c>
      <c r="L354" s="62">
        <f t="shared" ref="L354:L362" si="249">$B334+($C334-$B334)*(1-AA334)</f>
        <v>29084443.218016978</v>
      </c>
      <c r="M354" s="62">
        <f t="shared" ref="M354:M362" si="250">$B334+($C334-$B334)*(1-AB334)</f>
        <v>28720135.628119014</v>
      </c>
      <c r="N354" s="62">
        <f t="shared" ref="N354:N362" si="251">$B334+($C334-$B334)*(1-AC334)</f>
        <v>28230545.26491924</v>
      </c>
      <c r="O354" s="62">
        <f t="shared" ref="O354:O362" si="252">$B334+($C334-$B334)*(1-AD334)</f>
        <v>27590556.078314867</v>
      </c>
      <c r="P354" s="62">
        <f t="shared" ref="P354:P362" si="253">$B334+($C334-$B334)*(1-AE334)</f>
        <v>26784597.869999204</v>
      </c>
      <c r="Q354" s="62">
        <f t="shared" ref="Q354:Q362" si="254">$B334+($C334-$B334)*(1-AF334)</f>
        <v>25817471.155054402</v>
      </c>
      <c r="R354" s="62">
        <f t="shared" ref="R354:R362" si="255">$B334+($C334-$B334)*(1-AG334)</f>
        <v>24723869.74570195</v>
      </c>
      <c r="S354" s="62">
        <f t="shared" ref="S354:S362" si="256">$B334+($C334-$B334)*(1-AH334)</f>
        <v>23569359.224782243</v>
      </c>
      <c r="T354" s="62">
        <f t="shared" ref="T354:T362" si="257">$B334+($C334-$B334)*(1-AI334)</f>
        <v>22437567.311462872</v>
      </c>
      <c r="U354" s="62">
        <f t="shared" ref="U354:U362" si="258">$B334+($C334-$B334)*(1-AJ334)</f>
        <v>21407273.836467743</v>
      </c>
      <c r="V354" s="62">
        <f t="shared" ref="V354:V362" si="259">$B334+($C334-$B334)*(1-AK334)</f>
        <v>20531671.099334128</v>
      </c>
      <c r="W354" s="62">
        <f t="shared" ref="W354:W362" si="260">$B334+($C334-$B334)*(1-AL334)</f>
        <v>19830470.118455783</v>
      </c>
      <c r="X354" s="62">
        <f t="shared" ref="X354:X362" si="261">$B334+($C334-$B334)*(1-AM334)</f>
        <v>19295422.648525201</v>
      </c>
      <c r="Y354" s="62">
        <f t="shared" ref="Y354:Y362" si="262">$B334+($C334-$B334)*(1-AN334)</f>
        <v>18902119.8472571</v>
      </c>
      <c r="Z354" s="62">
        <f t="shared" ref="Z354:Z362" si="263">$B334+($C334-$B334)*(1-AO334)</f>
        <v>18620914.034130026</v>
      </c>
      <c r="AA354" s="62">
        <f t="shared" ref="AA354:AA362" si="264">$B334+($C334-$B334)*(1-AP334)</f>
        <v>18423830.287504151</v>
      </c>
      <c r="AB354" s="62">
        <f t="shared" ref="AB354:AB362" si="265">$B334+($C334-$B334)*(1-AQ334)</f>
        <v>18287633.304871898</v>
      </c>
      <c r="AC354" s="62">
        <f t="shared" ref="AC354:AC362" si="266">$B334+($C334-$B334)*(1-AR334)</f>
        <v>18194426.922700677</v>
      </c>
    </row>
    <row r="355" spans="1:29" x14ac:dyDescent="0.25">
      <c r="A355" s="30" t="str">
        <f t="shared" si="238"/>
        <v>Residual value (vehicle)</v>
      </c>
      <c r="B355" s="62">
        <f t="shared" si="239"/>
        <v>-1500658.8763695643</v>
      </c>
      <c r="C355" s="62">
        <f t="shared" si="240"/>
        <v>-1500943.9220542307</v>
      </c>
      <c r="D355" s="62">
        <f t="shared" si="241"/>
        <v>-1501351.95860295</v>
      </c>
      <c r="E355" s="62">
        <f t="shared" si="242"/>
        <v>-1501935.6835803059</v>
      </c>
      <c r="F355" s="62">
        <f t="shared" si="243"/>
        <v>-1502769.9553782584</v>
      </c>
      <c r="G355" s="62">
        <f t="shared" si="244"/>
        <v>-1503960.6415275487</v>
      </c>
      <c r="H355" s="62">
        <f t="shared" si="245"/>
        <v>-1505656.4707114252</v>
      </c>
      <c r="I355" s="62">
        <f t="shared" si="246"/>
        <v>-1508064.3050523838</v>
      </c>
      <c r="J355" s="62">
        <f t="shared" si="247"/>
        <v>-1511467.5475152216</v>
      </c>
      <c r="K355" s="62">
        <f t="shared" si="248"/>
        <v>-1516245.6385334658</v>
      </c>
      <c r="L355" s="62">
        <f t="shared" si="249"/>
        <v>-1522888.9195495755</v>
      </c>
      <c r="M355" s="62">
        <f t="shared" si="250"/>
        <v>-1531996.6092970246</v>
      </c>
      <c r="N355" s="62">
        <f t="shared" si="251"/>
        <v>-1544236.368377019</v>
      </c>
      <c r="O355" s="62">
        <f t="shared" si="252"/>
        <v>-1560236.0980421284</v>
      </c>
      <c r="P355" s="62">
        <f t="shared" si="253"/>
        <v>-1580385.0532500199</v>
      </c>
      <c r="Q355" s="62">
        <f t="shared" si="254"/>
        <v>-1604563.22112364</v>
      </c>
      <c r="R355" s="62">
        <f t="shared" si="255"/>
        <v>-1631903.2563574512</v>
      </c>
      <c r="S355" s="62">
        <f t="shared" si="256"/>
        <v>-1660766.019380444</v>
      </c>
      <c r="T355" s="62">
        <f t="shared" si="257"/>
        <v>-1689060.8172134282</v>
      </c>
      <c r="U355" s="62">
        <f t="shared" si="258"/>
        <v>-1714818.1540883065</v>
      </c>
      <c r="V355" s="62">
        <f t="shared" si="259"/>
        <v>-1736708.2225166468</v>
      </c>
      <c r="W355" s="62">
        <f t="shared" si="260"/>
        <v>-1754238.2470386054</v>
      </c>
      <c r="X355" s="62">
        <f t="shared" si="261"/>
        <v>-1767614.43378687</v>
      </c>
      <c r="Y355" s="62">
        <f t="shared" si="262"/>
        <v>-1777447.0038185725</v>
      </c>
      <c r="Z355" s="62">
        <f t="shared" si="263"/>
        <v>-1784477.1491467494</v>
      </c>
      <c r="AA355" s="62">
        <f t="shared" si="264"/>
        <v>-1789404.2428123963</v>
      </c>
      <c r="AB355" s="62">
        <f t="shared" si="265"/>
        <v>-1792809.1673782025</v>
      </c>
      <c r="AC355" s="62">
        <f t="shared" si="266"/>
        <v>-1795139.3269324831</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Input'!J6</f>
        <v>0.18104231880665794</v>
      </c>
      <c r="C363" s="62">
        <f>'Parameter Input'!K6</f>
        <v>0.17732719010569079</v>
      </c>
      <c r="D363" s="62">
        <f>'Parameter Input'!L6</f>
        <v>0.17361206140472354</v>
      </c>
      <c r="E363" s="62">
        <f>'Parameter Input'!M6</f>
        <v>0.17118675002498271</v>
      </c>
      <c r="F363" s="62">
        <f>'Parameter Input'!N6</f>
        <v>0.16876143864524187</v>
      </c>
      <c r="G363" s="62">
        <f>'Parameter Input'!O6</f>
        <v>0.16633612726550104</v>
      </c>
      <c r="H363" s="62">
        <f>'Parameter Input'!P6</f>
        <v>0.1639108158857602</v>
      </c>
      <c r="I363" s="62">
        <f>'Parameter Input'!Q6</f>
        <v>0.16148550450601945</v>
      </c>
      <c r="J363" s="62">
        <f>'Parameter Input'!R6</f>
        <v>0.1627875388918204</v>
      </c>
      <c r="K363" s="62">
        <f>'Parameter Input'!S6</f>
        <v>0.16408957327762139</v>
      </c>
      <c r="L363" s="62">
        <f>'Parameter Input'!T6</f>
        <v>0.16539160766342234</v>
      </c>
      <c r="M363" s="62">
        <f>'Parameter Input'!U6</f>
        <v>0.16669364204922332</v>
      </c>
      <c r="N363" s="62">
        <f>'Parameter Input'!V6</f>
        <v>0.16799567643502425</v>
      </c>
      <c r="O363" s="62">
        <f>'Parameter Input'!W6</f>
        <v>0.16487244686609676</v>
      </c>
      <c r="P363" s="62">
        <f>'Parameter Input'!X6</f>
        <v>0.16174921729716923</v>
      </c>
      <c r="Q363" s="62">
        <f>'Parameter Input'!Y6</f>
        <v>0.15862598772824177</v>
      </c>
      <c r="R363" s="62">
        <f>'Parameter Input'!Z6</f>
        <v>0.15550275815931427</v>
      </c>
      <c r="S363" s="62">
        <f>'Parameter Input'!AA6</f>
        <v>0.15237952859038681</v>
      </c>
      <c r="T363" s="62">
        <f>'Parameter Input'!AB6</f>
        <v>0.14950198735980291</v>
      </c>
      <c r="U363" s="62">
        <f>'Parameter Input'!AC6</f>
        <v>0.14662444612921899</v>
      </c>
      <c r="V363" s="62">
        <f>'Parameter Input'!AD6</f>
        <v>0.14374690489863506</v>
      </c>
      <c r="W363" s="62">
        <f>'Parameter Input'!AE6</f>
        <v>0.14086936366805117</v>
      </c>
      <c r="X363" s="62">
        <f>'Parameter Input'!AF6</f>
        <v>0.13799182243746722</v>
      </c>
      <c r="Y363" s="62">
        <f>'Parameter Input'!AG6</f>
        <v>0.1352562604095163</v>
      </c>
      <c r="Z363" s="62">
        <f>'Parameter Input'!AH6</f>
        <v>0.13252069838156535</v>
      </c>
      <c r="AA363" s="62">
        <f>'Parameter Input'!AI6</f>
        <v>0.12978513635361441</v>
      </c>
      <c r="AB363" s="62">
        <f>'Parameter Input'!AJ6</f>
        <v>0.12704957432566347</v>
      </c>
      <c r="AC363" s="62">
        <f>'Parameter Input'!AK6</f>
        <v>0.12431401229771254</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755.79245394358725</v>
      </c>
      <c r="C369" s="62">
        <f t="shared" si="272"/>
        <v>755.70266455291733</v>
      </c>
      <c r="D369" s="62">
        <f t="shared" si="272"/>
        <v>755.57413304007082</v>
      </c>
      <c r="E369" s="62">
        <f t="shared" si="272"/>
        <v>755.39025967220368</v>
      </c>
      <c r="F369" s="62">
        <f t="shared" si="272"/>
        <v>755.12746405584869</v>
      </c>
      <c r="G369" s="62">
        <f t="shared" si="272"/>
        <v>754.75239791882211</v>
      </c>
      <c r="H369" s="62">
        <f t="shared" si="272"/>
        <v>754.21821172590103</v>
      </c>
      <c r="I369" s="62">
        <f t="shared" si="272"/>
        <v>753.45974390849915</v>
      </c>
      <c r="J369" s="62">
        <f t="shared" si="272"/>
        <v>752.3877225327052</v>
      </c>
      <c r="K369" s="62">
        <f t="shared" si="272"/>
        <v>750.88262386195834</v>
      </c>
      <c r="L369" s="62">
        <f t="shared" si="273"/>
        <v>748.78999034188371</v>
      </c>
      <c r="M369" s="62">
        <f t="shared" si="273"/>
        <v>745.92106807143728</v>
      </c>
      <c r="N369" s="62">
        <f t="shared" si="273"/>
        <v>742.06554396123909</v>
      </c>
      <c r="O369" s="62">
        <f t="shared" si="273"/>
        <v>737.02562911672953</v>
      </c>
      <c r="P369" s="62">
        <f t="shared" si="273"/>
        <v>730.67870822624377</v>
      </c>
      <c r="Q369" s="62">
        <f t="shared" si="273"/>
        <v>723.06258534605354</v>
      </c>
      <c r="R369" s="62">
        <f t="shared" si="273"/>
        <v>714.45047424740278</v>
      </c>
      <c r="S369" s="62">
        <f t="shared" si="273"/>
        <v>705.35870389516015</v>
      </c>
      <c r="T369" s="62">
        <f t="shared" si="273"/>
        <v>696.44584257777012</v>
      </c>
      <c r="U369" s="62">
        <f t="shared" si="273"/>
        <v>688.33228146218346</v>
      </c>
      <c r="V369" s="62">
        <f t="shared" si="274"/>
        <v>681.43690990725634</v>
      </c>
      <c r="W369" s="62">
        <f t="shared" si="274"/>
        <v>675.91495218283933</v>
      </c>
      <c r="X369" s="62">
        <f t="shared" si="274"/>
        <v>671.70145335713607</v>
      </c>
      <c r="Y369" s="62">
        <f t="shared" si="274"/>
        <v>668.60419379714972</v>
      </c>
      <c r="Z369" s="62">
        <f t="shared" si="274"/>
        <v>666.38969801877408</v>
      </c>
      <c r="AA369" s="62">
        <f t="shared" si="274"/>
        <v>664.83766351409531</v>
      </c>
      <c r="AB369" s="62">
        <f t="shared" si="274"/>
        <v>663.76511227586627</v>
      </c>
      <c r="AC369" s="62">
        <f t="shared" si="274"/>
        <v>663.03111201626791</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6">((1+C358)^C365)*C358/(((1+C358)^C365)-1)*(C354)</f>
        <v>2343847.949386192</v>
      </c>
      <c r="D373" s="63">
        <f t="shared" si="276"/>
        <v>2342571.1749815131</v>
      </c>
      <c r="E373" s="63">
        <f t="shared" si="276"/>
        <v>2340744.6594088301</v>
      </c>
      <c r="F373" s="63">
        <f t="shared" si="276"/>
        <v>2338134.1656147949</v>
      </c>
      <c r="G373" s="63">
        <f t="shared" si="276"/>
        <v>2334408.426819603</v>
      </c>
      <c r="H373" s="63">
        <f t="shared" si="276"/>
        <v>2329102.0607514726</v>
      </c>
      <c r="I373" s="63">
        <f t="shared" si="276"/>
        <v>2321567.7816117923</v>
      </c>
      <c r="J373" s="63">
        <f t="shared" si="276"/>
        <v>2310918.8020458543</v>
      </c>
      <c r="K373" s="63">
        <f t="shared" si="276"/>
        <v>2295967.8268587827</v>
      </c>
      <c r="L373" s="63">
        <f t="shared" si="276"/>
        <v>2275180.5439766962</v>
      </c>
      <c r="M373" s="63">
        <f t="shared" si="276"/>
        <v>2246681.9567991556</v>
      </c>
      <c r="N373" s="63">
        <f t="shared" si="276"/>
        <v>2208382.9094176819</v>
      </c>
      <c r="O373" s="63">
        <f t="shared" si="276"/>
        <v>2158318.6556582791</v>
      </c>
      <c r="P373" s="63">
        <f t="shared" si="276"/>
        <v>2095271.1900055008</v>
      </c>
      <c r="Q373" s="63">
        <f t="shared" si="276"/>
        <v>2019616.0409999515</v>
      </c>
      <c r="R373" s="63">
        <f t="shared" si="276"/>
        <v>1934067.1917139916</v>
      </c>
      <c r="S373" s="63">
        <f t="shared" si="276"/>
        <v>1843753.6225209001</v>
      </c>
      <c r="T373" s="63">
        <f t="shared" si="276"/>
        <v>1755217.2554427353</v>
      </c>
      <c r="U373" s="63">
        <f t="shared" si="276"/>
        <v>1674620.7780983469</v>
      </c>
      <c r="V373" s="63">
        <f t="shared" si="276"/>
        <v>1606125.2495146997</v>
      </c>
      <c r="W373" s="63">
        <f t="shared" si="276"/>
        <v>1551272.5979733593</v>
      </c>
      <c r="X373" s="63">
        <f t="shared" si="276"/>
        <v>1509417.5903129096</v>
      </c>
      <c r="Y373" s="63">
        <f t="shared" si="276"/>
        <v>1478650.8029060119</v>
      </c>
      <c r="Z373" s="63">
        <f t="shared" si="276"/>
        <v>1456652.995002867</v>
      </c>
      <c r="AA373" s="63">
        <f t="shared" si="276"/>
        <v>1441235.7802913454</v>
      </c>
      <c r="AB373" s="63">
        <f t="shared" si="276"/>
        <v>1430581.5373096101</v>
      </c>
      <c r="AC373" s="63">
        <f t="shared" si="276"/>
        <v>1423290.3079159164</v>
      </c>
    </row>
    <row r="374" spans="1:29" x14ac:dyDescent="0.25">
      <c r="A374" s="30" t="str">
        <f>A355</f>
        <v>Residual value (vehicle)</v>
      </c>
      <c r="B374" s="62">
        <f>((1+B358)^B365)*B358/(((1+B358)^B365)-1)*(B355)</f>
        <v>-117391.61905450956</v>
      </c>
      <c r="C374" s="62">
        <f t="shared" ref="C374:AC374" si="277">((1+C358)^C365)*C358/(((1+C358)^C365)-1)*(C355)</f>
        <v>-117413.91724296159</v>
      </c>
      <c r="D374" s="62">
        <f t="shared" si="277"/>
        <v>-117445.83660307855</v>
      </c>
      <c r="E374" s="62">
        <f t="shared" si="277"/>
        <v>-117491.49949239564</v>
      </c>
      <c r="F374" s="62">
        <f t="shared" si="277"/>
        <v>-117556.76183724651</v>
      </c>
      <c r="G374" s="62">
        <f t="shared" si="277"/>
        <v>-117649.9053071263</v>
      </c>
      <c r="H374" s="62">
        <f t="shared" si="277"/>
        <v>-117782.56445882957</v>
      </c>
      <c r="I374" s="62">
        <f t="shared" si="277"/>
        <v>-117970.92143732157</v>
      </c>
      <c r="J374" s="62">
        <f t="shared" si="277"/>
        <v>-118237.14592647002</v>
      </c>
      <c r="K374" s="62">
        <f t="shared" si="277"/>
        <v>-118610.92030614681</v>
      </c>
      <c r="L374" s="62">
        <f t="shared" si="277"/>
        <v>-119130.60237819898</v>
      </c>
      <c r="M374" s="62">
        <f t="shared" si="277"/>
        <v>-119843.06705763748</v>
      </c>
      <c r="N374" s="62">
        <f t="shared" si="277"/>
        <v>-120800.54324217433</v>
      </c>
      <c r="O374" s="62">
        <f t="shared" si="277"/>
        <v>-122052.1495861594</v>
      </c>
      <c r="P374" s="62">
        <f t="shared" si="277"/>
        <v>-123628.33622747887</v>
      </c>
      <c r="Q374" s="62">
        <f t="shared" si="277"/>
        <v>-125519.71495261759</v>
      </c>
      <c r="R374" s="62">
        <f t="shared" si="277"/>
        <v>-127658.43618476659</v>
      </c>
      <c r="S374" s="62">
        <f t="shared" si="277"/>
        <v>-129916.27541459388</v>
      </c>
      <c r="T374" s="62">
        <f t="shared" si="277"/>
        <v>-132129.68459154799</v>
      </c>
      <c r="U374" s="62">
        <f t="shared" si="277"/>
        <v>-134144.59652515771</v>
      </c>
      <c r="V374" s="62">
        <f t="shared" si="277"/>
        <v>-135856.98473974891</v>
      </c>
      <c r="W374" s="62">
        <f t="shared" si="277"/>
        <v>-137228.30102828241</v>
      </c>
      <c r="X374" s="62">
        <f t="shared" si="277"/>
        <v>-138274.67621979365</v>
      </c>
      <c r="Y374" s="62">
        <f t="shared" si="277"/>
        <v>-139043.84590496609</v>
      </c>
      <c r="Z374" s="62">
        <f t="shared" si="277"/>
        <v>-139593.79110254472</v>
      </c>
      <c r="AA374" s="62">
        <f t="shared" si="277"/>
        <v>-139979.22147033276</v>
      </c>
      <c r="AB374" s="62">
        <f t="shared" si="277"/>
        <v>-140245.57754487614</v>
      </c>
      <c r="AC374" s="62">
        <f t="shared" si="277"/>
        <v>-140427.85827971846</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12792731.127093505</v>
      </c>
      <c r="C380" s="62">
        <f t="shared" ref="C380:AC380" si="283">C362*C363*C370</f>
        <v>12528799.071394671</v>
      </c>
      <c r="D380" s="62">
        <f t="shared" si="283"/>
        <v>12264328.443126084</v>
      </c>
      <c r="E380" s="62">
        <f t="shared" si="283"/>
        <v>12090201.317092478</v>
      </c>
      <c r="F380" s="62">
        <f t="shared" si="283"/>
        <v>11914969.557116391</v>
      </c>
      <c r="G380" s="62">
        <f t="shared" si="283"/>
        <v>11738191.13747659</v>
      </c>
      <c r="H380" s="62">
        <f t="shared" si="283"/>
        <v>11559256.07838391</v>
      </c>
      <c r="I380" s="62">
        <f t="shared" si="283"/>
        <v>11377331.944128966</v>
      </c>
      <c r="J380" s="62">
        <f t="shared" si="283"/>
        <v>11453553.581434283</v>
      </c>
      <c r="K380" s="62">
        <f t="shared" si="283"/>
        <v>11523210.322214071</v>
      </c>
      <c r="L380" s="62">
        <f t="shared" si="283"/>
        <v>11583881.043995168</v>
      </c>
      <c r="M380" s="62">
        <f t="shared" si="283"/>
        <v>11632564.942604586</v>
      </c>
      <c r="N380" s="62">
        <f t="shared" si="283"/>
        <v>11665851.888828779</v>
      </c>
      <c r="O380" s="62">
        <f t="shared" si="283"/>
        <v>11375108.904027309</v>
      </c>
      <c r="P380" s="62">
        <f t="shared" si="283"/>
        <v>11068372.534087626</v>
      </c>
      <c r="Q380" s="62">
        <f t="shared" si="283"/>
        <v>10747264.374170177</v>
      </c>
      <c r="R380" s="62">
        <f t="shared" si="283"/>
        <v>10416617.981834527</v>
      </c>
      <c r="S380" s="62">
        <f t="shared" si="283"/>
        <v>10084256.473865278</v>
      </c>
      <c r="T380" s="62">
        <f t="shared" si="283"/>
        <v>9775381.3652431425</v>
      </c>
      <c r="U380" s="62">
        <f t="shared" si="283"/>
        <v>9481483.2522856221</v>
      </c>
      <c r="V380" s="62">
        <f t="shared" si="283"/>
        <v>9207301.1564124171</v>
      </c>
      <c r="W380" s="62">
        <f t="shared" si="283"/>
        <v>8953843.9818064012</v>
      </c>
      <c r="X380" s="62">
        <f t="shared" si="283"/>
        <v>8719261.1138731912</v>
      </c>
      <c r="Y380" s="62">
        <f t="shared" si="283"/>
        <v>8509172.0481915157</v>
      </c>
      <c r="Z380" s="62">
        <f t="shared" si="283"/>
        <v>8310987.8682103679</v>
      </c>
      <c r="AA380" s="62">
        <f t="shared" si="283"/>
        <v>8121523.1022612676</v>
      </c>
      <c r="AB380" s="62">
        <f t="shared" si="283"/>
        <v>7938228.0712644216</v>
      </c>
      <c r="AC380" s="62">
        <f t="shared" si="283"/>
        <v>7759195.6795032695</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16735078.937799945</v>
      </c>
      <c r="C382" s="64">
        <f t="shared" ref="C382:AC382" si="285">C373+C374+C375+C376+C377+C378+C379+C380+C381</f>
        <v>16470232.656374577</v>
      </c>
      <c r="D382" s="64">
        <f t="shared" si="285"/>
        <v>16204453.334341194</v>
      </c>
      <c r="E382" s="64">
        <f t="shared" si="285"/>
        <v>16028454.02984559</v>
      </c>
      <c r="F382" s="64">
        <f t="shared" si="285"/>
        <v>15850546.513730615</v>
      </c>
      <c r="G382" s="64">
        <f t="shared" si="285"/>
        <v>15669949.211825743</v>
      </c>
      <c r="H382" s="64">
        <f t="shared" si="285"/>
        <v>15485575.12751323</v>
      </c>
      <c r="I382" s="64">
        <f t="shared" si="285"/>
        <v>15295928.357140113</v>
      </c>
      <c r="J382" s="64">
        <f t="shared" si="285"/>
        <v>15361234.790390344</v>
      </c>
      <c r="K382" s="64">
        <f t="shared" si="285"/>
        <v>15415566.781603383</v>
      </c>
      <c r="L382" s="64">
        <f t="shared" si="285"/>
        <v>15454930.538430342</v>
      </c>
      <c r="M382" s="64">
        <f t="shared" si="285"/>
        <v>15474403.385182781</v>
      </c>
      <c r="N382" s="64">
        <f t="shared" si="285"/>
        <v>15468433.807840962</v>
      </c>
      <c r="O382" s="64">
        <f t="shared" si="285"/>
        <v>15126374.962936105</v>
      </c>
      <c r="P382" s="64">
        <f t="shared" si="285"/>
        <v>14755014.940702325</v>
      </c>
      <c r="Q382" s="64">
        <f t="shared" si="285"/>
        <v>14356360.253054187</v>
      </c>
      <c r="R382" s="64">
        <f t="shared" si="285"/>
        <v>13938026.290200429</v>
      </c>
      <c r="S382" s="64">
        <f t="shared" si="285"/>
        <v>13513093.373808261</v>
      </c>
      <c r="T382" s="64">
        <f t="shared" si="285"/>
        <v>13113468.488931006</v>
      </c>
      <c r="U382" s="64">
        <f t="shared" si="285"/>
        <v>12736958.986695487</v>
      </c>
      <c r="V382" s="64">
        <f t="shared" si="285"/>
        <v>12392568.974024044</v>
      </c>
      <c r="W382" s="64">
        <f t="shared" si="285"/>
        <v>12082887.831588155</v>
      </c>
      <c r="X382" s="64">
        <f t="shared" si="285"/>
        <v>11805403.580802983</v>
      </c>
      <c r="Y382" s="64">
        <f t="shared" si="285"/>
        <v>11563778.558029238</v>
      </c>
      <c r="Z382" s="64">
        <f t="shared" si="285"/>
        <v>11343046.624947367</v>
      </c>
      <c r="AA382" s="64">
        <f t="shared" si="285"/>
        <v>11137779.213918956</v>
      </c>
      <c r="AB382" s="64">
        <f t="shared" si="285"/>
        <v>10943563.583865833</v>
      </c>
      <c r="AC382" s="64">
        <f t="shared" si="285"/>
        <v>10757057.681976143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19.539498974368939</v>
      </c>
      <c r="C385" s="65">
        <f t="shared" ref="C385:AC385" si="287">((1+C358)^C365)*C358/(((1+C358)^C365)-1)*(C354)/C370</f>
        <v>19.532066244884934</v>
      </c>
      <c r="D385" s="65">
        <f t="shared" si="287"/>
        <v>19.521426458179274</v>
      </c>
      <c r="E385" s="65">
        <f t="shared" si="287"/>
        <v>19.506205495073583</v>
      </c>
      <c r="F385" s="65">
        <f t="shared" si="287"/>
        <v>19.484451380123293</v>
      </c>
      <c r="G385" s="65">
        <f t="shared" si="287"/>
        <v>19.453403556830025</v>
      </c>
      <c r="H385" s="65">
        <f t="shared" si="287"/>
        <v>19.409183839595606</v>
      </c>
      <c r="I385" s="65">
        <f t="shared" si="287"/>
        <v>19.346398180098269</v>
      </c>
      <c r="J385" s="65">
        <f t="shared" si="287"/>
        <v>19.257656683715453</v>
      </c>
      <c r="K385" s="65">
        <f t="shared" si="287"/>
        <v>19.133065223823188</v>
      </c>
      <c r="L385" s="65">
        <f t="shared" si="287"/>
        <v>18.959837866472469</v>
      </c>
      <c r="M385" s="65">
        <f t="shared" si="287"/>
        <v>18.722349639992963</v>
      </c>
      <c r="N385" s="65">
        <f t="shared" si="287"/>
        <v>18.403190911814015</v>
      </c>
      <c r="O385" s="65">
        <f t="shared" si="287"/>
        <v>17.985988797152327</v>
      </c>
      <c r="P385" s="65">
        <f t="shared" si="287"/>
        <v>17.460593250045839</v>
      </c>
      <c r="Q385" s="65">
        <f t="shared" si="287"/>
        <v>16.830133674999598</v>
      </c>
      <c r="R385" s="65">
        <f t="shared" si="287"/>
        <v>16.117226597616597</v>
      </c>
      <c r="S385" s="65">
        <f t="shared" si="287"/>
        <v>15.364613521007501</v>
      </c>
      <c r="T385" s="65">
        <f t="shared" si="287"/>
        <v>14.626810462022794</v>
      </c>
      <c r="U385" s="65">
        <f t="shared" si="287"/>
        <v>13.955173150819558</v>
      </c>
      <c r="V385" s="65">
        <f t="shared" si="287"/>
        <v>13.384377079289164</v>
      </c>
      <c r="W385" s="65">
        <f t="shared" si="287"/>
        <v>12.927271649777994</v>
      </c>
      <c r="X385" s="65">
        <f t="shared" si="287"/>
        <v>12.578479919274246</v>
      </c>
      <c r="Y385" s="65">
        <f t="shared" si="287"/>
        <v>12.322090024216767</v>
      </c>
      <c r="Z385" s="65">
        <f t="shared" si="287"/>
        <v>12.138774958357224</v>
      </c>
      <c r="AA385" s="65">
        <f t="shared" si="287"/>
        <v>12.010298169094545</v>
      </c>
      <c r="AB385" s="65">
        <f t="shared" si="287"/>
        <v>11.921512810913416</v>
      </c>
      <c r="AC385" s="65">
        <f t="shared" si="287"/>
        <v>11.860752565965971</v>
      </c>
    </row>
    <row r="386" spans="1:29" x14ac:dyDescent="0.25">
      <c r="A386" s="30" t="str">
        <f t="shared" si="286"/>
        <v>Residual value (vehicle)</v>
      </c>
      <c r="B386" s="66">
        <f>((1+B358)^B365)*B358/(((1+B358)^B365)-1)*(B355)/B370</f>
        <v>-0.97826349212091301</v>
      </c>
      <c r="C386" s="66">
        <f t="shared" ref="C386:AC386" si="288">((1+C358)^C365)*C358/(((1+C358)^C365)-1)*(C355)/C370</f>
        <v>-0.97844931035801319</v>
      </c>
      <c r="D386" s="66">
        <f t="shared" si="288"/>
        <v>-0.97871530502565462</v>
      </c>
      <c r="E386" s="66">
        <f t="shared" si="288"/>
        <v>-0.97909582910329696</v>
      </c>
      <c r="F386" s="66">
        <f t="shared" si="288"/>
        <v>-0.9796396819770542</v>
      </c>
      <c r="G386" s="66">
        <f t="shared" si="288"/>
        <v>-0.98041587755938586</v>
      </c>
      <c r="H386" s="66">
        <f t="shared" si="288"/>
        <v>-0.98152137049024646</v>
      </c>
      <c r="I386" s="66">
        <f t="shared" si="288"/>
        <v>-0.98309101197767967</v>
      </c>
      <c r="J386" s="66">
        <f t="shared" si="288"/>
        <v>-0.98530954938725024</v>
      </c>
      <c r="K386" s="66">
        <f t="shared" si="288"/>
        <v>-0.9884243358845568</v>
      </c>
      <c r="L386" s="66">
        <f t="shared" si="288"/>
        <v>-0.99275501981832481</v>
      </c>
      <c r="M386" s="66">
        <f t="shared" si="288"/>
        <v>-0.99869222548031233</v>
      </c>
      <c r="N386" s="66">
        <f t="shared" si="288"/>
        <v>-1.0066711936847861</v>
      </c>
      <c r="O386" s="66">
        <f t="shared" si="288"/>
        <v>-1.0171012465513283</v>
      </c>
      <c r="P386" s="66">
        <f t="shared" si="288"/>
        <v>-1.0302361352289906</v>
      </c>
      <c r="Q386" s="66">
        <f t="shared" si="288"/>
        <v>-1.0459976246051466</v>
      </c>
      <c r="R386" s="66">
        <f t="shared" si="288"/>
        <v>-1.0638203015397216</v>
      </c>
      <c r="S386" s="66">
        <f t="shared" si="288"/>
        <v>-1.082635628454949</v>
      </c>
      <c r="T386" s="66">
        <f t="shared" si="288"/>
        <v>-1.1010807049295666</v>
      </c>
      <c r="U386" s="66">
        <f t="shared" si="288"/>
        <v>-1.1178716377096476</v>
      </c>
      <c r="V386" s="66">
        <f t="shared" si="288"/>
        <v>-1.1321415394979075</v>
      </c>
      <c r="W386" s="66">
        <f t="shared" si="288"/>
        <v>-1.1435691752356867</v>
      </c>
      <c r="X386" s="66">
        <f t="shared" si="288"/>
        <v>-1.1522889684982804</v>
      </c>
      <c r="Y386" s="66">
        <f t="shared" si="288"/>
        <v>-1.1586987158747175</v>
      </c>
      <c r="Z386" s="66">
        <f t="shared" si="288"/>
        <v>-1.1632815925212061</v>
      </c>
      <c r="AA386" s="66">
        <f t="shared" si="288"/>
        <v>-1.1664935122527731</v>
      </c>
      <c r="AB386" s="66">
        <f t="shared" si="288"/>
        <v>-1.1687131462073013</v>
      </c>
      <c r="AC386" s="66">
        <f t="shared" si="288"/>
        <v>-1.1702321523309871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106.60609272577921</v>
      </c>
      <c r="C392" s="66">
        <f t="shared" ref="C392:AC392" si="294">C362*C363*C370/C370</f>
        <v>104.40665892828892</v>
      </c>
      <c r="D392" s="66">
        <f t="shared" si="294"/>
        <v>102.2027370260507</v>
      </c>
      <c r="E392" s="66">
        <f t="shared" si="294"/>
        <v>100.75167764243731</v>
      </c>
      <c r="F392" s="66">
        <f t="shared" si="294"/>
        <v>99.291412975969919</v>
      </c>
      <c r="G392" s="66">
        <f t="shared" si="294"/>
        <v>97.818259478971584</v>
      </c>
      <c r="H392" s="66">
        <f t="shared" si="294"/>
        <v>96.327133986532573</v>
      </c>
      <c r="I392" s="66">
        <f t="shared" si="294"/>
        <v>94.811099534408044</v>
      </c>
      <c r="J392" s="66">
        <f t="shared" si="294"/>
        <v>95.446279845285702</v>
      </c>
      <c r="K392" s="66">
        <f t="shared" si="294"/>
        <v>96.026752685117259</v>
      </c>
      <c r="L392" s="66">
        <f t="shared" si="294"/>
        <v>96.532342033293062</v>
      </c>
      <c r="M392" s="66">
        <f t="shared" si="294"/>
        <v>96.938041188371557</v>
      </c>
      <c r="N392" s="66">
        <f t="shared" si="294"/>
        <v>97.215432406906487</v>
      </c>
      <c r="O392" s="66">
        <f t="shared" si="294"/>
        <v>94.792574200227577</v>
      </c>
      <c r="P392" s="66">
        <f t="shared" si="294"/>
        <v>92.236437784063554</v>
      </c>
      <c r="Q392" s="66">
        <f t="shared" si="294"/>
        <v>89.560536451418145</v>
      </c>
      <c r="R392" s="66">
        <f t="shared" si="294"/>
        <v>86.805149848621056</v>
      </c>
      <c r="S392" s="66">
        <f t="shared" si="294"/>
        <v>84.035470615543986</v>
      </c>
      <c r="T392" s="66">
        <f t="shared" si="294"/>
        <v>81.461511377026184</v>
      </c>
      <c r="U392" s="66">
        <f t="shared" si="294"/>
        <v>79.012360435713518</v>
      </c>
      <c r="V392" s="66">
        <f t="shared" si="294"/>
        <v>76.727509636770137</v>
      </c>
      <c r="W392" s="66">
        <f t="shared" si="294"/>
        <v>74.615366515053339</v>
      </c>
      <c r="X392" s="66">
        <f t="shared" si="294"/>
        <v>72.660509282276593</v>
      </c>
      <c r="Y392" s="66">
        <f t="shared" si="294"/>
        <v>70.909767068262624</v>
      </c>
      <c r="Z392" s="66">
        <f t="shared" si="294"/>
        <v>69.258232235086396</v>
      </c>
      <c r="AA392" s="66">
        <f t="shared" si="294"/>
        <v>67.679359185510563</v>
      </c>
      <c r="AB392" s="66">
        <f t="shared" si="294"/>
        <v>66.151900593870181</v>
      </c>
      <c r="AC392" s="66">
        <f t="shared" si="294"/>
        <v>64.659963995860579</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139.58936901201997</v>
      </c>
      <c r="C394" s="76">
        <f t="shared" ref="C394:AC394" si="297">C385+C386+C387-C388+C389+C390+C391+C392+C393</f>
        <v>137.38231666680861</v>
      </c>
      <c r="D394" s="76">
        <f t="shared" si="297"/>
        <v>135.16748898319707</v>
      </c>
      <c r="E394" s="76">
        <f t="shared" si="297"/>
        <v>133.70082811240036</v>
      </c>
      <c r="F394" s="76">
        <f t="shared" si="297"/>
        <v>132.21826547810892</v>
      </c>
      <c r="G394" s="76">
        <f t="shared" si="297"/>
        <v>130.71328796223497</v>
      </c>
      <c r="H394" s="76">
        <f t="shared" si="297"/>
        <v>129.1768372596307</v>
      </c>
      <c r="I394" s="76">
        <f t="shared" si="297"/>
        <v>127.5964475065214</v>
      </c>
      <c r="J394" s="76">
        <f t="shared" si="297"/>
        <v>128.14066778360666</v>
      </c>
      <c r="K394" s="76">
        <f t="shared" si="297"/>
        <v>128.59343437704865</v>
      </c>
      <c r="L394" s="76">
        <f t="shared" si="297"/>
        <v>128.92146568393997</v>
      </c>
      <c r="M394" s="76">
        <f t="shared" si="297"/>
        <v>129.08373940687696</v>
      </c>
      <c r="N394" s="76">
        <f t="shared" si="297"/>
        <v>129.03399292902847</v>
      </c>
      <c r="O394" s="76">
        <f t="shared" si="297"/>
        <v>126.18350255482133</v>
      </c>
      <c r="P394" s="76">
        <f t="shared" si="297"/>
        <v>123.08883570287315</v>
      </c>
      <c r="Q394" s="76">
        <f t="shared" si="297"/>
        <v>119.76671330580535</v>
      </c>
      <c r="R394" s="76">
        <f t="shared" si="297"/>
        <v>116.28059694869069</v>
      </c>
      <c r="S394" s="76">
        <f t="shared" si="297"/>
        <v>112.73948931208929</v>
      </c>
      <c r="T394" s="76">
        <f t="shared" si="297"/>
        <v>109.40928193811217</v>
      </c>
      <c r="U394" s="76">
        <f t="shared" si="297"/>
        <v>106.27170275281618</v>
      </c>
      <c r="V394" s="76">
        <f t="shared" si="297"/>
        <v>103.40178598055415</v>
      </c>
      <c r="W394" s="76">
        <f t="shared" si="297"/>
        <v>100.82110979358841</v>
      </c>
      <c r="X394" s="76">
        <f t="shared" si="297"/>
        <v>98.508741037045311</v>
      </c>
      <c r="Y394" s="76">
        <f t="shared" si="297"/>
        <v>96.495199180597439</v>
      </c>
      <c r="Z394" s="76">
        <f t="shared" si="297"/>
        <v>94.65576640491517</v>
      </c>
      <c r="AA394" s="76">
        <f t="shared" si="297"/>
        <v>92.94520464634509</v>
      </c>
      <c r="AB394" s="76">
        <f t="shared" si="297"/>
        <v>91.326741062569056</v>
      </c>
      <c r="AC394" s="76">
        <f t="shared" si="297"/>
        <v>89.772525213488322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2.0676718491395704E-3</v>
      </c>
      <c r="C397" s="65">
        <f t="shared" ref="C397:AC397" si="299">((1+C358)^C365)*C358/(((1+C358)^C365)-1)*(C354)/C370/(C367)</f>
        <v>2.0668853169190406E-3</v>
      </c>
      <c r="D397" s="65">
        <f t="shared" si="299"/>
        <v>2.0657594135639443E-3</v>
      </c>
      <c r="E397" s="65">
        <f t="shared" si="299"/>
        <v>2.064148729637416E-3</v>
      </c>
      <c r="F397" s="65">
        <f t="shared" si="299"/>
        <v>2.0618467068913536E-3</v>
      </c>
      <c r="G397" s="65">
        <f t="shared" si="299"/>
        <v>2.0585612229449763E-3</v>
      </c>
      <c r="H397" s="65">
        <f t="shared" si="299"/>
        <v>2.0538818877878949E-3</v>
      </c>
      <c r="I397" s="65">
        <f t="shared" si="299"/>
        <v>2.0472379026559013E-3</v>
      </c>
      <c r="J397" s="65">
        <f t="shared" si="299"/>
        <v>2.0378472681180375E-3</v>
      </c>
      <c r="K397" s="65">
        <f t="shared" si="299"/>
        <v>2.0246629866479565E-3</v>
      </c>
      <c r="L397" s="65">
        <f t="shared" si="299"/>
        <v>2.0063320493621663E-3</v>
      </c>
      <c r="M397" s="65">
        <f t="shared" si="299"/>
        <v>1.9812010201050753E-3</v>
      </c>
      <c r="N397" s="65">
        <f t="shared" si="299"/>
        <v>1.9474276097157688E-3</v>
      </c>
      <c r="O397" s="65">
        <f t="shared" si="299"/>
        <v>1.9032792377938971E-3</v>
      </c>
      <c r="P397" s="65">
        <f t="shared" si="299"/>
        <v>1.8476818254016762E-3</v>
      </c>
      <c r="Q397" s="65">
        <f t="shared" si="299"/>
        <v>1.7809665264549839E-3</v>
      </c>
      <c r="R397" s="65">
        <f t="shared" si="299"/>
        <v>1.7055266240864123E-3</v>
      </c>
      <c r="S397" s="65">
        <f t="shared" si="299"/>
        <v>1.6258850286780425E-3</v>
      </c>
      <c r="T397" s="65">
        <f t="shared" si="299"/>
        <v>1.547810630901883E-3</v>
      </c>
      <c r="U397" s="65">
        <f t="shared" si="299"/>
        <v>1.4767378995576251E-3</v>
      </c>
      <c r="V397" s="65">
        <f t="shared" si="299"/>
        <v>1.4163361988665782E-3</v>
      </c>
      <c r="W397" s="65">
        <f t="shared" si="299"/>
        <v>1.3679652539447613E-3</v>
      </c>
      <c r="X397" s="65">
        <f t="shared" si="299"/>
        <v>1.3310560761136767E-3</v>
      </c>
      <c r="Y397" s="65">
        <f t="shared" si="299"/>
        <v>1.3039248702874885E-3</v>
      </c>
      <c r="Z397" s="65">
        <f t="shared" si="299"/>
        <v>1.2845264506198121E-3</v>
      </c>
      <c r="AA397" s="65">
        <f t="shared" si="299"/>
        <v>1.270931023184608E-3</v>
      </c>
      <c r="AB397" s="65">
        <f t="shared" si="299"/>
        <v>1.2615357471866049E-3</v>
      </c>
      <c r="AC397" s="65">
        <f t="shared" si="299"/>
        <v>1.2551060916366106E-3</v>
      </c>
    </row>
    <row r="398" spans="1:29" x14ac:dyDescent="0.25">
      <c r="A398" s="30" t="str">
        <f t="shared" si="298"/>
        <v>Residual value (vehicle)</v>
      </c>
      <c r="B398" s="68">
        <f>((1+B358)^B365)*B358/(((1+B358)^B365)-1)*(B355)/B370/(B367)</f>
        <v>-1.0351994625618128E-4</v>
      </c>
      <c r="C398" s="68">
        <f t="shared" ref="C398:AC398" si="300">((1+C358)^C365)*C358/(((1+C358)^C365)-1)*(C355)/C370/(C367)</f>
        <v>-1.0353960956169452E-4</v>
      </c>
      <c r="D398" s="68">
        <f t="shared" si="300"/>
        <v>-1.0356775714557191E-4</v>
      </c>
      <c r="E398" s="68">
        <f t="shared" si="300"/>
        <v>-1.0360802424373513E-4</v>
      </c>
      <c r="F398" s="68">
        <f t="shared" si="300"/>
        <v>-1.0366557481238669E-4</v>
      </c>
      <c r="G398" s="68">
        <f t="shared" si="300"/>
        <v>-1.0374771191104613E-4</v>
      </c>
      <c r="H398" s="68">
        <f t="shared" si="300"/>
        <v>-1.0386469528997317E-4</v>
      </c>
      <c r="I398" s="68">
        <f t="shared" si="300"/>
        <v>-1.0403079491827298E-4</v>
      </c>
      <c r="J398" s="68">
        <f t="shared" si="300"/>
        <v>-1.042655607817196E-4</v>
      </c>
      <c r="K398" s="68">
        <f t="shared" si="300"/>
        <v>-1.0459516781847161E-4</v>
      </c>
      <c r="L398" s="68">
        <f t="shared" si="300"/>
        <v>-1.0505344125061638E-4</v>
      </c>
      <c r="M398" s="68">
        <f t="shared" si="300"/>
        <v>-1.0568171698204363E-4</v>
      </c>
      <c r="N398" s="68">
        <f t="shared" si="300"/>
        <v>-1.0652605224177631E-4</v>
      </c>
      <c r="O398" s="68">
        <f t="shared" si="300"/>
        <v>-1.076297615398231E-4</v>
      </c>
      <c r="P398" s="68">
        <f t="shared" si="300"/>
        <v>-1.0901969684962864E-4</v>
      </c>
      <c r="Q398" s="68">
        <f t="shared" si="300"/>
        <v>-1.1068757932329594E-4</v>
      </c>
      <c r="R398" s="68">
        <f t="shared" si="300"/>
        <v>-1.1257357688251022E-4</v>
      </c>
      <c r="S398" s="68">
        <f t="shared" si="300"/>
        <v>-1.1456461676771947E-4</v>
      </c>
      <c r="T398" s="68">
        <f t="shared" si="300"/>
        <v>-1.1651647671212345E-4</v>
      </c>
      <c r="U398" s="68">
        <f t="shared" si="300"/>
        <v>-1.182932949957299E-4</v>
      </c>
      <c r="V398" s="68">
        <f t="shared" si="300"/>
        <v>-1.1980333751300609E-4</v>
      </c>
      <c r="W398" s="68">
        <f t="shared" si="300"/>
        <v>-1.210126111360515E-4</v>
      </c>
      <c r="X398" s="68">
        <f t="shared" si="300"/>
        <v>-1.2193534058182861E-4</v>
      </c>
      <c r="Y398" s="68">
        <f t="shared" si="300"/>
        <v>-1.2261362072748334E-4</v>
      </c>
      <c r="Z398" s="68">
        <f t="shared" si="300"/>
        <v>-1.2309858121917525E-4</v>
      </c>
      <c r="AA398" s="68">
        <f t="shared" si="300"/>
        <v>-1.2343846690505536E-4</v>
      </c>
      <c r="AB398" s="68">
        <f t="shared" si="300"/>
        <v>-1.2367334880500542E-4</v>
      </c>
      <c r="AC398" s="68">
        <f t="shared" si="300"/>
        <v>-1.2383409019375524E-4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1.1281068013309969E-2</v>
      </c>
      <c r="C404" s="66">
        <f t="shared" ref="C404:AC404" si="306">C362*C363*C370/C370/(C367)</f>
        <v>1.104832369611523E-2</v>
      </c>
      <c r="D404" s="66">
        <f t="shared" si="306"/>
        <v>1.0815104447201133E-2</v>
      </c>
      <c r="E404" s="66">
        <f t="shared" si="306"/>
        <v>1.0661553189675906E-2</v>
      </c>
      <c r="F404" s="66">
        <f t="shared" si="306"/>
        <v>1.0507027828144964E-2</v>
      </c>
      <c r="G404" s="66">
        <f t="shared" si="306"/>
        <v>1.0351138569203342E-2</v>
      </c>
      <c r="H404" s="66">
        <f t="shared" si="306"/>
        <v>1.0193347511802389E-2</v>
      </c>
      <c r="I404" s="66">
        <f t="shared" si="306"/>
        <v>1.0032920585651644E-2</v>
      </c>
      <c r="J404" s="66">
        <f t="shared" si="306"/>
        <v>1.0100135433363567E-2</v>
      </c>
      <c r="K404" s="66">
        <f t="shared" si="306"/>
        <v>1.0161561130700238E-2</v>
      </c>
      <c r="L404" s="66">
        <f t="shared" si="306"/>
        <v>1.0215062649025721E-2</v>
      </c>
      <c r="M404" s="66">
        <f t="shared" si="306"/>
        <v>1.0257993776547255E-2</v>
      </c>
      <c r="N404" s="66">
        <f t="shared" si="306"/>
        <v>1.0287347344646189E-2</v>
      </c>
      <c r="O404" s="66">
        <f t="shared" si="306"/>
        <v>1.0030960232828314E-2</v>
      </c>
      <c r="P404" s="66">
        <f t="shared" si="306"/>
        <v>9.7604696067792127E-3</v>
      </c>
      <c r="Q404" s="66">
        <f t="shared" si="306"/>
        <v>9.4773054445945124E-3</v>
      </c>
      <c r="R404" s="66">
        <f t="shared" si="306"/>
        <v>9.1857301427112226E-3</v>
      </c>
      <c r="S404" s="66">
        <f t="shared" si="306"/>
        <v>8.8926423931792575E-3</v>
      </c>
      <c r="T404" s="66">
        <f t="shared" si="306"/>
        <v>8.6202657541826645E-3</v>
      </c>
      <c r="U404" s="66">
        <f t="shared" si="306"/>
        <v>8.3610963424035466E-3</v>
      </c>
      <c r="V404" s="66">
        <f t="shared" si="306"/>
        <v>8.1193131890762056E-3</v>
      </c>
      <c r="W404" s="66">
        <f t="shared" si="306"/>
        <v>7.8958059804289243E-3</v>
      </c>
      <c r="X404" s="66">
        <f t="shared" si="306"/>
        <v>7.6889427811932904E-3</v>
      </c>
      <c r="Y404" s="66">
        <f t="shared" si="306"/>
        <v>7.5036790548426054E-3</v>
      </c>
      <c r="Z404" s="66">
        <f t="shared" si="306"/>
        <v>7.3289134640303066E-3</v>
      </c>
      <c r="AA404" s="66">
        <f t="shared" si="306"/>
        <v>7.1618369508476788E-3</v>
      </c>
      <c r="AB404" s="66">
        <f t="shared" si="306"/>
        <v>7.0002011210444637E-3</v>
      </c>
      <c r="AC404" s="66">
        <f t="shared" si="306"/>
        <v>6.8423242323661987E-3</v>
      </c>
    </row>
    <row r="405" spans="1:29" x14ac:dyDescent="0.25">
      <c r="A405" s="59" t="str">
        <f>A368</f>
        <v>Market failure (av. utilization)</v>
      </c>
      <c r="B405" s="66">
        <f t="shared" ref="B405:AC405" si="307">B394/B368-B394/B367</f>
        <v>6.9512290824535299E-3</v>
      </c>
      <c r="C405" s="66">
        <f t="shared" si="307"/>
        <v>6.8413229588202198E-3</v>
      </c>
      <c r="D405" s="66">
        <f t="shared" si="307"/>
        <v>6.7310296412423018E-3</v>
      </c>
      <c r="E405" s="66">
        <f t="shared" si="307"/>
        <v>6.6579933078070482E-3</v>
      </c>
      <c r="F405" s="66">
        <f t="shared" si="307"/>
        <v>6.5841651031737988E-3</v>
      </c>
      <c r="G405" s="66">
        <f t="shared" si="307"/>
        <v>6.50922068906243E-3</v>
      </c>
      <c r="H405" s="66">
        <f t="shared" si="307"/>
        <v>6.4327089827391527E-3</v>
      </c>
      <c r="I405" s="66">
        <f t="shared" si="307"/>
        <v>6.3540092128986665E-3</v>
      </c>
      <c r="J405" s="66">
        <f t="shared" si="307"/>
        <v>6.3811101292801306E-3</v>
      </c>
      <c r="K405" s="66">
        <f t="shared" si="307"/>
        <v>6.4036568628471156E-3</v>
      </c>
      <c r="L405" s="66">
        <f t="shared" si="307"/>
        <v>6.419992066427134E-3</v>
      </c>
      <c r="M405" s="66">
        <f t="shared" si="307"/>
        <v>6.4280729240897318E-3</v>
      </c>
      <c r="N405" s="66">
        <f t="shared" si="307"/>
        <v>6.425595664066152E-3</v>
      </c>
      <c r="O405" s="66">
        <f t="shared" si="307"/>
        <v>6.2836478085189548E-3</v>
      </c>
      <c r="P405" s="66">
        <f t="shared" si="307"/>
        <v>6.1295405267537163E-3</v>
      </c>
      <c r="Q405" s="66">
        <f t="shared" si="307"/>
        <v>5.9641064827042796E-3</v>
      </c>
      <c r="R405" s="66">
        <f t="shared" si="307"/>
        <v>5.7905059171461243E-3</v>
      </c>
      <c r="S405" s="66">
        <f t="shared" si="307"/>
        <v>5.6141669125223392E-3</v>
      </c>
      <c r="T405" s="66">
        <f t="shared" si="307"/>
        <v>5.4483302552436799E-3</v>
      </c>
      <c r="U405" s="66">
        <f t="shared" si="307"/>
        <v>5.292086038110981E-3</v>
      </c>
      <c r="V405" s="66">
        <f t="shared" si="307"/>
        <v>5.1491707926824334E-3</v>
      </c>
      <c r="W405" s="66">
        <f t="shared" si="307"/>
        <v>5.0206590622390718E-3</v>
      </c>
      <c r="X405" s="66">
        <f t="shared" si="307"/>
        <v>4.9055084238802497E-3</v>
      </c>
      <c r="Y405" s="66">
        <f t="shared" si="307"/>
        <v>4.8052386769049434E-3</v>
      </c>
      <c r="Z405" s="66">
        <f t="shared" si="307"/>
        <v>4.71363916115357E-3</v>
      </c>
      <c r="AA405" s="66">
        <f t="shared" si="307"/>
        <v>4.6284571252459411E-3</v>
      </c>
      <c r="AB405" s="66">
        <f t="shared" si="307"/>
        <v>4.5478613663277444E-3</v>
      </c>
      <c r="AC405" s="66">
        <f t="shared" si="307"/>
        <v>4.4704649966256227E-3</v>
      </c>
    </row>
    <row r="406" spans="1:29" x14ac:dyDescent="0.25">
      <c r="A406" s="59" t="str">
        <f>A369</f>
        <v>Payload loss (fuel)</v>
      </c>
      <c r="B406" s="66">
        <f>B394/(B367-B369)-B394/B367</f>
        <v>1.284082962585361E-3</v>
      </c>
      <c r="C406" s="66">
        <f t="shared" ref="C406:AC406" si="308">C394/(C367-C369)-C394/C367</f>
        <v>1.2636170932335596E-3</v>
      </c>
      <c r="D406" s="66">
        <f t="shared" si="308"/>
        <v>1.2430156887153123E-3</v>
      </c>
      <c r="E406" s="66">
        <f t="shared" si="308"/>
        <v>1.2292028990673731E-3</v>
      </c>
      <c r="F406" s="66">
        <f t="shared" si="308"/>
        <v>1.2151130724520325E-3</v>
      </c>
      <c r="G406" s="66">
        <f t="shared" si="308"/>
        <v>1.200633560482306E-3</v>
      </c>
      <c r="H406" s="66">
        <f t="shared" si="308"/>
        <v>1.1856082713714144E-3</v>
      </c>
      <c r="I406" s="66">
        <f t="shared" si="308"/>
        <v>1.1698234330431156E-3</v>
      </c>
      <c r="J406" s="66">
        <f t="shared" si="308"/>
        <v>1.172996809239775E-3</v>
      </c>
      <c r="K406" s="66">
        <f t="shared" si="308"/>
        <v>1.1745833774396714E-3</v>
      </c>
      <c r="L406" s="66">
        <f t="shared" si="308"/>
        <v>1.174015430976609E-3</v>
      </c>
      <c r="M406" s="66">
        <f t="shared" si="308"/>
        <v>1.1706034032650803E-3</v>
      </c>
      <c r="N406" s="66">
        <f t="shared" si="308"/>
        <v>1.163588561366594E-3</v>
      </c>
      <c r="O406" s="66">
        <f t="shared" si="308"/>
        <v>1.1295017894501543E-3</v>
      </c>
      <c r="P406" s="66">
        <f t="shared" si="308"/>
        <v>1.0915173078276542E-3</v>
      </c>
      <c r="Q406" s="66">
        <f t="shared" si="308"/>
        <v>1.0500702424566331E-3</v>
      </c>
      <c r="R406" s="66">
        <f t="shared" si="308"/>
        <v>1.0063692139444611E-3</v>
      </c>
      <c r="S406" s="66">
        <f t="shared" si="308"/>
        <v>9.6230398662464599E-4</v>
      </c>
      <c r="T406" s="66">
        <f t="shared" si="308"/>
        <v>9.211392464031614E-4</v>
      </c>
      <c r="U406" s="66">
        <f t="shared" si="308"/>
        <v>8.8348095001078257E-4</v>
      </c>
      <c r="V406" s="66">
        <f t="shared" si="308"/>
        <v>8.5034165457721807E-4</v>
      </c>
      <c r="W406" s="66">
        <f t="shared" si="308"/>
        <v>8.2188277602811798E-4</v>
      </c>
      <c r="X406" s="66">
        <f t="shared" si="308"/>
        <v>7.9764362997791598E-4</v>
      </c>
      <c r="Y406" s="66">
        <f t="shared" si="308"/>
        <v>7.7746248492457232E-4</v>
      </c>
      <c r="Z406" s="66">
        <f t="shared" si="308"/>
        <v>7.5992456370496501E-4</v>
      </c>
      <c r="AA406" s="66">
        <f t="shared" si="308"/>
        <v>7.4432225254313783E-4</v>
      </c>
      <c r="AB406" s="66">
        <f t="shared" si="308"/>
        <v>7.3009229398569853E-4</v>
      </c>
      <c r="AC406" s="66">
        <f t="shared" si="308"/>
        <v>7.1681395580462486E-4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2.2992877245920678E-2</v>
      </c>
      <c r="C408" s="67">
        <f t="shared" ref="C408:AC408" si="310">C397+C398+C399+C400+C401+C402+C403+C404+C405+C406+C407</f>
        <v>2.2628954740214785E-2</v>
      </c>
      <c r="D408" s="67">
        <f t="shared" si="310"/>
        <v>2.2263686718265549E-2</v>
      </c>
      <c r="E408" s="67">
        <f t="shared" si="310"/>
        <v>2.2021635386632432E-2</v>
      </c>
      <c r="F408" s="67">
        <f t="shared" si="310"/>
        <v>2.1776832420538191E-2</v>
      </c>
      <c r="G408" s="67">
        <f t="shared" si="310"/>
        <v>2.1528151614470435E-2</v>
      </c>
      <c r="H408" s="67">
        <f t="shared" si="310"/>
        <v>2.1274027243099305E-2</v>
      </c>
      <c r="I408" s="67">
        <f t="shared" si="310"/>
        <v>2.1012305624019484E-2</v>
      </c>
      <c r="J408" s="67">
        <f t="shared" si="310"/>
        <v>2.1100169363908218E-2</v>
      </c>
      <c r="K408" s="67">
        <f t="shared" si="310"/>
        <v>2.1172214474504937E-2</v>
      </c>
      <c r="L408" s="67">
        <f t="shared" si="310"/>
        <v>2.1222694039229439E-2</v>
      </c>
      <c r="M408" s="67">
        <f t="shared" si="310"/>
        <v>2.1244534691713526E-2</v>
      </c>
      <c r="N408" s="67">
        <f t="shared" si="310"/>
        <v>2.1229778412241357E-2</v>
      </c>
      <c r="O408" s="67">
        <f t="shared" si="310"/>
        <v>2.0752104591739928E-2</v>
      </c>
      <c r="P408" s="67">
        <f t="shared" si="310"/>
        <v>2.023253485460106E-2</v>
      </c>
      <c r="Q408" s="67">
        <f t="shared" si="310"/>
        <v>1.967410640157554E-2</v>
      </c>
      <c r="R408" s="67">
        <f t="shared" si="310"/>
        <v>1.9087903605694137E-2</v>
      </c>
      <c r="S408" s="67">
        <f t="shared" si="310"/>
        <v>1.8492778988924992E-2</v>
      </c>
      <c r="T408" s="67">
        <f t="shared" si="310"/>
        <v>1.7933374694707696E-2</v>
      </c>
      <c r="U408" s="67">
        <f t="shared" si="310"/>
        <v>1.7407453219775632E-2</v>
      </c>
      <c r="V408" s="67">
        <f t="shared" si="310"/>
        <v>1.6927703782377852E-2</v>
      </c>
      <c r="W408" s="67">
        <f t="shared" si="310"/>
        <v>1.6497645746193251E-2</v>
      </c>
      <c r="X408" s="67">
        <f t="shared" si="310"/>
        <v>1.6113560855271731E-2</v>
      </c>
      <c r="Y408" s="67">
        <f t="shared" si="310"/>
        <v>1.5780036750920552E-2</v>
      </c>
      <c r="Z408" s="67">
        <f t="shared" si="310"/>
        <v>1.5476250342977905E-2</v>
      </c>
      <c r="AA408" s="67">
        <f t="shared" si="310"/>
        <v>1.5194454169604736E-2</v>
      </c>
      <c r="AB408" s="67">
        <f t="shared" si="310"/>
        <v>1.4928362464427932E-2</v>
      </c>
      <c r="AC408" s="67">
        <f t="shared" si="310"/>
        <v>1.4673220470927728E-2</v>
      </c>
    </row>
    <row r="410" spans="1:29" x14ac:dyDescent="0.25">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400"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Input'!$L$261</f>
        <v>19500000</v>
      </c>
      <c r="C11" s="42">
        <f>'Parameter Input'!$M$261</f>
        <v>15000000</v>
      </c>
      <c r="D11" s="1" t="s">
        <v>15</v>
      </c>
      <c r="L11" s="51">
        <f>'Parameter Input'!$O$261</f>
        <v>17</v>
      </c>
      <c r="M11" s="52">
        <v>0</v>
      </c>
      <c r="N11" s="52">
        <v>1</v>
      </c>
      <c r="O11" s="52">
        <f>'Parameter Input'!$P$261</f>
        <v>0.9</v>
      </c>
      <c r="P11" s="53">
        <f>'Parameter Input'!$Q$261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Input'!$L$262</f>
        <v>-975000</v>
      </c>
      <c r="C12" s="61">
        <f>'Parameter Input'!$M$262</f>
        <v>-1500000</v>
      </c>
      <c r="D12" s="1" t="s">
        <v>15</v>
      </c>
      <c r="L12" s="54">
        <f>'Parameter Input'!$O$262</f>
        <v>17</v>
      </c>
      <c r="M12" s="37">
        <v>0</v>
      </c>
      <c r="N12" s="37">
        <v>1</v>
      </c>
      <c r="O12" s="37">
        <f>'Parameter Input'!$P$262</f>
        <v>0.9</v>
      </c>
      <c r="P12" s="55">
        <f>'Parameter Input'!$Q$262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Input'!$L$268</f>
        <v>0.06</v>
      </c>
      <c r="C15" s="91">
        <f>'Parameter Input'!$M$268</f>
        <v>0.06</v>
      </c>
      <c r="D15" s="1" t="s">
        <v>57</v>
      </c>
      <c r="L15" s="54">
        <f>'Parameter Input'!$O$268</f>
        <v>17</v>
      </c>
      <c r="M15" s="37">
        <v>0</v>
      </c>
      <c r="N15" s="37">
        <v>1</v>
      </c>
      <c r="O15" s="37">
        <f>'Parameter Input'!$P$268</f>
        <v>0.9</v>
      </c>
      <c r="P15" s="55">
        <f>'Parameter Input'!$Q$268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Input'!$L$264</f>
        <v>488235.29411764705</v>
      </c>
      <c r="C17" s="61">
        <f>'Parameter Input'!$M$264</f>
        <v>488235.29411764705</v>
      </c>
      <c r="D17" s="1" t="s">
        <v>38</v>
      </c>
      <c r="L17" s="54">
        <f>'Parameter Input'!$O$264</f>
        <v>17</v>
      </c>
      <c r="M17" s="37">
        <v>0</v>
      </c>
      <c r="N17" s="37">
        <v>1</v>
      </c>
      <c r="O17" s="37">
        <f>'Parameter Input'!$P$264</f>
        <v>0.9</v>
      </c>
      <c r="P17" s="55">
        <f>'Parameter Input'!$Q$264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Input'!$L$265</f>
        <v>647</v>
      </c>
      <c r="C19" s="61">
        <f>'Parameter Input'!$M$265</f>
        <v>600</v>
      </c>
      <c r="D19" s="1" t="s">
        <v>60</v>
      </c>
      <c r="L19" s="54">
        <f>'Parameter Input'!$O$265</f>
        <v>17</v>
      </c>
      <c r="M19" s="37">
        <v>0</v>
      </c>
      <c r="N19" s="37">
        <v>1</v>
      </c>
      <c r="O19" s="37">
        <f>'Parameter Input'!$P$265</f>
        <v>0.9</v>
      </c>
      <c r="P19" s="55">
        <f>'Parameter Input'!$Q$265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Input'!$L$266</f>
        <v>0.46076973995226939</v>
      </c>
      <c r="C20" s="61">
        <f>'Parameter Input'!$M$266</f>
        <v>0.14224714585492179</v>
      </c>
      <c r="D20" s="1" t="s">
        <v>68</v>
      </c>
      <c r="L20" s="54">
        <f>'Parameter Input'!$O$266</f>
        <v>17</v>
      </c>
      <c r="M20" s="37">
        <v>0</v>
      </c>
      <c r="N20" s="37">
        <v>1</v>
      </c>
      <c r="O20" s="37">
        <f>'Parameter Input'!$P$266</f>
        <v>0.9</v>
      </c>
      <c r="P20" s="55">
        <f>'Parameter Input'!$Q$266</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Input'!$L$269</f>
        <v>0</v>
      </c>
      <c r="C21" s="116">
        <f>'Parameter Input'!$M$269</f>
        <v>0</v>
      </c>
      <c r="D21" s="1" t="s">
        <v>76</v>
      </c>
      <c r="L21" s="54">
        <f>'Parameter Input'!$O$269</f>
        <v>17</v>
      </c>
      <c r="M21" s="37">
        <v>0</v>
      </c>
      <c r="N21" s="37">
        <v>1</v>
      </c>
      <c r="O21" s="37">
        <f>'Parameter Input'!$P$269</f>
        <v>0.9</v>
      </c>
      <c r="P21" s="55">
        <f>'Parameter Input'!$Q$269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Input'!$L$263</f>
        <v>25</v>
      </c>
      <c r="C22" s="61">
        <f>'Parameter Input'!$M$263</f>
        <v>25</v>
      </c>
      <c r="D22" s="1" t="s">
        <v>42</v>
      </c>
      <c r="L22" s="54">
        <f>'Parameter Input'!$O$263</f>
        <v>17</v>
      </c>
      <c r="M22" s="37">
        <v>0</v>
      </c>
      <c r="N22" s="37">
        <v>1</v>
      </c>
      <c r="O22" s="37">
        <f>'Parameter Input'!$P$263</f>
        <v>0.9</v>
      </c>
      <c r="P22" s="55">
        <f>'Parameter Input'!$Q$263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Input'!$L$267</f>
        <v>0.04</v>
      </c>
      <c r="C26" s="46">
        <f>'Parameter Input'!$M$267</f>
        <v>0.04</v>
      </c>
      <c r="D26" s="1" t="s">
        <v>57</v>
      </c>
      <c r="L26" s="54">
        <f>'Parameter Input'!$O$267</f>
        <v>17</v>
      </c>
      <c r="M26" s="37">
        <v>0</v>
      </c>
      <c r="N26" s="37">
        <v>1</v>
      </c>
      <c r="O26" s="37">
        <f>'Parameter Input'!$P$267</f>
        <v>0.9</v>
      </c>
      <c r="P26" s="55">
        <f>'Parameter Input'!$Q$267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6">
        <f>'Parameter Input'!J7</f>
        <v>0.36417427635318367</v>
      </c>
      <c r="C40" s="66">
        <f>'Parameter Input'!K7</f>
        <v>0.34953957198802377</v>
      </c>
      <c r="D40" s="66">
        <f>'Parameter Input'!L7</f>
        <v>0.33490486762286403</v>
      </c>
      <c r="E40" s="66">
        <f>'Parameter Input'!M7</f>
        <v>0.32172366231345256</v>
      </c>
      <c r="F40" s="66">
        <f>'Parameter Input'!N7</f>
        <v>0.30854245700404115</v>
      </c>
      <c r="G40" s="66">
        <f>'Parameter Input'!O7</f>
        <v>0.29536125169462968</v>
      </c>
      <c r="H40" s="66">
        <f>'Parameter Input'!P7</f>
        <v>0.28218004638521826</v>
      </c>
      <c r="I40" s="66">
        <f>'Parameter Input'!Q7</f>
        <v>0.26899884107580674</v>
      </c>
      <c r="J40" s="66">
        <f>'Parameter Input'!R7</f>
        <v>0.26271894785871058</v>
      </c>
      <c r="K40" s="66">
        <f>'Parameter Input'!S7</f>
        <v>0.25643905464161443</v>
      </c>
      <c r="L40" s="66">
        <f>'Parameter Input'!T7</f>
        <v>0.25015916142451827</v>
      </c>
      <c r="M40" s="66">
        <f>'Parameter Input'!U7</f>
        <v>0.24387926820742209</v>
      </c>
      <c r="N40" s="66">
        <f>'Parameter Input'!V7</f>
        <v>0.23759937499032585</v>
      </c>
      <c r="O40" s="66">
        <f>'Parameter Input'!W7</f>
        <v>0.22988467822493394</v>
      </c>
      <c r="P40" s="66">
        <f>'Parameter Input'!X7</f>
        <v>0.22216998145954203</v>
      </c>
      <c r="Q40" s="66">
        <f>'Parameter Input'!Y7</f>
        <v>0.21445528469415012</v>
      </c>
      <c r="R40" s="66">
        <f>'Parameter Input'!Z7</f>
        <v>0.20674058792875821</v>
      </c>
      <c r="S40" s="66">
        <f>'Parameter Input'!AA7</f>
        <v>0.19902589116336625</v>
      </c>
      <c r="T40" s="66">
        <f>'Parameter Input'!AB7</f>
        <v>0.19368220926450147</v>
      </c>
      <c r="U40" s="66">
        <f>'Parameter Input'!AC7</f>
        <v>0.18833852736563667</v>
      </c>
      <c r="V40" s="66">
        <f>'Parameter Input'!AD7</f>
        <v>0.18299484546677189</v>
      </c>
      <c r="W40" s="66">
        <f>'Parameter Input'!AE7</f>
        <v>0.17765116356790711</v>
      </c>
      <c r="X40" s="66">
        <f>'Parameter Input'!AF7</f>
        <v>0.17230748166904239</v>
      </c>
      <c r="Y40" s="66">
        <f>'Parameter Input'!AG7</f>
        <v>0.16851782325418166</v>
      </c>
      <c r="Z40" s="66">
        <f>'Parameter Input'!AH7</f>
        <v>0.16472816483932096</v>
      </c>
      <c r="AA40" s="66">
        <f>'Parameter Input'!AI7</f>
        <v>0.16093850642446025</v>
      </c>
      <c r="AB40" s="66">
        <f>'Parameter Input'!AJ7</f>
        <v>0.15714884800959955</v>
      </c>
      <c r="AC40" s="66">
        <f>'Parameter Input'!AK7</f>
        <v>0.15335918959473879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378</v>
      </c>
      <c r="C46" s="62">
        <f t="shared" si="38"/>
        <v>378</v>
      </c>
      <c r="D46" s="62">
        <f t="shared" si="38"/>
        <v>378</v>
      </c>
      <c r="E46" s="62">
        <f t="shared" si="38"/>
        <v>378</v>
      </c>
      <c r="F46" s="62">
        <f t="shared" si="38"/>
        <v>378</v>
      </c>
      <c r="G46" s="62">
        <f t="shared" si="38"/>
        <v>378</v>
      </c>
      <c r="H46" s="62">
        <f t="shared" si="38"/>
        <v>378</v>
      </c>
      <c r="I46" s="62">
        <f t="shared" si="38"/>
        <v>378</v>
      </c>
      <c r="J46" s="62">
        <f t="shared" si="38"/>
        <v>378</v>
      </c>
      <c r="K46" s="62">
        <f t="shared" si="38"/>
        <v>378</v>
      </c>
      <c r="L46" s="62">
        <f t="shared" si="39"/>
        <v>378</v>
      </c>
      <c r="M46" s="62">
        <f t="shared" si="39"/>
        <v>378</v>
      </c>
      <c r="N46" s="62">
        <f t="shared" si="39"/>
        <v>378</v>
      </c>
      <c r="O46" s="62">
        <f t="shared" si="39"/>
        <v>378</v>
      </c>
      <c r="P46" s="62">
        <f t="shared" si="39"/>
        <v>378</v>
      </c>
      <c r="Q46" s="62">
        <f t="shared" si="39"/>
        <v>378</v>
      </c>
      <c r="R46" s="62">
        <f t="shared" si="39"/>
        <v>378</v>
      </c>
      <c r="S46" s="62">
        <f t="shared" si="39"/>
        <v>378</v>
      </c>
      <c r="T46" s="62">
        <f t="shared" si="39"/>
        <v>378</v>
      </c>
      <c r="U46" s="62">
        <f t="shared" si="39"/>
        <v>378</v>
      </c>
      <c r="V46" s="62">
        <f t="shared" si="40"/>
        <v>378</v>
      </c>
      <c r="W46" s="62">
        <f t="shared" si="40"/>
        <v>378</v>
      </c>
      <c r="X46" s="62">
        <f t="shared" si="40"/>
        <v>378</v>
      </c>
      <c r="Y46" s="62">
        <f t="shared" si="40"/>
        <v>378</v>
      </c>
      <c r="Z46" s="62">
        <f t="shared" si="40"/>
        <v>378</v>
      </c>
      <c r="AA46" s="62">
        <f t="shared" si="40"/>
        <v>378</v>
      </c>
      <c r="AB46" s="62">
        <f t="shared" si="40"/>
        <v>378</v>
      </c>
      <c r="AC46" s="62">
        <f t="shared" si="40"/>
        <v>378</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2">((1+C35)^C42)*C35/(((1+C35)^C42)-1)*(C31)</f>
        <v>1524313.4062710819</v>
      </c>
      <c r="D50" s="63">
        <f t="shared" si="42"/>
        <v>1523834.6158693277</v>
      </c>
      <c r="E50" s="63">
        <f t="shared" si="42"/>
        <v>1523149.6725295712</v>
      </c>
      <c r="F50" s="63">
        <f t="shared" si="42"/>
        <v>1522170.737356808</v>
      </c>
      <c r="G50" s="63">
        <f t="shared" si="42"/>
        <v>1520773.5853086114</v>
      </c>
      <c r="H50" s="63">
        <f t="shared" si="42"/>
        <v>1518783.6980330625</v>
      </c>
      <c r="I50" s="63">
        <f t="shared" si="42"/>
        <v>1515958.3433556822</v>
      </c>
      <c r="J50" s="63">
        <f t="shared" si="42"/>
        <v>1511964.9760184553</v>
      </c>
      <c r="K50" s="63">
        <f t="shared" si="42"/>
        <v>1506358.3603233036</v>
      </c>
      <c r="L50" s="63">
        <f t="shared" si="42"/>
        <v>1498563.1292425212</v>
      </c>
      <c r="M50" s="63">
        <f t="shared" si="42"/>
        <v>1487876.1590509433</v>
      </c>
      <c r="N50" s="63">
        <f t="shared" si="42"/>
        <v>1473514.0162828909</v>
      </c>
      <c r="O50" s="63">
        <f t="shared" si="42"/>
        <v>1454739.9211231149</v>
      </c>
      <c r="P50" s="63">
        <f t="shared" si="42"/>
        <v>1431097.1215033231</v>
      </c>
      <c r="Q50" s="63">
        <f t="shared" si="42"/>
        <v>1402726.440626242</v>
      </c>
      <c r="R50" s="63">
        <f t="shared" si="42"/>
        <v>1370645.6221440069</v>
      </c>
      <c r="S50" s="63">
        <f t="shared" si="42"/>
        <v>1336778.0336965974</v>
      </c>
      <c r="T50" s="63">
        <f t="shared" si="42"/>
        <v>1303576.896042286</v>
      </c>
      <c r="U50" s="63">
        <f t="shared" si="42"/>
        <v>1273353.2170381402</v>
      </c>
      <c r="V50" s="63">
        <f t="shared" si="42"/>
        <v>1247667.3938192725</v>
      </c>
      <c r="W50" s="63">
        <f t="shared" si="42"/>
        <v>1227097.6494912698</v>
      </c>
      <c r="X50" s="63">
        <f t="shared" si="42"/>
        <v>1211402.0216186012</v>
      </c>
      <c r="Y50" s="63">
        <f t="shared" si="42"/>
        <v>1199864.4763410145</v>
      </c>
      <c r="Z50" s="63">
        <f t="shared" si="42"/>
        <v>1191615.2983773351</v>
      </c>
      <c r="AA50" s="63">
        <f t="shared" si="42"/>
        <v>1185833.8428605145</v>
      </c>
      <c r="AB50" s="63">
        <f t="shared" si="42"/>
        <v>1181838.5017423639</v>
      </c>
      <c r="AC50" s="63">
        <f t="shared" si="42"/>
        <v>1179104.2907197287</v>
      </c>
    </row>
    <row r="51" spans="1:29" x14ac:dyDescent="0.25">
      <c r="A51" s="30" t="str">
        <f>A32</f>
        <v>Residual value (vehicle)</v>
      </c>
      <c r="B51" s="62">
        <f>((1+B35)^B42)*B35/(((1+B35)^B42)-1)*(B32)</f>
        <v>-76361.248295139725</v>
      </c>
      <c r="C51" s="62">
        <f t="shared" ref="C51:AC51" si="43">((1+C35)^C42)*C35/(((1+C35)^C42)-1)*(C32)</f>
        <v>-76400.270124930772</v>
      </c>
      <c r="D51" s="62">
        <f t="shared" si="43"/>
        <v>-76456.129005135459</v>
      </c>
      <c r="E51" s="62">
        <f t="shared" si="43"/>
        <v>-76536.039061440344</v>
      </c>
      <c r="F51" s="62">
        <f t="shared" si="43"/>
        <v>-76650.248164929391</v>
      </c>
      <c r="G51" s="62">
        <f t="shared" si="43"/>
        <v>-76813.249237219032</v>
      </c>
      <c r="H51" s="62">
        <f t="shared" si="43"/>
        <v>-77045.402752699738</v>
      </c>
      <c r="I51" s="62">
        <f t="shared" si="43"/>
        <v>-77375.027465060732</v>
      </c>
      <c r="J51" s="62">
        <f t="shared" si="43"/>
        <v>-77840.920321070545</v>
      </c>
      <c r="K51" s="62">
        <f t="shared" si="43"/>
        <v>-78495.025485504913</v>
      </c>
      <c r="L51" s="62">
        <f t="shared" si="43"/>
        <v>-79404.46911159619</v>
      </c>
      <c r="M51" s="62">
        <f t="shared" si="43"/>
        <v>-80651.282300613602</v>
      </c>
      <c r="N51" s="62">
        <f t="shared" si="43"/>
        <v>-82326.865623553065</v>
      </c>
      <c r="O51" s="62">
        <f t="shared" si="43"/>
        <v>-84517.176725526937</v>
      </c>
      <c r="P51" s="62">
        <f t="shared" si="43"/>
        <v>-87275.503347835998</v>
      </c>
      <c r="Q51" s="62">
        <f t="shared" si="43"/>
        <v>-90585.416116828768</v>
      </c>
      <c r="R51" s="62">
        <f t="shared" si="43"/>
        <v>-94328.178273089521</v>
      </c>
      <c r="S51" s="62">
        <f t="shared" si="43"/>
        <v>-98279.396925287292</v>
      </c>
      <c r="T51" s="62">
        <f t="shared" si="43"/>
        <v>-102152.86298495698</v>
      </c>
      <c r="U51" s="62">
        <f t="shared" si="43"/>
        <v>-105678.95886877397</v>
      </c>
      <c r="V51" s="62">
        <f t="shared" si="43"/>
        <v>-108675.63824430856</v>
      </c>
      <c r="W51" s="62">
        <f t="shared" si="43"/>
        <v>-111075.44174924218</v>
      </c>
      <c r="X51" s="62">
        <f t="shared" si="43"/>
        <v>-112906.59833438687</v>
      </c>
      <c r="Y51" s="62">
        <f t="shared" si="43"/>
        <v>-114252.64528343864</v>
      </c>
      <c r="Z51" s="62">
        <f t="shared" si="43"/>
        <v>-115215.04937920124</v>
      </c>
      <c r="AA51" s="62">
        <f t="shared" si="43"/>
        <v>-115889.55252283029</v>
      </c>
      <c r="AB51" s="62">
        <f t="shared" si="43"/>
        <v>-116355.67565328123</v>
      </c>
      <c r="AC51" s="62">
        <f t="shared" si="43"/>
        <v>-116674.66693925532</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28269979.834549442</v>
      </c>
      <c r="C57" s="62">
        <f t="shared" ref="C57:AC57" si="49">C39*C40*C47</f>
        <v>27132049.532666638</v>
      </c>
      <c r="D57" s="62">
        <f t="shared" si="49"/>
        <v>25993501.704920452</v>
      </c>
      <c r="E57" s="62">
        <f t="shared" si="49"/>
        <v>24966917.34405838</v>
      </c>
      <c r="F57" s="62">
        <f t="shared" si="49"/>
        <v>23939168.963635609</v>
      </c>
      <c r="G57" s="62">
        <f t="shared" si="49"/>
        <v>22909854.96483615</v>
      </c>
      <c r="H57" s="62">
        <f t="shared" si="49"/>
        <v>21878451.309795085</v>
      </c>
      <c r="I57" s="62">
        <f t="shared" si="49"/>
        <v>20844287.393317983</v>
      </c>
      <c r="J57" s="62">
        <f t="shared" si="49"/>
        <v>20340859.561817177</v>
      </c>
      <c r="K57" s="62">
        <f t="shared" si="49"/>
        <v>19831607.098048601</v>
      </c>
      <c r="L57" s="62">
        <f t="shared" si="49"/>
        <v>19314710.882095419</v>
      </c>
      <c r="M57" s="62">
        <f t="shared" si="49"/>
        <v>18788084.16200728</v>
      </c>
      <c r="N57" s="62">
        <f t="shared" si="49"/>
        <v>18249617.444858335</v>
      </c>
      <c r="O57" s="62">
        <f t="shared" si="49"/>
        <v>17587916.124284193</v>
      </c>
      <c r="P57" s="62">
        <f t="shared" si="49"/>
        <v>16913525.419663437</v>
      </c>
      <c r="Q57" s="62">
        <f t="shared" si="49"/>
        <v>16228734.558987197</v>
      </c>
      <c r="R57" s="62">
        <f t="shared" si="49"/>
        <v>15538667.819530513</v>
      </c>
      <c r="S57" s="62">
        <f t="shared" si="49"/>
        <v>14850834.104735333</v>
      </c>
      <c r="T57" s="62">
        <f t="shared" si="49"/>
        <v>14349073.652146816</v>
      </c>
      <c r="U57" s="62">
        <f t="shared" si="49"/>
        <v>13861982.810570983</v>
      </c>
      <c r="V57" s="62">
        <f t="shared" si="49"/>
        <v>13393371.771557385</v>
      </c>
      <c r="W57" s="62">
        <f t="shared" si="49"/>
        <v>12943720.795706693</v>
      </c>
      <c r="X57" s="62">
        <f t="shared" si="49"/>
        <v>12511047.856875328</v>
      </c>
      <c r="Y57" s="62">
        <f t="shared" si="49"/>
        <v>12204734.212598935</v>
      </c>
      <c r="Z57" s="62">
        <f t="shared" si="49"/>
        <v>11908500.422232762</v>
      </c>
      <c r="AA57" s="62">
        <f t="shared" si="49"/>
        <v>11619631.45088187</v>
      </c>
      <c r="AB57" s="62">
        <f t="shared" si="49"/>
        <v>11335961.64067078</v>
      </c>
      <c r="AC57" s="62">
        <f t="shared" si="49"/>
        <v>11055875.713812558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31586637.323473189</v>
      </c>
      <c r="C59" s="64">
        <f t="shared" ref="C59:AC59" si="51">C50+C51+C52+C53+C54+C55+C56+C57+C58</f>
        <v>30448333.526933815</v>
      </c>
      <c r="D59" s="64">
        <f t="shared" si="51"/>
        <v>29309251.049905669</v>
      </c>
      <c r="E59" s="64">
        <f t="shared" si="51"/>
        <v>28281901.835647535</v>
      </c>
      <c r="F59" s="64">
        <f t="shared" si="51"/>
        <v>27253060.310948513</v>
      </c>
      <c r="G59" s="64">
        <f t="shared" si="51"/>
        <v>26222186.159028567</v>
      </c>
      <c r="H59" s="64">
        <f t="shared" si="51"/>
        <v>25188560.463196471</v>
      </c>
      <c r="I59" s="64">
        <f t="shared" si="51"/>
        <v>24151241.56732963</v>
      </c>
      <c r="J59" s="64">
        <f t="shared" si="51"/>
        <v>23643354.475635588</v>
      </c>
      <c r="K59" s="64">
        <f t="shared" si="51"/>
        <v>23127841.291007426</v>
      </c>
      <c r="L59" s="64">
        <f t="shared" si="51"/>
        <v>22602240.400347367</v>
      </c>
      <c r="M59" s="64">
        <f t="shared" si="51"/>
        <v>22063679.896878634</v>
      </c>
      <c r="N59" s="64">
        <f t="shared" si="51"/>
        <v>21509175.453638699</v>
      </c>
      <c r="O59" s="64">
        <f t="shared" si="51"/>
        <v>20826509.726802807</v>
      </c>
      <c r="P59" s="64">
        <f t="shared" si="51"/>
        <v>20125717.89593995</v>
      </c>
      <c r="Q59" s="64">
        <f t="shared" si="51"/>
        <v>19409246.441617634</v>
      </c>
      <c r="R59" s="64">
        <f t="shared" si="51"/>
        <v>18683356.121522456</v>
      </c>
      <c r="S59" s="64">
        <f t="shared" si="51"/>
        <v>17957703.59962767</v>
      </c>
      <c r="T59" s="64">
        <f t="shared" si="51"/>
        <v>17418868.543325171</v>
      </c>
      <c r="U59" s="64">
        <f t="shared" si="51"/>
        <v>16898027.926861376</v>
      </c>
      <c r="V59" s="64">
        <f t="shared" si="51"/>
        <v>16400734.385253374</v>
      </c>
      <c r="W59" s="64">
        <f t="shared" si="51"/>
        <v>15928113.861569745</v>
      </c>
      <c r="X59" s="64">
        <f t="shared" si="51"/>
        <v>15477914.138280567</v>
      </c>
      <c r="Y59" s="64">
        <f t="shared" si="51"/>
        <v>15158716.901777536</v>
      </c>
      <c r="Z59" s="64">
        <f t="shared" si="51"/>
        <v>14853271.52935192</v>
      </c>
      <c r="AA59" s="64">
        <f t="shared" si="51"/>
        <v>14557946.59934058</v>
      </c>
      <c r="AB59" s="64">
        <f t="shared" si="51"/>
        <v>14269815.324880887</v>
      </c>
      <c r="AC59" s="64">
        <f t="shared" si="51"/>
        <v>13986676.195714056</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12.705398992482186</v>
      </c>
      <c r="C62" s="65">
        <f t="shared" ref="C62:AC62" si="53">((1+C35)^C42)*C35/(((1+C35)^C42)-1)*(C31)/C47</f>
        <v>12.702611718925683</v>
      </c>
      <c r="D62" s="65">
        <f t="shared" si="53"/>
        <v>12.698621798911065</v>
      </c>
      <c r="E62" s="65">
        <f t="shared" si="53"/>
        <v>12.692913937746427</v>
      </c>
      <c r="F62" s="65">
        <f t="shared" si="53"/>
        <v>12.684756144640067</v>
      </c>
      <c r="G62" s="65">
        <f t="shared" si="53"/>
        <v>12.673113210905095</v>
      </c>
      <c r="H62" s="65">
        <f t="shared" si="53"/>
        <v>12.656530816942187</v>
      </c>
      <c r="I62" s="65">
        <f t="shared" si="53"/>
        <v>12.632986194630686</v>
      </c>
      <c r="J62" s="65">
        <f t="shared" si="53"/>
        <v>12.599708133487129</v>
      </c>
      <c r="K62" s="65">
        <f t="shared" si="53"/>
        <v>12.55298633602753</v>
      </c>
      <c r="L62" s="65">
        <f t="shared" si="53"/>
        <v>12.48802607702101</v>
      </c>
      <c r="M62" s="65">
        <f t="shared" si="53"/>
        <v>12.398967992091194</v>
      </c>
      <c r="N62" s="65">
        <f t="shared" si="53"/>
        <v>12.27928346902409</v>
      </c>
      <c r="O62" s="65">
        <f t="shared" si="53"/>
        <v>12.122832676025958</v>
      </c>
      <c r="P62" s="65">
        <f t="shared" si="53"/>
        <v>11.925809345861026</v>
      </c>
      <c r="Q62" s="65">
        <f t="shared" si="53"/>
        <v>11.689387005218682</v>
      </c>
      <c r="R62" s="65">
        <f t="shared" si="53"/>
        <v>11.422046851200058</v>
      </c>
      <c r="S62" s="65">
        <f t="shared" si="53"/>
        <v>11.139816947471646</v>
      </c>
      <c r="T62" s="65">
        <f t="shared" si="53"/>
        <v>10.863140800352383</v>
      </c>
      <c r="U62" s="65">
        <f t="shared" si="53"/>
        <v>10.611276808651168</v>
      </c>
      <c r="V62" s="65">
        <f t="shared" si="53"/>
        <v>10.397228281827271</v>
      </c>
      <c r="W62" s="65">
        <f t="shared" si="53"/>
        <v>10.225813745760583</v>
      </c>
      <c r="X62" s="65">
        <f t="shared" si="53"/>
        <v>10.095016846821677</v>
      </c>
      <c r="Y62" s="65">
        <f t="shared" si="53"/>
        <v>9.9988706361751216</v>
      </c>
      <c r="Z62" s="65">
        <f t="shared" si="53"/>
        <v>9.930127486477792</v>
      </c>
      <c r="AA62" s="65">
        <f t="shared" si="53"/>
        <v>9.8819486905042879</v>
      </c>
      <c r="AB62" s="65">
        <f t="shared" si="53"/>
        <v>9.8486541811863653</v>
      </c>
      <c r="AC62" s="65">
        <f t="shared" si="53"/>
        <v>9.8258690893310732</v>
      </c>
    </row>
    <row r="63" spans="1:29" x14ac:dyDescent="0.25">
      <c r="A63" s="30" t="str">
        <f t="shared" si="52"/>
        <v>Residual value (vehicle)</v>
      </c>
      <c r="B63" s="66">
        <f>((1+B35)^B42)*B35/(((1+B35)^B42)-1)*(B32)/B47</f>
        <v>-0.63634373579283099</v>
      </c>
      <c r="C63" s="66">
        <f t="shared" ref="C63:AC63" si="54">((1+C35)^C42)*C35/(((1+C35)^C42)-1)*(C32)/C47</f>
        <v>-0.63666891770775647</v>
      </c>
      <c r="D63" s="66">
        <f t="shared" si="54"/>
        <v>-0.63713440837612878</v>
      </c>
      <c r="E63" s="66">
        <f t="shared" si="54"/>
        <v>-0.63780032551200283</v>
      </c>
      <c r="F63" s="66">
        <f t="shared" si="54"/>
        <v>-0.63875206804107831</v>
      </c>
      <c r="G63" s="66">
        <f t="shared" si="54"/>
        <v>-0.64011041031015858</v>
      </c>
      <c r="H63" s="66">
        <f t="shared" si="54"/>
        <v>-0.64204502293916443</v>
      </c>
      <c r="I63" s="66">
        <f t="shared" si="54"/>
        <v>-0.64479189554217275</v>
      </c>
      <c r="J63" s="66">
        <f t="shared" si="54"/>
        <v>-0.64867433600892122</v>
      </c>
      <c r="K63" s="66">
        <f t="shared" si="54"/>
        <v>-0.65412521237920762</v>
      </c>
      <c r="L63" s="66">
        <f t="shared" si="54"/>
        <v>-0.66170390926330158</v>
      </c>
      <c r="M63" s="66">
        <f t="shared" si="54"/>
        <v>-0.67209401917178002</v>
      </c>
      <c r="N63" s="66">
        <f t="shared" si="54"/>
        <v>-0.68605721352960891</v>
      </c>
      <c r="O63" s="66">
        <f t="shared" si="54"/>
        <v>-0.70430980604605786</v>
      </c>
      <c r="P63" s="66">
        <f t="shared" si="54"/>
        <v>-0.72729586123196666</v>
      </c>
      <c r="Q63" s="66">
        <f t="shared" si="54"/>
        <v>-0.75487846764023969</v>
      </c>
      <c r="R63" s="66">
        <f t="shared" si="54"/>
        <v>-0.786068152275746</v>
      </c>
      <c r="S63" s="66">
        <f t="shared" si="54"/>
        <v>-0.8189949743773941</v>
      </c>
      <c r="T63" s="66">
        <f t="shared" si="54"/>
        <v>-0.85127385820797485</v>
      </c>
      <c r="U63" s="66">
        <f t="shared" si="54"/>
        <v>-0.88065799057311644</v>
      </c>
      <c r="V63" s="66">
        <f t="shared" si="54"/>
        <v>-0.90563031870257138</v>
      </c>
      <c r="W63" s="66">
        <f t="shared" si="54"/>
        <v>-0.9256286812436848</v>
      </c>
      <c r="X63" s="66">
        <f t="shared" si="54"/>
        <v>-0.94088831945322393</v>
      </c>
      <c r="Y63" s="66">
        <f t="shared" si="54"/>
        <v>-0.95210537736198875</v>
      </c>
      <c r="Z63" s="66">
        <f t="shared" si="54"/>
        <v>-0.96012541149334374</v>
      </c>
      <c r="AA63" s="66">
        <f t="shared" si="54"/>
        <v>-0.96574627102358568</v>
      </c>
      <c r="AB63" s="66">
        <f t="shared" si="54"/>
        <v>-0.96963063044401021</v>
      </c>
      <c r="AC63" s="66">
        <f t="shared" si="54"/>
        <v>-0.97228889116046091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235.58316528791201</v>
      </c>
      <c r="C69" s="66">
        <f t="shared" ref="C69:AC69" si="60">C39*C40*C47/C47</f>
        <v>226.100412772222</v>
      </c>
      <c r="D69" s="66">
        <f t="shared" si="60"/>
        <v>216.61251420767044</v>
      </c>
      <c r="E69" s="66">
        <f t="shared" si="60"/>
        <v>208.05764453381983</v>
      </c>
      <c r="F69" s="66">
        <f t="shared" si="60"/>
        <v>199.49307469696342</v>
      </c>
      <c r="G69" s="66">
        <f t="shared" si="60"/>
        <v>190.91545804030125</v>
      </c>
      <c r="H69" s="66">
        <f t="shared" si="60"/>
        <v>182.32042758162572</v>
      </c>
      <c r="I69" s="66">
        <f t="shared" si="60"/>
        <v>173.70239494431652</v>
      </c>
      <c r="J69" s="66">
        <f t="shared" si="60"/>
        <v>169.50716301514313</v>
      </c>
      <c r="K69" s="66">
        <f t="shared" si="60"/>
        <v>165.26339248373836</v>
      </c>
      <c r="L69" s="66">
        <f t="shared" si="60"/>
        <v>160.95592401746183</v>
      </c>
      <c r="M69" s="66">
        <f t="shared" si="60"/>
        <v>156.56736801672733</v>
      </c>
      <c r="N69" s="66">
        <f t="shared" si="60"/>
        <v>152.08014537381945</v>
      </c>
      <c r="O69" s="66">
        <f t="shared" si="60"/>
        <v>146.56596770236828</v>
      </c>
      <c r="P69" s="66">
        <f t="shared" si="60"/>
        <v>140.94604516386198</v>
      </c>
      <c r="Q69" s="66">
        <f t="shared" si="60"/>
        <v>135.23945465822663</v>
      </c>
      <c r="R69" s="66">
        <f t="shared" si="60"/>
        <v>129.48889849608761</v>
      </c>
      <c r="S69" s="66">
        <f t="shared" si="60"/>
        <v>123.75695087279445</v>
      </c>
      <c r="T69" s="66">
        <f t="shared" si="60"/>
        <v>119.57561376789013</v>
      </c>
      <c r="U69" s="66">
        <f t="shared" si="60"/>
        <v>115.51652342142486</v>
      </c>
      <c r="V69" s="66">
        <f t="shared" si="60"/>
        <v>111.61143142964488</v>
      </c>
      <c r="W69" s="66">
        <f t="shared" si="60"/>
        <v>107.86433996422244</v>
      </c>
      <c r="X69" s="66">
        <f t="shared" si="60"/>
        <v>104.25873214062774</v>
      </c>
      <c r="Y69" s="66">
        <f t="shared" si="60"/>
        <v>101.70611843832445</v>
      </c>
      <c r="Z69" s="66">
        <f t="shared" si="60"/>
        <v>99.237503518606346</v>
      </c>
      <c r="AA69" s="66">
        <f t="shared" si="60"/>
        <v>96.830262090682254</v>
      </c>
      <c r="AB69" s="66">
        <f t="shared" si="60"/>
        <v>94.466347005589839</v>
      </c>
      <c r="AC69" s="66">
        <f t="shared" si="60"/>
        <v>92.132297615104648</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263.35235555929705</v>
      </c>
      <c r="C71" s="76">
        <f t="shared" ref="C71:AC71" si="63">C62+C63+C64-C65+C66+C67+C68+C69+C70</f>
        <v>253.8664905881356</v>
      </c>
      <c r="D71" s="76">
        <f t="shared" si="63"/>
        <v>244.37413661290105</v>
      </c>
      <c r="E71" s="76">
        <f t="shared" si="63"/>
        <v>235.81289316074992</v>
      </c>
      <c r="F71" s="76">
        <f t="shared" si="63"/>
        <v>227.23921378825807</v>
      </c>
      <c r="G71" s="76">
        <f t="shared" si="63"/>
        <v>218.64859585559185</v>
      </c>
      <c r="H71" s="76">
        <f t="shared" si="63"/>
        <v>210.03504839032439</v>
      </c>
      <c r="I71" s="76">
        <f t="shared" si="63"/>
        <v>201.3907242581007</v>
      </c>
      <c r="J71" s="76">
        <f t="shared" si="63"/>
        <v>197.158331827317</v>
      </c>
      <c r="K71" s="76">
        <f t="shared" si="63"/>
        <v>192.86238862208234</v>
      </c>
      <c r="L71" s="76">
        <f t="shared" si="63"/>
        <v>188.48238119991521</v>
      </c>
      <c r="M71" s="76">
        <f t="shared" si="63"/>
        <v>183.9943770043424</v>
      </c>
      <c r="N71" s="76">
        <f t="shared" si="63"/>
        <v>179.37350664400958</v>
      </c>
      <c r="O71" s="76">
        <f t="shared" si="63"/>
        <v>173.68462558704385</v>
      </c>
      <c r="P71" s="76">
        <f t="shared" si="63"/>
        <v>167.84469366318672</v>
      </c>
      <c r="Q71" s="76">
        <f t="shared" si="63"/>
        <v>161.87409821050073</v>
      </c>
      <c r="R71" s="76">
        <f t="shared" si="63"/>
        <v>155.82501220970758</v>
      </c>
      <c r="S71" s="76">
        <f t="shared" si="63"/>
        <v>149.77790786058438</v>
      </c>
      <c r="T71" s="76">
        <f t="shared" si="63"/>
        <v>145.28761572473019</v>
      </c>
      <c r="U71" s="76">
        <f t="shared" si="63"/>
        <v>140.94727725419858</v>
      </c>
      <c r="V71" s="76">
        <f t="shared" si="63"/>
        <v>136.80316440746526</v>
      </c>
      <c r="W71" s="76">
        <f t="shared" si="63"/>
        <v>132.86466004343501</v>
      </c>
      <c r="X71" s="76">
        <f t="shared" si="63"/>
        <v>129.11299568269186</v>
      </c>
      <c r="Y71" s="76">
        <f t="shared" si="63"/>
        <v>126.45301871183325</v>
      </c>
      <c r="Z71" s="76">
        <f t="shared" si="63"/>
        <v>123.90764060828646</v>
      </c>
      <c r="AA71" s="76">
        <f t="shared" si="63"/>
        <v>121.44659952485861</v>
      </c>
      <c r="AB71" s="76">
        <f t="shared" si="63"/>
        <v>119.04550557102786</v>
      </c>
      <c r="AC71" s="76">
        <f t="shared" si="63"/>
        <v>116.68601282797093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1.3444866658711308E-3</v>
      </c>
      <c r="C74" s="65">
        <f t="shared" ref="C74:AC74" si="65">((1+C35)^C42)*C35/(((1+C35)^C42)-1)*(C31)/C47/(C44)</f>
        <v>1.344191716288432E-3</v>
      </c>
      <c r="D74" s="65">
        <f t="shared" si="65"/>
        <v>1.3437695025302714E-3</v>
      </c>
      <c r="E74" s="65">
        <f t="shared" si="65"/>
        <v>1.343165496057823E-3</v>
      </c>
      <c r="F74" s="65">
        <f t="shared" si="65"/>
        <v>1.3423022375280494E-3</v>
      </c>
      <c r="G74" s="65">
        <f t="shared" si="65"/>
        <v>1.3410701810481582E-3</v>
      </c>
      <c r="H74" s="65">
        <f t="shared" si="65"/>
        <v>1.3393154303642525E-3</v>
      </c>
      <c r="I74" s="65">
        <f t="shared" si="65"/>
        <v>1.3368239359397552E-3</v>
      </c>
      <c r="J74" s="65">
        <f t="shared" si="65"/>
        <v>1.3333024479880559E-3</v>
      </c>
      <c r="K74" s="65">
        <f t="shared" si="65"/>
        <v>1.3283583424367757E-3</v>
      </c>
      <c r="L74" s="65">
        <f t="shared" si="65"/>
        <v>1.3214842409546043E-3</v>
      </c>
      <c r="M74" s="65">
        <f t="shared" si="65"/>
        <v>1.3120601049831952E-3</v>
      </c>
      <c r="N74" s="65">
        <f t="shared" si="65"/>
        <v>1.2993950760872054E-3</v>
      </c>
      <c r="O74" s="65">
        <f t="shared" si="65"/>
        <v>1.2828394366165034E-3</v>
      </c>
      <c r="P74" s="65">
        <f t="shared" si="65"/>
        <v>1.2619904069694208E-3</v>
      </c>
      <c r="Q74" s="65">
        <f t="shared" si="65"/>
        <v>1.2369721698644108E-3</v>
      </c>
      <c r="R74" s="65">
        <f t="shared" si="65"/>
        <v>1.2086822064761966E-3</v>
      </c>
      <c r="S74" s="65">
        <f t="shared" si="65"/>
        <v>1.1788166081980577E-3</v>
      </c>
      <c r="T74" s="65">
        <f t="shared" si="65"/>
        <v>1.1495387090319981E-3</v>
      </c>
      <c r="U74" s="65">
        <f t="shared" si="65"/>
        <v>1.1228864347779014E-3</v>
      </c>
      <c r="V74" s="65">
        <f t="shared" si="65"/>
        <v>1.1002357970187589E-3</v>
      </c>
      <c r="W74" s="65">
        <f t="shared" si="65"/>
        <v>1.0820966926730776E-3</v>
      </c>
      <c r="X74" s="65">
        <f t="shared" si="65"/>
        <v>1.0682557509864208E-3</v>
      </c>
      <c r="Y74" s="65">
        <f t="shared" si="65"/>
        <v>1.0580815488016001E-3</v>
      </c>
      <c r="Z74" s="65">
        <f t="shared" si="65"/>
        <v>1.0508071414262214E-3</v>
      </c>
      <c r="AA74" s="65">
        <f t="shared" si="65"/>
        <v>1.0457088561380199E-3</v>
      </c>
      <c r="AB74" s="65">
        <f t="shared" si="65"/>
        <v>1.0421856276387688E-3</v>
      </c>
      <c r="AC74" s="65">
        <f t="shared" si="65"/>
        <v>1.0397745068075209E-3</v>
      </c>
    </row>
    <row r="75" spans="1:29" x14ac:dyDescent="0.25">
      <c r="A75" s="30" t="str">
        <f t="shared" si="64"/>
        <v>Residual value (vehicle)</v>
      </c>
      <c r="B75" s="68">
        <f>((1+B35)^B42)*B35/(((1+B35)^B42)-1)*(B32)/B47/(B44)</f>
        <v>-6.7337961459558828E-5</v>
      </c>
      <c r="C75" s="68">
        <f t="shared" ref="C75:AC75" si="66">((1+C35)^C42)*C35/(((1+C35)^C42)-1)*(C32)/C47/(C44)</f>
        <v>-6.7372372244207035E-5</v>
      </c>
      <c r="D75" s="68">
        <f t="shared" si="66"/>
        <v>-6.7421630515992462E-5</v>
      </c>
      <c r="E75" s="68">
        <f t="shared" si="66"/>
        <v>-6.7492097937778083E-5</v>
      </c>
      <c r="F75" s="68">
        <f t="shared" si="66"/>
        <v>-6.7592811432918334E-5</v>
      </c>
      <c r="G75" s="68">
        <f t="shared" si="66"/>
        <v>-6.773655135557234E-5</v>
      </c>
      <c r="H75" s="68">
        <f t="shared" si="66"/>
        <v>-6.7941272268694643E-5</v>
      </c>
      <c r="I75" s="68">
        <f t="shared" si="66"/>
        <v>-6.8231946618219335E-5</v>
      </c>
      <c r="J75" s="68">
        <f t="shared" si="66"/>
        <v>-6.8642786879250924E-5</v>
      </c>
      <c r="K75" s="68">
        <f t="shared" si="66"/>
        <v>-6.9219599193566945E-5</v>
      </c>
      <c r="L75" s="68">
        <f t="shared" si="66"/>
        <v>-7.0021577699820272E-5</v>
      </c>
      <c r="M75" s="68">
        <f t="shared" si="66"/>
        <v>-7.1121060229817985E-5</v>
      </c>
      <c r="N75" s="68">
        <f t="shared" si="66"/>
        <v>-7.2598646934350151E-5</v>
      </c>
      <c r="O75" s="68">
        <f t="shared" si="66"/>
        <v>-7.4530138205932043E-5</v>
      </c>
      <c r="P75" s="68">
        <f t="shared" si="66"/>
        <v>-7.6962524998091712E-5</v>
      </c>
      <c r="Q75" s="68">
        <f t="shared" si="66"/>
        <v>-7.9881319327009486E-5</v>
      </c>
      <c r="R75" s="68">
        <f t="shared" si="66"/>
        <v>-8.3181815055634491E-5</v>
      </c>
      <c r="S75" s="68">
        <f t="shared" si="66"/>
        <v>-8.6666134854750698E-5</v>
      </c>
      <c r="T75" s="68">
        <f t="shared" si="66"/>
        <v>-9.008188975745766E-5</v>
      </c>
      <c r="U75" s="68">
        <f t="shared" si="66"/>
        <v>-9.3191321753768942E-5</v>
      </c>
      <c r="V75" s="68">
        <f t="shared" si="66"/>
        <v>-9.583389615900226E-5</v>
      </c>
      <c r="W75" s="68">
        <f t="shared" si="66"/>
        <v>-9.7950124999331722E-5</v>
      </c>
      <c r="X75" s="68">
        <f t="shared" si="66"/>
        <v>-9.9564901529441686E-5</v>
      </c>
      <c r="Y75" s="68">
        <f t="shared" si="66"/>
        <v>-1.0075189178433743E-4</v>
      </c>
      <c r="Z75" s="68">
        <f t="shared" si="66"/>
        <v>-1.0160057264479828E-4</v>
      </c>
      <c r="AA75" s="68">
        <f t="shared" si="66"/>
        <v>-1.0219537259508843E-4</v>
      </c>
      <c r="AB75" s="68">
        <f t="shared" si="66"/>
        <v>-1.0260641592000108E-4</v>
      </c>
      <c r="AC75" s="68">
        <f t="shared" si="66"/>
        <v>-1.0288771335031333E-4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4.305425874053325E-4</v>
      </c>
      <c r="C79" s="66">
        <f t="shared" ref="C79:AC79" si="70">C37/C47/(C44)</f>
        <v>4.305425874053325E-4</v>
      </c>
      <c r="D79" s="66">
        <f t="shared" si="70"/>
        <v>4.305425874053325E-4</v>
      </c>
      <c r="E79" s="66">
        <f t="shared" si="70"/>
        <v>4.305425874053325E-4</v>
      </c>
      <c r="F79" s="66">
        <f t="shared" si="70"/>
        <v>4.305425874053325E-4</v>
      </c>
      <c r="G79" s="66">
        <f t="shared" si="70"/>
        <v>4.305425874053325E-4</v>
      </c>
      <c r="H79" s="66">
        <f t="shared" si="70"/>
        <v>4.305425874053325E-4</v>
      </c>
      <c r="I79" s="66">
        <f t="shared" si="70"/>
        <v>4.305425874053325E-4</v>
      </c>
      <c r="J79" s="66">
        <f t="shared" si="70"/>
        <v>4.305425874053325E-4</v>
      </c>
      <c r="K79" s="66">
        <f t="shared" si="70"/>
        <v>4.305425874053325E-4</v>
      </c>
      <c r="L79" s="66">
        <f t="shared" si="70"/>
        <v>4.305425874053325E-4</v>
      </c>
      <c r="M79" s="66">
        <f t="shared" si="70"/>
        <v>4.305425874053325E-4</v>
      </c>
      <c r="N79" s="66">
        <f t="shared" si="70"/>
        <v>4.305425874053325E-4</v>
      </c>
      <c r="O79" s="66">
        <f t="shared" si="70"/>
        <v>4.305425874053325E-4</v>
      </c>
      <c r="P79" s="66">
        <f t="shared" si="70"/>
        <v>4.305425874053325E-4</v>
      </c>
      <c r="Q79" s="66">
        <f t="shared" si="70"/>
        <v>4.305425874053325E-4</v>
      </c>
      <c r="R79" s="66">
        <f t="shared" si="70"/>
        <v>4.305425874053325E-4</v>
      </c>
      <c r="S79" s="66">
        <f t="shared" si="70"/>
        <v>4.305425874053325E-4</v>
      </c>
      <c r="T79" s="66">
        <f t="shared" si="70"/>
        <v>4.305425874053325E-4</v>
      </c>
      <c r="U79" s="66">
        <f t="shared" si="70"/>
        <v>4.305425874053325E-4</v>
      </c>
      <c r="V79" s="66">
        <f t="shared" si="70"/>
        <v>4.305425874053325E-4</v>
      </c>
      <c r="W79" s="66">
        <f t="shared" si="70"/>
        <v>4.305425874053325E-4</v>
      </c>
      <c r="X79" s="66">
        <f t="shared" si="70"/>
        <v>4.305425874053325E-4</v>
      </c>
      <c r="Y79" s="66">
        <f t="shared" si="70"/>
        <v>4.305425874053325E-4</v>
      </c>
      <c r="Z79" s="66">
        <f t="shared" si="70"/>
        <v>4.305425874053325E-4</v>
      </c>
      <c r="AA79" s="66">
        <f t="shared" si="70"/>
        <v>4.305425874053325E-4</v>
      </c>
      <c r="AB79" s="66">
        <f t="shared" si="70"/>
        <v>4.305425874053325E-4</v>
      </c>
      <c r="AC79" s="66">
        <f t="shared" si="70"/>
        <v>4.305425874053325E-4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2.4929435480202329E-2</v>
      </c>
      <c r="C81" s="66">
        <f t="shared" ref="C81:AC81" si="72">C39*C40*C47/C47/(C44)</f>
        <v>2.3925969605526138E-2</v>
      </c>
      <c r="D81" s="66">
        <f t="shared" si="72"/>
        <v>2.2921959175414862E-2</v>
      </c>
      <c r="E81" s="66">
        <f t="shared" si="72"/>
        <v>2.2016681961250777E-2</v>
      </c>
      <c r="F81" s="66">
        <f t="shared" si="72"/>
        <v>2.1110378274810944E-2</v>
      </c>
      <c r="G81" s="66">
        <f t="shared" si="72"/>
        <v>2.020269397251865E-2</v>
      </c>
      <c r="H81" s="66">
        <f t="shared" si="72"/>
        <v>1.9293166939854573E-2</v>
      </c>
      <c r="I81" s="66">
        <f t="shared" si="72"/>
        <v>1.8381205814213389E-2</v>
      </c>
      <c r="J81" s="66">
        <f t="shared" si="72"/>
        <v>1.7937265927528374E-2</v>
      </c>
      <c r="K81" s="66">
        <f t="shared" si="72"/>
        <v>1.7488189680818875E-2</v>
      </c>
      <c r="L81" s="66">
        <f t="shared" si="72"/>
        <v>1.7032372911900722E-2</v>
      </c>
      <c r="M81" s="66">
        <f t="shared" si="72"/>
        <v>1.6567975451505536E-2</v>
      </c>
      <c r="N81" s="66">
        <f t="shared" si="72"/>
        <v>1.6093137076594651E-2</v>
      </c>
      <c r="O81" s="66">
        <f t="shared" si="72"/>
        <v>1.5509626211890823E-2</v>
      </c>
      <c r="P81" s="66">
        <f t="shared" si="72"/>
        <v>1.491492541416529E-2</v>
      </c>
      <c r="Q81" s="66">
        <f t="shared" si="72"/>
        <v>1.4311053402986945E-2</v>
      </c>
      <c r="R81" s="66">
        <f t="shared" si="72"/>
        <v>1.3702528941384932E-2</v>
      </c>
      <c r="S81" s="66">
        <f t="shared" si="72"/>
        <v>1.3095973637332746E-2</v>
      </c>
      <c r="T81" s="66">
        <f t="shared" si="72"/>
        <v>1.2653504102422237E-2</v>
      </c>
      <c r="U81" s="66">
        <f t="shared" si="72"/>
        <v>1.2223970732425912E-2</v>
      </c>
      <c r="V81" s="66">
        <f t="shared" si="72"/>
        <v>1.1810733484618505E-2</v>
      </c>
      <c r="W81" s="66">
        <f t="shared" si="72"/>
        <v>1.1414215869229888E-2</v>
      </c>
      <c r="X81" s="66">
        <f t="shared" si="72"/>
        <v>1.1032670067791295E-2</v>
      </c>
      <c r="Y81" s="66">
        <f t="shared" si="72"/>
        <v>1.0762552215695709E-2</v>
      </c>
      <c r="Z81" s="66">
        <f t="shared" si="72"/>
        <v>1.0501323123662048E-2</v>
      </c>
      <c r="AA81" s="66">
        <f t="shared" si="72"/>
        <v>1.0246588581024577E-2</v>
      </c>
      <c r="AB81" s="66">
        <f t="shared" si="72"/>
        <v>9.9964388365703528E-3</v>
      </c>
      <c r="AC81" s="66">
        <f t="shared" si="72"/>
        <v>9.7494494830798577E-3</v>
      </c>
    </row>
    <row r="82" spans="1:29" x14ac:dyDescent="0.25">
      <c r="A82" s="59" t="str">
        <f>A45</f>
        <v>Market failure (av. utilization)</v>
      </c>
      <c r="B82" s="66">
        <f t="shared" ref="B82:AC82" si="73">B71/B45-B71/B44</f>
        <v>1.3114340768592438E-2</v>
      </c>
      <c r="C82" s="66">
        <f t="shared" si="73"/>
        <v>1.2641966540336655E-2</v>
      </c>
      <c r="D82" s="66">
        <f t="shared" si="73"/>
        <v>1.2169269174623142E-2</v>
      </c>
      <c r="E82" s="66">
        <f t="shared" si="73"/>
        <v>1.1742938968478046E-2</v>
      </c>
      <c r="F82" s="66">
        <f t="shared" si="73"/>
        <v>1.13159894821417E-2</v>
      </c>
      <c r="G82" s="66">
        <f t="shared" si="73"/>
        <v>1.0888196494520597E-2</v>
      </c>
      <c r="H82" s="66">
        <f t="shared" si="73"/>
        <v>1.0459261668985958E-2</v>
      </c>
      <c r="I82" s="66">
        <f t="shared" si="73"/>
        <v>1.0028794236319982E-2</v>
      </c>
      <c r="J82" s="66">
        <f t="shared" si="73"/>
        <v>9.8180308410739832E-3</v>
      </c>
      <c r="K82" s="66">
        <f t="shared" si="73"/>
        <v>9.6041027636268803E-3</v>
      </c>
      <c r="L82" s="66">
        <f t="shared" si="73"/>
        <v>9.3859884817884889E-3</v>
      </c>
      <c r="M82" s="66">
        <f t="shared" si="73"/>
        <v>9.1624962093665649E-3</v>
      </c>
      <c r="N82" s="66">
        <f t="shared" si="73"/>
        <v>8.932387507949429E-3</v>
      </c>
      <c r="O82" s="66">
        <f t="shared" si="73"/>
        <v>8.6490943336218519E-3</v>
      </c>
      <c r="P82" s="66">
        <f t="shared" si="73"/>
        <v>8.358279174014896E-3</v>
      </c>
      <c r="Q82" s="66">
        <f t="shared" si="73"/>
        <v>8.0609572716091211E-3</v>
      </c>
      <c r="R82" s="66">
        <f t="shared" si="73"/>
        <v>7.7597267206826019E-3</v>
      </c>
      <c r="S82" s="66">
        <f t="shared" si="73"/>
        <v>7.4585948514452188E-3</v>
      </c>
      <c r="T82" s="66">
        <f t="shared" si="73"/>
        <v>7.2349886448667359E-3</v>
      </c>
      <c r="U82" s="66">
        <f t="shared" si="73"/>
        <v>7.0188497854565095E-3</v>
      </c>
      <c r="V82" s="66">
        <f t="shared" si="73"/>
        <v>6.8124825101756725E-3</v>
      </c>
      <c r="W82" s="66">
        <f t="shared" si="73"/>
        <v>6.616354063787612E-3</v>
      </c>
      <c r="X82" s="66">
        <f t="shared" si="73"/>
        <v>6.4295298192439104E-3</v>
      </c>
      <c r="Y82" s="66">
        <f t="shared" si="73"/>
        <v>6.2970690924037676E-3</v>
      </c>
      <c r="Z82" s="66">
        <f t="shared" si="73"/>
        <v>6.1703151252181215E-3</v>
      </c>
      <c r="AA82" s="66">
        <f t="shared" si="73"/>
        <v>6.0477609473941381E-3</v>
      </c>
      <c r="AB82" s="66">
        <f t="shared" si="73"/>
        <v>5.9281919985572501E-3</v>
      </c>
      <c r="AC82" s="66">
        <f t="shared" si="73"/>
        <v>5.8106946942033423E-3</v>
      </c>
    </row>
    <row r="83" spans="1:29" x14ac:dyDescent="0.25">
      <c r="A83" s="59" t="str">
        <f>A46</f>
        <v>Payload loss (fuel)</v>
      </c>
      <c r="B83" s="66">
        <f>B71/(B44-B46)-B71/B44</f>
        <v>1.1611655888857896E-3</v>
      </c>
      <c r="C83" s="66">
        <f t="shared" ref="C83:AC83" si="74">C71/(C44-C46)-C71/C44</f>
        <v>1.119340787425642E-3</v>
      </c>
      <c r="D83" s="66">
        <f t="shared" si="74"/>
        <v>1.0774873748364243E-3</v>
      </c>
      <c r="E83" s="66">
        <f t="shared" si="74"/>
        <v>1.0397393878339919E-3</v>
      </c>
      <c r="F83" s="66">
        <f t="shared" si="74"/>
        <v>1.0019365687312966E-3</v>
      </c>
      <c r="G83" s="66">
        <f t="shared" si="74"/>
        <v>9.6405906461901128E-4</v>
      </c>
      <c r="H83" s="66">
        <f t="shared" si="74"/>
        <v>9.2608046027480018E-4</v>
      </c>
      <c r="I83" s="66">
        <f t="shared" si="74"/>
        <v>8.8796615634082962E-4</v>
      </c>
      <c r="J83" s="66">
        <f t="shared" si="74"/>
        <v>8.6930481405342666E-4</v>
      </c>
      <c r="K83" s="66">
        <f t="shared" si="74"/>
        <v>8.5036326552946281E-4</v>
      </c>
      <c r="L83" s="66">
        <f t="shared" si="74"/>
        <v>8.3105106349169039E-4</v>
      </c>
      <c r="M83" s="66">
        <f t="shared" si="74"/>
        <v>8.1126268520433087E-4</v>
      </c>
      <c r="N83" s="66">
        <f t="shared" si="74"/>
        <v>7.9088847726635492E-4</v>
      </c>
      <c r="O83" s="66">
        <f t="shared" si="74"/>
        <v>7.6580522745610391E-4</v>
      </c>
      <c r="P83" s="66">
        <f t="shared" si="74"/>
        <v>7.4005596853257E-4</v>
      </c>
      <c r="Q83" s="66">
        <f t="shared" si="74"/>
        <v>7.1373059175705578E-4</v>
      </c>
      <c r="R83" s="66">
        <f t="shared" si="74"/>
        <v>6.8705913672710561E-4</v>
      </c>
      <c r="S83" s="66">
        <f t="shared" si="74"/>
        <v>6.6039641913837738E-4</v>
      </c>
      <c r="T83" s="66">
        <f t="shared" si="74"/>
        <v>6.4059795293090922E-4</v>
      </c>
      <c r="U83" s="66">
        <f t="shared" si="74"/>
        <v>6.2146065808729549E-4</v>
      </c>
      <c r="V83" s="66">
        <f t="shared" si="74"/>
        <v>6.0318855558847209E-4</v>
      </c>
      <c r="W83" s="66">
        <f t="shared" si="74"/>
        <v>5.8582301606452912E-4</v>
      </c>
      <c r="X83" s="66">
        <f t="shared" si="74"/>
        <v>5.6928128607888762E-4</v>
      </c>
      <c r="Y83" s="66">
        <f t="shared" si="74"/>
        <v>5.5755299255658315E-4</v>
      </c>
      <c r="Z83" s="66">
        <f t="shared" si="74"/>
        <v>5.4632998504535596E-4</v>
      </c>
      <c r="AA83" s="66">
        <f t="shared" si="74"/>
        <v>5.3547883388385675E-4</v>
      </c>
      <c r="AB83" s="66">
        <f t="shared" si="74"/>
        <v>5.2489199987225746E-4</v>
      </c>
      <c r="AC83" s="66">
        <f t="shared" si="74"/>
        <v>5.1448859271592019E-4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4.2129683891405201E-2</v>
      </c>
      <c r="C85" s="67">
        <f t="shared" ref="C85:AC85" si="76">C74+C75+C76+C77+C78+C79+C80+C81+C82+C83+C84</f>
        <v>4.0611689626645735E-2</v>
      </c>
      <c r="D85" s="67">
        <f t="shared" si="76"/>
        <v>3.9092656946201787E-2</v>
      </c>
      <c r="E85" s="67">
        <f t="shared" si="76"/>
        <v>3.7722627064995927E-2</v>
      </c>
      <c r="F85" s="67">
        <f t="shared" si="76"/>
        <v>3.6350607101092142E-2</v>
      </c>
      <c r="G85" s="67">
        <f t="shared" si="76"/>
        <v>3.4975876510663917E-2</v>
      </c>
      <c r="H85" s="67">
        <f t="shared" si="76"/>
        <v>3.3597476576523962E-2</v>
      </c>
      <c r="I85" s="67">
        <f t="shared" si="76"/>
        <v>3.2214151545508815E-2</v>
      </c>
      <c r="J85" s="67">
        <f t="shared" si="76"/>
        <v>3.1536854593077659E-2</v>
      </c>
      <c r="K85" s="67">
        <f t="shared" si="76"/>
        <v>3.0849387802531499E-2</v>
      </c>
      <c r="L85" s="67">
        <f t="shared" si="76"/>
        <v>3.0148468469748758E-2</v>
      </c>
      <c r="M85" s="67">
        <f t="shared" si="76"/>
        <v>2.9430266740142881E-2</v>
      </c>
      <c r="N85" s="67">
        <f t="shared" si="76"/>
        <v>2.8690802840276364E-2</v>
      </c>
      <c r="O85" s="67">
        <f t="shared" si="76"/>
        <v>2.7780428420692425E-2</v>
      </c>
      <c r="P85" s="67">
        <f t="shared" si="76"/>
        <v>2.6845881787997156E-2</v>
      </c>
      <c r="Q85" s="67">
        <f t="shared" si="76"/>
        <v>2.5890425466203595E-2</v>
      </c>
      <c r="R85" s="67">
        <f t="shared" si="76"/>
        <v>2.4922408539528273E-2</v>
      </c>
      <c r="S85" s="67">
        <f t="shared" si="76"/>
        <v>2.3954708730572722E-2</v>
      </c>
      <c r="T85" s="67">
        <f t="shared" si="76"/>
        <v>2.3236140868807494E-2</v>
      </c>
      <c r="U85" s="67">
        <f t="shared" si="76"/>
        <v>2.2541569638306926E-2</v>
      </c>
      <c r="V85" s="67">
        <f t="shared" si="76"/>
        <v>2.1878399800555479E-2</v>
      </c>
      <c r="W85" s="67">
        <f t="shared" si="76"/>
        <v>2.1248132866068851E-2</v>
      </c>
      <c r="X85" s="67">
        <f t="shared" si="76"/>
        <v>2.0647765371884147E-2</v>
      </c>
      <c r="Y85" s="67">
        <f t="shared" si="76"/>
        <v>2.0222097306986396E-2</v>
      </c>
      <c r="Z85" s="67">
        <f t="shared" si="76"/>
        <v>1.9814768152020018E-2</v>
      </c>
      <c r="AA85" s="67">
        <f t="shared" si="76"/>
        <v>1.9420935195158577E-2</v>
      </c>
      <c r="AB85" s="67">
        <f t="shared" si="76"/>
        <v>1.90366953960317E-2</v>
      </c>
      <c r="AC85" s="67">
        <f t="shared" si="76"/>
        <v>1.86591129127694E-2</v>
      </c>
    </row>
    <row r="87" spans="1:29" x14ac:dyDescent="0.25">
      <c r="B87" s="40"/>
    </row>
    <row r="107" spans="1:2" s="3" customFormat="1" ht="21" x14ac:dyDescent="0.35">
      <c r="A107" s="2" t="str">
        <f>'Parameter Input'!A223</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Input'!$L$261</f>
        <v>19500000</v>
      </c>
      <c r="C117" s="42">
        <f>'Parameter Input'!$M$261</f>
        <v>15000000</v>
      </c>
      <c r="D117" s="1" t="s">
        <v>15</v>
      </c>
      <c r="L117" s="51">
        <f>'Parameter Input'!$O$261</f>
        <v>17</v>
      </c>
      <c r="M117" s="52">
        <v>0</v>
      </c>
      <c r="N117" s="52">
        <v>1</v>
      </c>
      <c r="O117" s="52">
        <f>'Parameter Input'!$P$261</f>
        <v>0.9</v>
      </c>
      <c r="P117" s="53">
        <f>'Parameter Input'!$Q$261</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Input'!$L$262</f>
        <v>-975000</v>
      </c>
      <c r="C118" s="61">
        <f>'Parameter Input'!$M$262</f>
        <v>-1500000</v>
      </c>
      <c r="D118" s="1" t="s">
        <v>15</v>
      </c>
      <c r="L118" s="54">
        <f>'Parameter Input'!$O$262</f>
        <v>17</v>
      </c>
      <c r="M118" s="37">
        <v>0</v>
      </c>
      <c r="N118" s="37">
        <v>1</v>
      </c>
      <c r="O118" s="37">
        <f>'Parameter Input'!$P$262</f>
        <v>0.9</v>
      </c>
      <c r="P118" s="55">
        <f>'Parameter Input'!$Q$262</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Input'!$L$268</f>
        <v>0.06</v>
      </c>
      <c r="C121" s="91">
        <f>'Parameter Input'!$M$268</f>
        <v>0.06</v>
      </c>
      <c r="D121" s="1" t="s">
        <v>57</v>
      </c>
      <c r="L121" s="54">
        <f>'Parameter Input'!$O$268</f>
        <v>17</v>
      </c>
      <c r="M121" s="37">
        <v>0</v>
      </c>
      <c r="N121" s="37">
        <v>1</v>
      </c>
      <c r="O121" s="37">
        <f>'Parameter Input'!$P$268</f>
        <v>0.9</v>
      </c>
      <c r="P121" s="55">
        <f>'Parameter Input'!$Q$268</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Input'!$L$264</f>
        <v>488235.29411764705</v>
      </c>
      <c r="C123" s="61">
        <f>'Parameter Input'!$M$264</f>
        <v>488235.29411764705</v>
      </c>
      <c r="D123" s="1" t="s">
        <v>38</v>
      </c>
      <c r="L123" s="54">
        <f>'Parameter Input'!$O$264</f>
        <v>17</v>
      </c>
      <c r="M123" s="37">
        <v>0</v>
      </c>
      <c r="N123" s="37">
        <v>1</v>
      </c>
      <c r="O123" s="37">
        <f>'Parameter Input'!$P$264</f>
        <v>0.9</v>
      </c>
      <c r="P123" s="55">
        <f>'Parameter Input'!$Q$264</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Input'!$L$265</f>
        <v>647</v>
      </c>
      <c r="C125" s="61">
        <f>'Parameter Input'!$M$265</f>
        <v>600</v>
      </c>
      <c r="D125" s="1" t="s">
        <v>60</v>
      </c>
      <c r="L125" s="54">
        <f>'Parameter Input'!$O$265</f>
        <v>17</v>
      </c>
      <c r="M125" s="37">
        <v>0</v>
      </c>
      <c r="N125" s="37">
        <v>1</v>
      </c>
      <c r="O125" s="37">
        <f>'Parameter Input'!$P$265</f>
        <v>0.9</v>
      </c>
      <c r="P125" s="55">
        <f>'Parameter Input'!$Q$265</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Input'!$L$266</f>
        <v>0.46076973995226939</v>
      </c>
      <c r="C126" s="61">
        <f>'Parameter Input'!$M$266</f>
        <v>0.14224714585492179</v>
      </c>
      <c r="D126" s="1" t="s">
        <v>68</v>
      </c>
      <c r="L126" s="54">
        <f>'Parameter Input'!$O$266</f>
        <v>17</v>
      </c>
      <c r="M126" s="37">
        <v>0</v>
      </c>
      <c r="N126" s="37">
        <v>1</v>
      </c>
      <c r="O126" s="37">
        <f>'Parameter Input'!$P$266</f>
        <v>0.9</v>
      </c>
      <c r="P126" s="55">
        <f>'Parameter Input'!$Q$266</f>
        <v>0.4</v>
      </c>
      <c r="Q126" s="4">
        <f t="shared" si="77"/>
        <v>0.99780374543478534</v>
      </c>
      <c r="R126" s="4">
        <f t="shared" si="77"/>
        <v>0.99685359315256394</v>
      </c>
      <c r="S126" s="4">
        <f t="shared" si="77"/>
        <v>0.99549347132349975</v>
      </c>
      <c r="T126" s="4">
        <f t="shared" ref="T126:AI133" si="78">$N126+($M126-$N126)*((1/(1+EXP(-$P126*(T$9-$L126)))^$O126))</f>
        <v>0.99354772139898062</v>
      </c>
      <c r="U126" s="4">
        <f t="shared" si="78"/>
        <v>0.99076681540580536</v>
      </c>
      <c r="V126" s="4">
        <f t="shared" si="78"/>
        <v>0.9867978615748374</v>
      </c>
      <c r="W126" s="4">
        <f t="shared" si="78"/>
        <v>0.98114509762858249</v>
      </c>
      <c r="X126" s="4">
        <f t="shared" si="78"/>
        <v>0.97311898315872036</v>
      </c>
      <c r="Y126" s="4">
        <f t="shared" si="78"/>
        <v>0.96177484161592774</v>
      </c>
      <c r="Z126" s="4">
        <f t="shared" si="78"/>
        <v>0.94584787155511363</v>
      </c>
      <c r="AA126" s="4">
        <f t="shared" si="78"/>
        <v>0.92370360150141495</v>
      </c>
      <c r="AB126" s="4">
        <f t="shared" si="78"/>
        <v>0.89334463567658451</v>
      </c>
      <c r="AC126" s="4">
        <f t="shared" si="78"/>
        <v>0.85254543874327005</v>
      </c>
      <c r="AD126" s="4">
        <f t="shared" si="78"/>
        <v>0.79921300652623883</v>
      </c>
      <c r="AE126" s="4">
        <f t="shared" si="78"/>
        <v>0.73204982249993378</v>
      </c>
      <c r="AF126" s="4">
        <f t="shared" si="78"/>
        <v>0.65145592958786691</v>
      </c>
      <c r="AG126" s="4">
        <f t="shared" si="78"/>
        <v>0.56032247880849573</v>
      </c>
      <c r="AH126" s="4">
        <f t="shared" si="78"/>
        <v>0.46411326873185343</v>
      </c>
      <c r="AI126" s="4">
        <f t="shared" si="78"/>
        <v>0.36979727595523937</v>
      </c>
      <c r="AJ126" s="4">
        <f t="shared" ref="AJ126:AR133" si="79">$N126+($M126-$N126)*((1/(1+EXP(-$P126*(AJ$9-$L126)))^$O126))</f>
        <v>0.28393948637231203</v>
      </c>
      <c r="AK126" s="4">
        <f t="shared" si="79"/>
        <v>0.21097259161117732</v>
      </c>
      <c r="AL126" s="4">
        <f t="shared" si="79"/>
        <v>0.15253917653798199</v>
      </c>
      <c r="AM126" s="4">
        <f t="shared" si="79"/>
        <v>0.10795188737709993</v>
      </c>
      <c r="AN126" s="4">
        <f t="shared" si="79"/>
        <v>7.5176653938091809E-2</v>
      </c>
      <c r="AO126" s="4">
        <f t="shared" si="79"/>
        <v>5.1742836177502194E-2</v>
      </c>
      <c r="AP126" s="4">
        <f t="shared" si="79"/>
        <v>3.5319190625345942E-2</v>
      </c>
      <c r="AQ126" s="4">
        <f t="shared" si="79"/>
        <v>2.3969442072658165E-2</v>
      </c>
      <c r="AR126" s="4">
        <f t="shared" si="79"/>
        <v>1.6202243558389728E-2</v>
      </c>
    </row>
    <row r="127" spans="1:44" x14ac:dyDescent="0.25">
      <c r="A127" s="24" t="s">
        <v>206</v>
      </c>
      <c r="B127" s="115">
        <f>'Parameter Input'!$L$269</f>
        <v>0</v>
      </c>
      <c r="C127" s="116">
        <f>'Parameter Input'!$M$269</f>
        <v>0</v>
      </c>
      <c r="D127" s="1" t="s">
        <v>76</v>
      </c>
      <c r="L127" s="54">
        <f>'Parameter Input'!$O$269</f>
        <v>17</v>
      </c>
      <c r="M127" s="37">
        <v>0</v>
      </c>
      <c r="N127" s="37">
        <v>1</v>
      </c>
      <c r="O127" s="37">
        <f>'Parameter Input'!$P$269</f>
        <v>0.9</v>
      </c>
      <c r="P127" s="55">
        <f>'Parameter Input'!$Q$269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Input'!$L$263</f>
        <v>25</v>
      </c>
      <c r="C128" s="61">
        <f>'Parameter Input'!$M$263</f>
        <v>25</v>
      </c>
      <c r="D128" s="1" t="s">
        <v>42</v>
      </c>
      <c r="L128" s="54">
        <f>'Parameter Input'!$O$263</f>
        <v>17</v>
      </c>
      <c r="M128" s="37">
        <v>0</v>
      </c>
      <c r="N128" s="37">
        <v>1</v>
      </c>
      <c r="O128" s="37">
        <f>'Parameter Input'!$P$263</f>
        <v>0.9</v>
      </c>
      <c r="P128" s="55">
        <f>'Parameter Input'!$Q$263</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Input'!$L$267</f>
        <v>0.04</v>
      </c>
      <c r="C132" s="46">
        <f>'Parameter Input'!$M$267</f>
        <v>0.04</v>
      </c>
      <c r="D132" s="1" t="s">
        <v>57</v>
      </c>
      <c r="L132" s="54">
        <f>'Parameter Input'!$O$267</f>
        <v>17</v>
      </c>
      <c r="M132" s="37">
        <v>0</v>
      </c>
      <c r="N132" s="37">
        <v>1</v>
      </c>
      <c r="O132" s="37">
        <f>'Parameter Input'!$P$267</f>
        <v>0.9</v>
      </c>
      <c r="P132" s="55">
        <f>'Parameter Input'!$Q$267</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19490116.854456533</v>
      </c>
      <c r="C137" s="62">
        <f t="shared" ref="C137:C145" si="84">$B117+($C117-$B117)*(1-R117)</f>
        <v>19485841.169186536</v>
      </c>
      <c r="D137" s="62">
        <f t="shared" ref="D137:D145" si="85">$B117+($C117-$B117)*(1-S117)</f>
        <v>19479720.62095575</v>
      </c>
      <c r="E137" s="62">
        <f t="shared" ref="E137:E145" si="86">$B117+($C117-$B117)*(1-T117)</f>
        <v>19470964.746295411</v>
      </c>
      <c r="F137" s="62">
        <f t="shared" ref="F137:F145" si="87">$B117+($C117-$B117)*(1-U117)</f>
        <v>19458450.669326123</v>
      </c>
      <c r="G137" s="62">
        <f t="shared" ref="G137:G145" si="88">$B117+($C117-$B117)*(1-V117)</f>
        <v>19440590.37708677</v>
      </c>
      <c r="H137" s="62">
        <f t="shared" ref="H137:H145" si="89">$B117+($C117-$B117)*(1-W117)</f>
        <v>19415152.939328622</v>
      </c>
      <c r="I137" s="62">
        <f t="shared" ref="I137:I145" si="90">$B117+($C117-$B117)*(1-X117)</f>
        <v>19379035.42421424</v>
      </c>
      <c r="J137" s="62">
        <f t="shared" ref="J137:J145" si="91">$B117+($C117-$B117)*(1-Y117)</f>
        <v>19327986.787271675</v>
      </c>
      <c r="K137" s="62">
        <f t="shared" ref="K137:K145" si="92">$B117+($C117-$B117)*(1-Z117)</f>
        <v>19256315.421998013</v>
      </c>
      <c r="L137" s="62">
        <f t="shared" ref="L137:L145" si="93">$B117+($C117-$B117)*(1-AA117)</f>
        <v>19156666.206756368</v>
      </c>
      <c r="M137" s="62">
        <f t="shared" ref="M137:M145" si="94">$B117+($C117-$B117)*(1-AB117)</f>
        <v>19020050.860544629</v>
      </c>
      <c r="N137" s="62">
        <f t="shared" ref="N137:N145" si="95">$B117+($C117-$B117)*(1-AC117)</f>
        <v>18836454.474344715</v>
      </c>
      <c r="O137" s="62">
        <f t="shared" ref="O137:O145" si="96">$B117+($C117-$B117)*(1-AD117)</f>
        <v>18596458.529368076</v>
      </c>
      <c r="P137" s="62">
        <f t="shared" ref="P137:P145" si="97">$B117+($C117-$B117)*(1-AE117)</f>
        <v>18294224.201249704</v>
      </c>
      <c r="Q137" s="62">
        <f t="shared" ref="Q137:Q145" si="98">$B117+($C117-$B117)*(1-AF117)</f>
        <v>17931551.6831454</v>
      </c>
      <c r="R137" s="62">
        <f t="shared" ref="R137:R145" si="99">$B117+($C117-$B117)*(1-AG117)</f>
        <v>17521451.154638231</v>
      </c>
      <c r="S137" s="62">
        <f t="shared" ref="S137:S145" si="100">$B117+($C117-$B117)*(1-AH117)</f>
        <v>17088509.709293339</v>
      </c>
      <c r="T137" s="62">
        <f t="shared" ref="T137:T145" si="101">$B117+($C117-$B117)*(1-AI117)</f>
        <v>16664087.741798578</v>
      </c>
      <c r="U137" s="62">
        <f t="shared" ref="U137:U145" si="102">$B117+($C117-$B117)*(1-AJ117)</f>
        <v>16277727.688675404</v>
      </c>
      <c r="V137" s="62">
        <f t="shared" ref="V137:V145" si="103">$B117+($C117-$B117)*(1-AK117)</f>
        <v>15949376.662250299</v>
      </c>
      <c r="W137" s="62">
        <f t="shared" ref="W137:W145" si="104">$B117+($C117-$B117)*(1-AL117)</f>
        <v>15686426.294420918</v>
      </c>
      <c r="X137" s="62">
        <f t="shared" ref="X137:X145" si="105">$B117+($C117-$B117)*(1-AM117)</f>
        <v>15485783.493196949</v>
      </c>
      <c r="Y137" s="62">
        <f t="shared" ref="Y137:Y145" si="106">$B117+($C117-$B117)*(1-AN117)</f>
        <v>15338294.942721413</v>
      </c>
      <c r="Z137" s="62">
        <f t="shared" ref="Z137:Z145" si="107">$B117+($C117-$B117)*(1-AO117)</f>
        <v>15232842.76279876</v>
      </c>
      <c r="AA137" s="62">
        <f t="shared" ref="AA137:AA145" si="108">$B117+($C117-$B117)*(1-AP117)</f>
        <v>15158936.357814057</v>
      </c>
      <c r="AB137" s="62">
        <f t="shared" ref="AB137:AB145" si="109">$B117+($C117-$B117)*(1-AQ117)</f>
        <v>15107862.489326961</v>
      </c>
      <c r="AC137" s="62">
        <f t="shared" ref="AC137:AC145" si="110">$B117+($C117-$B117)*(1-AR117)</f>
        <v>15072910.096012753</v>
      </c>
    </row>
    <row r="138" spans="1:44" x14ac:dyDescent="0.25">
      <c r="A138" s="30" t="str">
        <f t="shared" si="82"/>
        <v>Residual value (vehicle)</v>
      </c>
      <c r="B138" s="62">
        <f t="shared" si="83"/>
        <v>-976153.03364673769</v>
      </c>
      <c r="C138" s="62">
        <f t="shared" si="84"/>
        <v>-976651.86359490396</v>
      </c>
      <c r="D138" s="62">
        <f t="shared" si="85"/>
        <v>-977365.92755516258</v>
      </c>
      <c r="E138" s="62">
        <f t="shared" si="86"/>
        <v>-978387.4462655352</v>
      </c>
      <c r="F138" s="62">
        <f t="shared" si="87"/>
        <v>-979847.4219119522</v>
      </c>
      <c r="G138" s="62">
        <f t="shared" si="88"/>
        <v>-981931.12267321034</v>
      </c>
      <c r="H138" s="62">
        <f t="shared" si="89"/>
        <v>-984898.82374499424</v>
      </c>
      <c r="I138" s="62">
        <f t="shared" si="90"/>
        <v>-989112.53384167177</v>
      </c>
      <c r="J138" s="62">
        <f t="shared" si="91"/>
        <v>-995068.20815163793</v>
      </c>
      <c r="K138" s="62">
        <f t="shared" si="92"/>
        <v>-1003429.8674335653</v>
      </c>
      <c r="L138" s="62">
        <f t="shared" si="93"/>
        <v>-1015055.6092117572</v>
      </c>
      <c r="M138" s="62">
        <f t="shared" si="94"/>
        <v>-1030994.0662697931</v>
      </c>
      <c r="N138" s="62">
        <f t="shared" si="95"/>
        <v>-1052413.6446597832</v>
      </c>
      <c r="O138" s="62">
        <f t="shared" si="96"/>
        <v>-1080413.1715737246</v>
      </c>
      <c r="P138" s="62">
        <f t="shared" si="97"/>
        <v>-1115673.8431875347</v>
      </c>
      <c r="Q138" s="62">
        <f t="shared" si="98"/>
        <v>-1157985.6369663698</v>
      </c>
      <c r="R138" s="62">
        <f t="shared" si="99"/>
        <v>-1205830.6986255397</v>
      </c>
      <c r="S138" s="62">
        <f t="shared" si="100"/>
        <v>-1256340.533915777</v>
      </c>
      <c r="T138" s="62">
        <f t="shared" si="101"/>
        <v>-1305856.4301234994</v>
      </c>
      <c r="U138" s="62">
        <f t="shared" si="102"/>
        <v>-1350931.7696545362</v>
      </c>
      <c r="V138" s="62">
        <f t="shared" si="103"/>
        <v>-1389239.389404132</v>
      </c>
      <c r="W138" s="62">
        <f t="shared" si="104"/>
        <v>-1419916.9323175594</v>
      </c>
      <c r="X138" s="62">
        <f t="shared" si="105"/>
        <v>-1443325.2591270225</v>
      </c>
      <c r="Y138" s="62">
        <f t="shared" si="106"/>
        <v>-1460532.2566825019</v>
      </c>
      <c r="Z138" s="62">
        <f t="shared" si="107"/>
        <v>-1472835.0110068114</v>
      </c>
      <c r="AA138" s="62">
        <f t="shared" si="108"/>
        <v>-1481457.4249216933</v>
      </c>
      <c r="AB138" s="62">
        <f t="shared" si="109"/>
        <v>-1487416.0429118546</v>
      </c>
      <c r="AC138" s="62">
        <f t="shared" si="110"/>
        <v>-1491493.8221318454</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488235.29411764705</v>
      </c>
      <c r="C143" s="62">
        <f t="shared" si="84"/>
        <v>488235.29411764705</v>
      </c>
      <c r="D143" s="62">
        <f t="shared" si="85"/>
        <v>488235.29411764705</v>
      </c>
      <c r="E143" s="62">
        <f t="shared" si="86"/>
        <v>488235.29411764705</v>
      </c>
      <c r="F143" s="62">
        <f t="shared" si="87"/>
        <v>488235.29411764705</v>
      </c>
      <c r="G143" s="62">
        <f t="shared" si="88"/>
        <v>488235.29411764705</v>
      </c>
      <c r="H143" s="62">
        <f t="shared" si="89"/>
        <v>488235.29411764705</v>
      </c>
      <c r="I143" s="62">
        <f t="shared" si="90"/>
        <v>488235.29411764705</v>
      </c>
      <c r="J143" s="62">
        <f t="shared" si="91"/>
        <v>488235.29411764705</v>
      </c>
      <c r="K143" s="62">
        <f t="shared" si="92"/>
        <v>488235.29411764705</v>
      </c>
      <c r="L143" s="62">
        <f t="shared" si="93"/>
        <v>488235.29411764705</v>
      </c>
      <c r="M143" s="62">
        <f t="shared" si="94"/>
        <v>488235.29411764705</v>
      </c>
      <c r="N143" s="62">
        <f t="shared" si="95"/>
        <v>488235.29411764705</v>
      </c>
      <c r="O143" s="62">
        <f t="shared" si="96"/>
        <v>488235.29411764705</v>
      </c>
      <c r="P143" s="62">
        <f t="shared" si="97"/>
        <v>488235.29411764705</v>
      </c>
      <c r="Q143" s="62">
        <f t="shared" si="98"/>
        <v>488235.29411764705</v>
      </c>
      <c r="R143" s="62">
        <f t="shared" si="99"/>
        <v>488235.29411764705</v>
      </c>
      <c r="S143" s="62">
        <f t="shared" si="100"/>
        <v>488235.29411764705</v>
      </c>
      <c r="T143" s="62">
        <f t="shared" si="101"/>
        <v>488235.29411764705</v>
      </c>
      <c r="U143" s="62">
        <f t="shared" si="102"/>
        <v>488235.29411764705</v>
      </c>
      <c r="V143" s="62">
        <f t="shared" si="103"/>
        <v>488235.29411764705</v>
      </c>
      <c r="W143" s="62">
        <f t="shared" si="104"/>
        <v>488235.29411764705</v>
      </c>
      <c r="X143" s="62">
        <f t="shared" si="105"/>
        <v>488235.29411764705</v>
      </c>
      <c r="Y143" s="62">
        <f t="shared" si="106"/>
        <v>488235.29411764705</v>
      </c>
      <c r="Z143" s="62">
        <f t="shared" si="107"/>
        <v>488235.29411764705</v>
      </c>
      <c r="AA143" s="62">
        <f t="shared" si="108"/>
        <v>488235.29411764705</v>
      </c>
      <c r="AB143" s="62">
        <f t="shared" si="109"/>
        <v>488235.29411764705</v>
      </c>
      <c r="AC143" s="62">
        <f t="shared" si="110"/>
        <v>488235.29411764705</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646.89677603543487</v>
      </c>
      <c r="C145" s="62">
        <f t="shared" si="84"/>
        <v>646.85211887817047</v>
      </c>
      <c r="D145" s="62">
        <f t="shared" si="85"/>
        <v>646.78819315220449</v>
      </c>
      <c r="E145" s="62">
        <f t="shared" si="86"/>
        <v>646.6967429057521</v>
      </c>
      <c r="F145" s="62">
        <f t="shared" si="87"/>
        <v>646.5660403240729</v>
      </c>
      <c r="G145" s="62">
        <f t="shared" si="88"/>
        <v>646.37949949401741</v>
      </c>
      <c r="H145" s="62">
        <f t="shared" si="89"/>
        <v>646.11381958854338</v>
      </c>
      <c r="I145" s="62">
        <f t="shared" si="90"/>
        <v>645.73659220845991</v>
      </c>
      <c r="J145" s="62">
        <f t="shared" si="91"/>
        <v>645.20341755594859</v>
      </c>
      <c r="K145" s="62">
        <f t="shared" si="92"/>
        <v>644.4548499630904</v>
      </c>
      <c r="L145" s="62">
        <f t="shared" si="93"/>
        <v>643.41406927056653</v>
      </c>
      <c r="M145" s="62">
        <f t="shared" si="94"/>
        <v>641.98719787679943</v>
      </c>
      <c r="N145" s="62">
        <f t="shared" si="95"/>
        <v>640.0696356209337</v>
      </c>
      <c r="O145" s="62">
        <f t="shared" si="96"/>
        <v>637.56301130673319</v>
      </c>
      <c r="P145" s="62">
        <f t="shared" si="97"/>
        <v>634.40634165749691</v>
      </c>
      <c r="Q145" s="62">
        <f t="shared" si="98"/>
        <v>630.6184286906298</v>
      </c>
      <c r="R145" s="62">
        <f t="shared" si="99"/>
        <v>626.33515650399931</v>
      </c>
      <c r="S145" s="62">
        <f t="shared" si="100"/>
        <v>621.81332363039712</v>
      </c>
      <c r="T145" s="62">
        <f t="shared" si="101"/>
        <v>617.38047196989623</v>
      </c>
      <c r="U145" s="62">
        <f t="shared" si="102"/>
        <v>613.34515585949862</v>
      </c>
      <c r="V145" s="62">
        <f t="shared" si="103"/>
        <v>609.91571180572532</v>
      </c>
      <c r="W145" s="62">
        <f t="shared" si="104"/>
        <v>607.1693412972852</v>
      </c>
      <c r="X145" s="62">
        <f t="shared" si="105"/>
        <v>605.0737387067237</v>
      </c>
      <c r="Y145" s="62">
        <f t="shared" si="106"/>
        <v>603.53330273509027</v>
      </c>
      <c r="Z145" s="62">
        <f t="shared" si="107"/>
        <v>602.43191330034256</v>
      </c>
      <c r="AA145" s="62">
        <f t="shared" si="108"/>
        <v>601.66000195939125</v>
      </c>
      <c r="AB145" s="62">
        <f t="shared" si="109"/>
        <v>601.12656377741496</v>
      </c>
      <c r="AC145" s="62">
        <f t="shared" si="110"/>
        <v>600.7615054472443</v>
      </c>
    </row>
    <row r="146" spans="1:29" x14ac:dyDescent="0.25">
      <c r="A146" s="30" t="str">
        <f t="shared" si="82"/>
        <v>Fuel Cost</v>
      </c>
      <c r="B146" s="62">
        <f>'Parameter Input'!J7</f>
        <v>0.36417427635318367</v>
      </c>
      <c r="C146" s="62">
        <f>'Parameter Input'!K7</f>
        <v>0.34953957198802377</v>
      </c>
      <c r="D146" s="62">
        <f>'Parameter Input'!L7</f>
        <v>0.33490486762286403</v>
      </c>
      <c r="E146" s="62">
        <f>'Parameter Input'!M7</f>
        <v>0.32172366231345256</v>
      </c>
      <c r="F146" s="62">
        <f>'Parameter Input'!N7</f>
        <v>0.30854245700404115</v>
      </c>
      <c r="G146" s="62">
        <f>'Parameter Input'!O7</f>
        <v>0.29536125169462968</v>
      </c>
      <c r="H146" s="62">
        <f>'Parameter Input'!P7</f>
        <v>0.28218004638521826</v>
      </c>
      <c r="I146" s="62">
        <f>'Parameter Input'!Q7</f>
        <v>0.26899884107580674</v>
      </c>
      <c r="J146" s="62">
        <f>'Parameter Input'!R7</f>
        <v>0.26271894785871058</v>
      </c>
      <c r="K146" s="62">
        <f>'Parameter Input'!S7</f>
        <v>0.25643905464161443</v>
      </c>
      <c r="L146" s="62">
        <f>'Parameter Input'!T7</f>
        <v>0.25015916142451827</v>
      </c>
      <c r="M146" s="62">
        <f>'Parameter Input'!U7</f>
        <v>0.24387926820742209</v>
      </c>
      <c r="N146" s="62">
        <f>'Parameter Input'!V7</f>
        <v>0.23759937499032585</v>
      </c>
      <c r="O146" s="62">
        <f>'Parameter Input'!W7</f>
        <v>0.22988467822493394</v>
      </c>
      <c r="P146" s="62">
        <f>'Parameter Input'!X7</f>
        <v>0.22216998145954203</v>
      </c>
      <c r="Q146" s="62">
        <f>'Parameter Input'!Y7</f>
        <v>0.21445528469415012</v>
      </c>
      <c r="R146" s="62">
        <f>'Parameter Input'!Z7</f>
        <v>0.20674058792875821</v>
      </c>
      <c r="S146" s="62">
        <f>'Parameter Input'!AA7</f>
        <v>0.19902589116336625</v>
      </c>
      <c r="T146" s="62">
        <f>'Parameter Input'!AB7</f>
        <v>0.19368220926450147</v>
      </c>
      <c r="U146" s="62">
        <f>'Parameter Input'!AC7</f>
        <v>0.18833852736563667</v>
      </c>
      <c r="V146" s="62">
        <f>'Parameter Input'!AD7</f>
        <v>0.18299484546677189</v>
      </c>
      <c r="W146" s="62">
        <f>'Parameter Input'!AE7</f>
        <v>0.17765116356790711</v>
      </c>
      <c r="X146" s="62">
        <f>'Parameter Input'!AF7</f>
        <v>0.17230748166904239</v>
      </c>
      <c r="Y146" s="62">
        <f>'Parameter Input'!AG7</f>
        <v>0.16851782325418166</v>
      </c>
      <c r="Z146" s="62">
        <f>'Parameter Input'!AH7</f>
        <v>0.16472816483932096</v>
      </c>
      <c r="AA146" s="62">
        <f>'Parameter Input'!AI7</f>
        <v>0.16093850642446025</v>
      </c>
      <c r="AB146" s="62">
        <f>'Parameter Input'!AJ7</f>
        <v>0.15714884800959955</v>
      </c>
      <c r="AC146" s="62">
        <f>'Parameter Input'!AK7</f>
        <v>0.15335918959473879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378</v>
      </c>
      <c r="C152" s="62">
        <f t="shared" si="116"/>
        <v>378</v>
      </c>
      <c r="D152" s="62">
        <f t="shared" si="116"/>
        <v>378</v>
      </c>
      <c r="E152" s="62">
        <f t="shared" si="116"/>
        <v>378</v>
      </c>
      <c r="F152" s="62">
        <f t="shared" si="116"/>
        <v>378</v>
      </c>
      <c r="G152" s="62">
        <f t="shared" si="116"/>
        <v>378</v>
      </c>
      <c r="H152" s="62">
        <f t="shared" si="116"/>
        <v>378</v>
      </c>
      <c r="I152" s="62">
        <f t="shared" si="116"/>
        <v>378</v>
      </c>
      <c r="J152" s="62">
        <f t="shared" si="116"/>
        <v>378</v>
      </c>
      <c r="K152" s="62">
        <f t="shared" si="116"/>
        <v>378</v>
      </c>
      <c r="L152" s="62">
        <f t="shared" si="117"/>
        <v>378</v>
      </c>
      <c r="M152" s="62">
        <f t="shared" si="117"/>
        <v>378</v>
      </c>
      <c r="N152" s="62">
        <f t="shared" si="117"/>
        <v>378</v>
      </c>
      <c r="O152" s="62">
        <f t="shared" si="117"/>
        <v>378</v>
      </c>
      <c r="P152" s="62">
        <f t="shared" si="117"/>
        <v>378</v>
      </c>
      <c r="Q152" s="62">
        <f t="shared" si="117"/>
        <v>378</v>
      </c>
      <c r="R152" s="62">
        <f t="shared" si="117"/>
        <v>378</v>
      </c>
      <c r="S152" s="62">
        <f t="shared" si="117"/>
        <v>378</v>
      </c>
      <c r="T152" s="62">
        <f t="shared" si="117"/>
        <v>378</v>
      </c>
      <c r="U152" s="62">
        <f t="shared" si="117"/>
        <v>378</v>
      </c>
      <c r="V152" s="62">
        <f t="shared" si="118"/>
        <v>378</v>
      </c>
      <c r="W152" s="62">
        <f t="shared" si="118"/>
        <v>378</v>
      </c>
      <c r="X152" s="62">
        <f t="shared" si="118"/>
        <v>378</v>
      </c>
      <c r="Y152" s="62">
        <f t="shared" si="118"/>
        <v>378</v>
      </c>
      <c r="Z152" s="62">
        <f t="shared" si="118"/>
        <v>378</v>
      </c>
      <c r="AA152" s="62">
        <f t="shared" si="118"/>
        <v>378</v>
      </c>
      <c r="AB152" s="62">
        <f t="shared" si="118"/>
        <v>378</v>
      </c>
      <c r="AC152" s="62">
        <f t="shared" si="118"/>
        <v>378</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0">((1+C141)^C148)*C141/(((1+C141)^C148)-1)*(C137)</f>
        <v>1524313.4062710819</v>
      </c>
      <c r="D156" s="63">
        <f t="shared" si="120"/>
        <v>1523834.6158693277</v>
      </c>
      <c r="E156" s="63">
        <f t="shared" si="120"/>
        <v>1523149.6725295712</v>
      </c>
      <c r="F156" s="63">
        <f t="shared" si="120"/>
        <v>1522170.737356808</v>
      </c>
      <c r="G156" s="63">
        <f t="shared" si="120"/>
        <v>1520773.5853086114</v>
      </c>
      <c r="H156" s="63">
        <f t="shared" si="120"/>
        <v>1518783.6980330625</v>
      </c>
      <c r="I156" s="63">
        <f t="shared" si="120"/>
        <v>1515958.3433556822</v>
      </c>
      <c r="J156" s="63">
        <f t="shared" si="120"/>
        <v>1511964.9760184553</v>
      </c>
      <c r="K156" s="63">
        <f t="shared" si="120"/>
        <v>1506358.3603233036</v>
      </c>
      <c r="L156" s="63">
        <f t="shared" si="120"/>
        <v>1498563.1292425212</v>
      </c>
      <c r="M156" s="63">
        <f t="shared" si="120"/>
        <v>1487876.1590509433</v>
      </c>
      <c r="N156" s="63">
        <f t="shared" si="120"/>
        <v>1473514.0162828909</v>
      </c>
      <c r="O156" s="63">
        <f t="shared" si="120"/>
        <v>1454739.9211231149</v>
      </c>
      <c r="P156" s="63">
        <f t="shared" si="120"/>
        <v>1431097.1215033231</v>
      </c>
      <c r="Q156" s="63">
        <f t="shared" si="120"/>
        <v>1402726.440626242</v>
      </c>
      <c r="R156" s="63">
        <f t="shared" si="120"/>
        <v>1370645.6221440069</v>
      </c>
      <c r="S156" s="63">
        <f t="shared" si="120"/>
        <v>1336778.0336965974</v>
      </c>
      <c r="T156" s="63">
        <f t="shared" si="120"/>
        <v>1303576.896042286</v>
      </c>
      <c r="U156" s="63">
        <f t="shared" si="120"/>
        <v>1273353.2170381402</v>
      </c>
      <c r="V156" s="63">
        <f t="shared" si="120"/>
        <v>1247667.3938192725</v>
      </c>
      <c r="W156" s="63">
        <f t="shared" si="120"/>
        <v>1227097.6494912698</v>
      </c>
      <c r="X156" s="63">
        <f t="shared" si="120"/>
        <v>1211402.0216186012</v>
      </c>
      <c r="Y156" s="63">
        <f t="shared" si="120"/>
        <v>1199864.4763410145</v>
      </c>
      <c r="Z156" s="63">
        <f t="shared" si="120"/>
        <v>1191615.2983773351</v>
      </c>
      <c r="AA156" s="63">
        <f t="shared" si="120"/>
        <v>1185833.8428605145</v>
      </c>
      <c r="AB156" s="63">
        <f t="shared" si="120"/>
        <v>1181838.5017423639</v>
      </c>
      <c r="AC156" s="63">
        <f t="shared" si="120"/>
        <v>1179104.2907197287</v>
      </c>
    </row>
    <row r="157" spans="1:29" x14ac:dyDescent="0.25">
      <c r="A157" s="30" t="str">
        <f>A138</f>
        <v>Residual value (vehicle)</v>
      </c>
      <c r="B157" s="62">
        <f>((1+B141)^B148)*B141/(((1+B141)^B148)-1)*(B138)</f>
        <v>-76361.248295139725</v>
      </c>
      <c r="C157" s="62">
        <f t="shared" ref="C157:AC157" si="121">((1+C141)^C148)*C141/(((1+C141)^C148)-1)*(C138)</f>
        <v>-76400.270124930772</v>
      </c>
      <c r="D157" s="62">
        <f t="shared" si="121"/>
        <v>-76456.129005135459</v>
      </c>
      <c r="E157" s="62">
        <f t="shared" si="121"/>
        <v>-76536.039061440344</v>
      </c>
      <c r="F157" s="62">
        <f t="shared" si="121"/>
        <v>-76650.248164929391</v>
      </c>
      <c r="G157" s="62">
        <f t="shared" si="121"/>
        <v>-76813.249237219032</v>
      </c>
      <c r="H157" s="62">
        <f t="shared" si="121"/>
        <v>-77045.402752699738</v>
      </c>
      <c r="I157" s="62">
        <f t="shared" si="121"/>
        <v>-77375.027465060732</v>
      </c>
      <c r="J157" s="62">
        <f t="shared" si="121"/>
        <v>-77840.920321070545</v>
      </c>
      <c r="K157" s="62">
        <f t="shared" si="121"/>
        <v>-78495.025485504913</v>
      </c>
      <c r="L157" s="62">
        <f t="shared" si="121"/>
        <v>-79404.46911159619</v>
      </c>
      <c r="M157" s="62">
        <f t="shared" si="121"/>
        <v>-80651.282300613602</v>
      </c>
      <c r="N157" s="62">
        <f t="shared" si="121"/>
        <v>-82326.865623553065</v>
      </c>
      <c r="O157" s="62">
        <f t="shared" si="121"/>
        <v>-84517.176725526937</v>
      </c>
      <c r="P157" s="62">
        <f t="shared" si="121"/>
        <v>-87275.503347835998</v>
      </c>
      <c r="Q157" s="62">
        <f t="shared" si="121"/>
        <v>-90585.416116828768</v>
      </c>
      <c r="R157" s="62">
        <f t="shared" si="121"/>
        <v>-94328.178273089521</v>
      </c>
      <c r="S157" s="62">
        <f t="shared" si="121"/>
        <v>-98279.396925287292</v>
      </c>
      <c r="T157" s="62">
        <f t="shared" si="121"/>
        <v>-102152.86298495698</v>
      </c>
      <c r="U157" s="62">
        <f t="shared" si="121"/>
        <v>-105678.95886877397</v>
      </c>
      <c r="V157" s="62">
        <f t="shared" si="121"/>
        <v>-108675.63824430856</v>
      </c>
      <c r="W157" s="62">
        <f t="shared" si="121"/>
        <v>-111075.44174924218</v>
      </c>
      <c r="X157" s="62">
        <f t="shared" si="121"/>
        <v>-112906.59833438687</v>
      </c>
      <c r="Y157" s="62">
        <f t="shared" si="121"/>
        <v>-114252.64528343864</v>
      </c>
      <c r="Z157" s="62">
        <f t="shared" si="121"/>
        <v>-115215.04937920124</v>
      </c>
      <c r="AA157" s="62">
        <f t="shared" si="121"/>
        <v>-115889.55252283029</v>
      </c>
      <c r="AB157" s="62">
        <f t="shared" si="121"/>
        <v>-116355.67565328123</v>
      </c>
      <c r="AC157" s="62">
        <f t="shared" si="121"/>
        <v>-116674.66693925532</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488235.29411764705</v>
      </c>
      <c r="C161" s="62">
        <f t="shared" si="125"/>
        <v>488235.29411764705</v>
      </c>
      <c r="D161" s="62">
        <f t="shared" si="125"/>
        <v>488235.29411764705</v>
      </c>
      <c r="E161" s="62">
        <f t="shared" si="125"/>
        <v>488235.29411764705</v>
      </c>
      <c r="F161" s="62">
        <f t="shared" si="125"/>
        <v>488235.29411764705</v>
      </c>
      <c r="G161" s="62">
        <f t="shared" si="125"/>
        <v>488235.29411764705</v>
      </c>
      <c r="H161" s="62">
        <f t="shared" si="125"/>
        <v>488235.29411764705</v>
      </c>
      <c r="I161" s="62">
        <f t="shared" si="125"/>
        <v>488235.29411764705</v>
      </c>
      <c r="J161" s="62">
        <f t="shared" si="125"/>
        <v>488235.29411764705</v>
      </c>
      <c r="K161" s="62">
        <f t="shared" si="125"/>
        <v>488235.29411764705</v>
      </c>
      <c r="L161" s="62">
        <f t="shared" si="125"/>
        <v>488235.29411764705</v>
      </c>
      <c r="M161" s="62">
        <f t="shared" si="125"/>
        <v>488235.29411764705</v>
      </c>
      <c r="N161" s="62">
        <f t="shared" si="125"/>
        <v>488235.29411764705</v>
      </c>
      <c r="O161" s="62">
        <f t="shared" si="125"/>
        <v>488235.29411764705</v>
      </c>
      <c r="P161" s="62">
        <f t="shared" si="125"/>
        <v>488235.29411764705</v>
      </c>
      <c r="Q161" s="62">
        <f t="shared" si="125"/>
        <v>488235.29411764705</v>
      </c>
      <c r="R161" s="62">
        <f t="shared" si="125"/>
        <v>488235.29411764705</v>
      </c>
      <c r="S161" s="62">
        <f t="shared" si="125"/>
        <v>488235.29411764705</v>
      </c>
      <c r="T161" s="62">
        <f t="shared" si="125"/>
        <v>488235.29411764705</v>
      </c>
      <c r="U161" s="62">
        <f t="shared" si="125"/>
        <v>488235.29411764705</v>
      </c>
      <c r="V161" s="62">
        <f t="shared" si="125"/>
        <v>488235.29411764705</v>
      </c>
      <c r="W161" s="62">
        <f t="shared" si="125"/>
        <v>488235.29411764705</v>
      </c>
      <c r="X161" s="62">
        <f t="shared" si="125"/>
        <v>488235.29411764705</v>
      </c>
      <c r="Y161" s="62">
        <f t="shared" si="125"/>
        <v>488235.29411764705</v>
      </c>
      <c r="Z161" s="62">
        <f t="shared" si="125"/>
        <v>488235.29411764705</v>
      </c>
      <c r="AA161" s="62">
        <f t="shared" si="125"/>
        <v>488235.29411764705</v>
      </c>
      <c r="AB161" s="62">
        <f t="shared" si="125"/>
        <v>488235.29411764705</v>
      </c>
      <c r="AC161" s="62">
        <f t="shared" si="125"/>
        <v>488235.29411764705</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28269979.834549442</v>
      </c>
      <c r="C163" s="62">
        <f t="shared" ref="C163:AC163" si="127">C145*C146*C153</f>
        <v>27132049.532666638</v>
      </c>
      <c r="D163" s="62">
        <f t="shared" si="127"/>
        <v>25993501.704920452</v>
      </c>
      <c r="E163" s="62">
        <f t="shared" si="127"/>
        <v>24966917.34405838</v>
      </c>
      <c r="F163" s="62">
        <f t="shared" si="127"/>
        <v>23939168.963635609</v>
      </c>
      <c r="G163" s="62">
        <f t="shared" si="127"/>
        <v>22909854.96483615</v>
      </c>
      <c r="H163" s="62">
        <f t="shared" si="127"/>
        <v>21878451.309795085</v>
      </c>
      <c r="I163" s="62">
        <f t="shared" si="127"/>
        <v>20844287.393317983</v>
      </c>
      <c r="J163" s="62">
        <f t="shared" si="127"/>
        <v>20340859.561817177</v>
      </c>
      <c r="K163" s="62">
        <f t="shared" si="127"/>
        <v>19831607.098048601</v>
      </c>
      <c r="L163" s="62">
        <f t="shared" si="127"/>
        <v>19314710.882095419</v>
      </c>
      <c r="M163" s="62">
        <f t="shared" si="127"/>
        <v>18788084.16200728</v>
      </c>
      <c r="N163" s="62">
        <f t="shared" si="127"/>
        <v>18249617.444858335</v>
      </c>
      <c r="O163" s="62">
        <f t="shared" si="127"/>
        <v>17587916.124284193</v>
      </c>
      <c r="P163" s="62">
        <f t="shared" si="127"/>
        <v>16913525.419663437</v>
      </c>
      <c r="Q163" s="62">
        <f t="shared" si="127"/>
        <v>16228734.558987197</v>
      </c>
      <c r="R163" s="62">
        <f t="shared" si="127"/>
        <v>15538667.819530513</v>
      </c>
      <c r="S163" s="62">
        <f t="shared" si="127"/>
        <v>14850834.104735333</v>
      </c>
      <c r="T163" s="62">
        <f t="shared" si="127"/>
        <v>14349073.652146816</v>
      </c>
      <c r="U163" s="62">
        <f t="shared" si="127"/>
        <v>13861982.810570983</v>
      </c>
      <c r="V163" s="62">
        <f t="shared" si="127"/>
        <v>13393371.771557385</v>
      </c>
      <c r="W163" s="62">
        <f t="shared" si="127"/>
        <v>12943720.795706693</v>
      </c>
      <c r="X163" s="62">
        <f t="shared" si="127"/>
        <v>12511047.856875328</v>
      </c>
      <c r="Y163" s="62">
        <f t="shared" si="127"/>
        <v>12204734.212598935</v>
      </c>
      <c r="Z163" s="62">
        <f t="shared" si="127"/>
        <v>11908500.422232762</v>
      </c>
      <c r="AA163" s="62">
        <f t="shared" si="127"/>
        <v>11619631.45088187</v>
      </c>
      <c r="AB163" s="62">
        <f t="shared" si="127"/>
        <v>11335961.64067078</v>
      </c>
      <c r="AC163" s="62">
        <f t="shared" si="127"/>
        <v>11055875.713812558</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31969399.973114297</v>
      </c>
      <c r="C165" s="64">
        <f t="shared" ref="C165:AC165" si="129">C156+C157+C158+C159+C160+C161+C162+C163+C164</f>
        <v>30831096.176574919</v>
      </c>
      <c r="D165" s="64">
        <f t="shared" si="129"/>
        <v>29692013.699546777</v>
      </c>
      <c r="E165" s="64">
        <f t="shared" si="129"/>
        <v>28664664.485288642</v>
      </c>
      <c r="F165" s="64">
        <f t="shared" si="129"/>
        <v>27635822.960589617</v>
      </c>
      <c r="G165" s="64">
        <f t="shared" si="129"/>
        <v>26604948.808669671</v>
      </c>
      <c r="H165" s="64">
        <f t="shared" si="129"/>
        <v>25571323.112837579</v>
      </c>
      <c r="I165" s="64">
        <f t="shared" si="129"/>
        <v>24534004.216970734</v>
      </c>
      <c r="J165" s="64">
        <f t="shared" si="129"/>
        <v>24026117.125276692</v>
      </c>
      <c r="K165" s="64">
        <f t="shared" si="129"/>
        <v>23510603.94064853</v>
      </c>
      <c r="L165" s="64">
        <f t="shared" si="129"/>
        <v>22985003.049988475</v>
      </c>
      <c r="M165" s="64">
        <f t="shared" si="129"/>
        <v>22446442.546519741</v>
      </c>
      <c r="N165" s="64">
        <f t="shared" si="129"/>
        <v>21891938.103279803</v>
      </c>
      <c r="O165" s="64">
        <f t="shared" si="129"/>
        <v>21209272.376443911</v>
      </c>
      <c r="P165" s="64">
        <f t="shared" si="129"/>
        <v>20508480.545581054</v>
      </c>
      <c r="Q165" s="64">
        <f t="shared" si="129"/>
        <v>19792009.091258742</v>
      </c>
      <c r="R165" s="64">
        <f t="shared" si="129"/>
        <v>19066118.77116356</v>
      </c>
      <c r="S165" s="64">
        <f t="shared" si="129"/>
        <v>18340466.249268774</v>
      </c>
      <c r="T165" s="64">
        <f t="shared" si="129"/>
        <v>17801631.192966275</v>
      </c>
      <c r="U165" s="64">
        <f t="shared" si="129"/>
        <v>17280790.57650248</v>
      </c>
      <c r="V165" s="64">
        <f t="shared" si="129"/>
        <v>16783497.034894481</v>
      </c>
      <c r="W165" s="64">
        <f t="shared" si="129"/>
        <v>16310876.511210851</v>
      </c>
      <c r="X165" s="64">
        <f t="shared" si="129"/>
        <v>15860676.787921675</v>
      </c>
      <c r="Y165" s="64">
        <f t="shared" si="129"/>
        <v>15541479.551418642</v>
      </c>
      <c r="Z165" s="64">
        <f t="shared" si="129"/>
        <v>15236034.178993028</v>
      </c>
      <c r="AA165" s="64">
        <f t="shared" si="129"/>
        <v>14940709.248981684</v>
      </c>
      <c r="AB165" s="64">
        <f t="shared" si="129"/>
        <v>14652577.974521995</v>
      </c>
      <c r="AC165" s="64">
        <f t="shared" si="129"/>
        <v>14369438.845355162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12.705398992482186</v>
      </c>
      <c r="C168" s="65">
        <f t="shared" ref="C168:AC168" si="131">((1+C141)^C148)*C141/(((1+C141)^C148)-1)*(C137)/C153</f>
        <v>12.702611718925683</v>
      </c>
      <c r="D168" s="65">
        <f t="shared" si="131"/>
        <v>12.698621798911065</v>
      </c>
      <c r="E168" s="65">
        <f t="shared" si="131"/>
        <v>12.692913937746427</v>
      </c>
      <c r="F168" s="65">
        <f t="shared" si="131"/>
        <v>12.684756144640067</v>
      </c>
      <c r="G168" s="65">
        <f t="shared" si="131"/>
        <v>12.673113210905095</v>
      </c>
      <c r="H168" s="65">
        <f t="shared" si="131"/>
        <v>12.656530816942187</v>
      </c>
      <c r="I168" s="65">
        <f t="shared" si="131"/>
        <v>12.632986194630686</v>
      </c>
      <c r="J168" s="65">
        <f t="shared" si="131"/>
        <v>12.599708133487129</v>
      </c>
      <c r="K168" s="65">
        <f t="shared" si="131"/>
        <v>12.55298633602753</v>
      </c>
      <c r="L168" s="65">
        <f t="shared" si="131"/>
        <v>12.48802607702101</v>
      </c>
      <c r="M168" s="65">
        <f t="shared" si="131"/>
        <v>12.398967992091194</v>
      </c>
      <c r="N168" s="65">
        <f t="shared" si="131"/>
        <v>12.27928346902409</v>
      </c>
      <c r="O168" s="65">
        <f t="shared" si="131"/>
        <v>12.122832676025958</v>
      </c>
      <c r="P168" s="65">
        <f t="shared" si="131"/>
        <v>11.925809345861026</v>
      </c>
      <c r="Q168" s="65">
        <f t="shared" si="131"/>
        <v>11.689387005218682</v>
      </c>
      <c r="R168" s="65">
        <f t="shared" si="131"/>
        <v>11.422046851200058</v>
      </c>
      <c r="S168" s="65">
        <f t="shared" si="131"/>
        <v>11.139816947471646</v>
      </c>
      <c r="T168" s="65">
        <f t="shared" si="131"/>
        <v>10.863140800352383</v>
      </c>
      <c r="U168" s="65">
        <f t="shared" si="131"/>
        <v>10.611276808651168</v>
      </c>
      <c r="V168" s="65">
        <f t="shared" si="131"/>
        <v>10.397228281827271</v>
      </c>
      <c r="W168" s="65">
        <f t="shared" si="131"/>
        <v>10.225813745760583</v>
      </c>
      <c r="X168" s="65">
        <f t="shared" si="131"/>
        <v>10.095016846821677</v>
      </c>
      <c r="Y168" s="65">
        <f t="shared" si="131"/>
        <v>9.9988706361751216</v>
      </c>
      <c r="Z168" s="65">
        <f t="shared" si="131"/>
        <v>9.930127486477792</v>
      </c>
      <c r="AA168" s="65">
        <f t="shared" si="131"/>
        <v>9.8819486905042879</v>
      </c>
      <c r="AB168" s="65">
        <f t="shared" si="131"/>
        <v>9.8486541811863653</v>
      </c>
      <c r="AC168" s="65">
        <f t="shared" si="131"/>
        <v>9.8258690893310732</v>
      </c>
    </row>
    <row r="169" spans="1:29" x14ac:dyDescent="0.25">
      <c r="A169" s="30" t="str">
        <f t="shared" si="130"/>
        <v>Residual value (vehicle)</v>
      </c>
      <c r="B169" s="66">
        <f>((1+B141)^B148)*B141/(((1+B141)^B148)-1)*(B138)/B153</f>
        <v>-0.63634373579283099</v>
      </c>
      <c r="C169" s="66">
        <f t="shared" ref="C169:AC169" si="132">((1+C141)^C148)*C141/(((1+C141)^C148)-1)*(C138)/C153</f>
        <v>-0.63666891770775647</v>
      </c>
      <c r="D169" s="66">
        <f t="shared" si="132"/>
        <v>-0.63713440837612878</v>
      </c>
      <c r="E169" s="66">
        <f t="shared" si="132"/>
        <v>-0.63780032551200283</v>
      </c>
      <c r="F169" s="66">
        <f t="shared" si="132"/>
        <v>-0.63875206804107831</v>
      </c>
      <c r="G169" s="66">
        <f t="shared" si="132"/>
        <v>-0.64011041031015858</v>
      </c>
      <c r="H169" s="66">
        <f t="shared" si="132"/>
        <v>-0.64204502293916443</v>
      </c>
      <c r="I169" s="66">
        <f t="shared" si="132"/>
        <v>-0.64479189554217275</v>
      </c>
      <c r="J169" s="66">
        <f t="shared" si="132"/>
        <v>-0.64867433600892122</v>
      </c>
      <c r="K169" s="66">
        <f t="shared" si="132"/>
        <v>-0.65412521237920762</v>
      </c>
      <c r="L169" s="66">
        <f t="shared" si="132"/>
        <v>-0.66170390926330158</v>
      </c>
      <c r="M169" s="66">
        <f t="shared" si="132"/>
        <v>-0.67209401917178002</v>
      </c>
      <c r="N169" s="66">
        <f t="shared" si="132"/>
        <v>-0.68605721352960891</v>
      </c>
      <c r="O169" s="66">
        <f t="shared" si="132"/>
        <v>-0.70430980604605786</v>
      </c>
      <c r="P169" s="66">
        <f t="shared" si="132"/>
        <v>-0.72729586123196666</v>
      </c>
      <c r="Q169" s="66">
        <f t="shared" si="132"/>
        <v>-0.75487846764023969</v>
      </c>
      <c r="R169" s="66">
        <f t="shared" si="132"/>
        <v>-0.786068152275746</v>
      </c>
      <c r="S169" s="66">
        <f t="shared" si="132"/>
        <v>-0.8189949743773941</v>
      </c>
      <c r="T169" s="66">
        <f t="shared" si="132"/>
        <v>-0.85127385820797485</v>
      </c>
      <c r="U169" s="66">
        <f t="shared" si="132"/>
        <v>-0.88065799057311644</v>
      </c>
      <c r="V169" s="66">
        <f t="shared" si="132"/>
        <v>-0.90563031870257138</v>
      </c>
      <c r="W169" s="66">
        <f t="shared" si="132"/>
        <v>-0.9256286812436848</v>
      </c>
      <c r="X169" s="66">
        <f t="shared" si="132"/>
        <v>-0.94088831945322393</v>
      </c>
      <c r="Y169" s="66">
        <f t="shared" si="132"/>
        <v>-0.95210537736198875</v>
      </c>
      <c r="Z169" s="66">
        <f t="shared" si="132"/>
        <v>-0.96012541149334374</v>
      </c>
      <c r="AA169" s="66">
        <f t="shared" si="132"/>
        <v>-0.96574627102358568</v>
      </c>
      <c r="AB169" s="66">
        <f t="shared" si="132"/>
        <v>-0.96963063044401021</v>
      </c>
      <c r="AC169" s="66">
        <f t="shared" si="132"/>
        <v>-0.97228889116046091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4.0686274509803919</v>
      </c>
      <c r="C173" s="66">
        <f t="shared" ref="C173:AC173" si="136">C143/C153</f>
        <v>4.0686274509803919</v>
      </c>
      <c r="D173" s="66">
        <f t="shared" si="136"/>
        <v>4.0686274509803919</v>
      </c>
      <c r="E173" s="66">
        <f t="shared" si="136"/>
        <v>4.0686274509803919</v>
      </c>
      <c r="F173" s="66">
        <f t="shared" si="136"/>
        <v>4.0686274509803919</v>
      </c>
      <c r="G173" s="66">
        <f t="shared" si="136"/>
        <v>4.0686274509803919</v>
      </c>
      <c r="H173" s="66">
        <f t="shared" si="136"/>
        <v>4.0686274509803919</v>
      </c>
      <c r="I173" s="66">
        <f t="shared" si="136"/>
        <v>4.0686274509803919</v>
      </c>
      <c r="J173" s="66">
        <f t="shared" si="136"/>
        <v>4.0686274509803919</v>
      </c>
      <c r="K173" s="66">
        <f t="shared" si="136"/>
        <v>4.0686274509803919</v>
      </c>
      <c r="L173" s="66">
        <f t="shared" si="136"/>
        <v>4.0686274509803919</v>
      </c>
      <c r="M173" s="66">
        <f t="shared" si="136"/>
        <v>4.0686274509803919</v>
      </c>
      <c r="N173" s="66">
        <f t="shared" si="136"/>
        <v>4.0686274509803919</v>
      </c>
      <c r="O173" s="66">
        <f t="shared" si="136"/>
        <v>4.0686274509803919</v>
      </c>
      <c r="P173" s="66">
        <f t="shared" si="136"/>
        <v>4.0686274509803919</v>
      </c>
      <c r="Q173" s="66">
        <f t="shared" si="136"/>
        <v>4.0686274509803919</v>
      </c>
      <c r="R173" s="66">
        <f t="shared" si="136"/>
        <v>4.0686274509803919</v>
      </c>
      <c r="S173" s="66">
        <f t="shared" si="136"/>
        <v>4.0686274509803919</v>
      </c>
      <c r="T173" s="66">
        <f t="shared" si="136"/>
        <v>4.0686274509803919</v>
      </c>
      <c r="U173" s="66">
        <f t="shared" si="136"/>
        <v>4.0686274509803919</v>
      </c>
      <c r="V173" s="66">
        <f t="shared" si="136"/>
        <v>4.0686274509803919</v>
      </c>
      <c r="W173" s="66">
        <f t="shared" si="136"/>
        <v>4.0686274509803919</v>
      </c>
      <c r="X173" s="66">
        <f t="shared" si="136"/>
        <v>4.0686274509803919</v>
      </c>
      <c r="Y173" s="66">
        <f t="shared" si="136"/>
        <v>4.0686274509803919</v>
      </c>
      <c r="Z173" s="66">
        <f t="shared" si="136"/>
        <v>4.0686274509803919</v>
      </c>
      <c r="AA173" s="66">
        <f t="shared" si="136"/>
        <v>4.0686274509803919</v>
      </c>
      <c r="AB173" s="66">
        <f t="shared" si="136"/>
        <v>4.0686274509803919</v>
      </c>
      <c r="AC173" s="66">
        <f t="shared" si="136"/>
        <v>4.0686274509803919</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235.58316528791201</v>
      </c>
      <c r="C175" s="66">
        <f t="shared" ref="C175:AC175" si="138">C145*C146*C153/C153</f>
        <v>226.100412772222</v>
      </c>
      <c r="D175" s="66">
        <f t="shared" si="138"/>
        <v>216.61251420767044</v>
      </c>
      <c r="E175" s="66">
        <f t="shared" si="138"/>
        <v>208.05764453381983</v>
      </c>
      <c r="F175" s="66">
        <f t="shared" si="138"/>
        <v>199.49307469696342</v>
      </c>
      <c r="G175" s="66">
        <f t="shared" si="138"/>
        <v>190.91545804030125</v>
      </c>
      <c r="H175" s="66">
        <f t="shared" si="138"/>
        <v>182.32042758162572</v>
      </c>
      <c r="I175" s="66">
        <f t="shared" si="138"/>
        <v>173.70239494431652</v>
      </c>
      <c r="J175" s="66">
        <f t="shared" si="138"/>
        <v>169.50716301514313</v>
      </c>
      <c r="K175" s="66">
        <f t="shared" si="138"/>
        <v>165.26339248373836</v>
      </c>
      <c r="L175" s="66">
        <f t="shared" si="138"/>
        <v>160.95592401746183</v>
      </c>
      <c r="M175" s="66">
        <f t="shared" si="138"/>
        <v>156.56736801672733</v>
      </c>
      <c r="N175" s="66">
        <f t="shared" si="138"/>
        <v>152.08014537381945</v>
      </c>
      <c r="O175" s="66">
        <f t="shared" si="138"/>
        <v>146.56596770236828</v>
      </c>
      <c r="P175" s="66">
        <f t="shared" si="138"/>
        <v>140.94604516386198</v>
      </c>
      <c r="Q175" s="66">
        <f t="shared" si="138"/>
        <v>135.23945465822663</v>
      </c>
      <c r="R175" s="66">
        <f t="shared" si="138"/>
        <v>129.48889849608761</v>
      </c>
      <c r="S175" s="66">
        <f t="shared" si="138"/>
        <v>123.75695087279445</v>
      </c>
      <c r="T175" s="66">
        <f t="shared" si="138"/>
        <v>119.57561376789013</v>
      </c>
      <c r="U175" s="66">
        <f t="shared" si="138"/>
        <v>115.51652342142486</v>
      </c>
      <c r="V175" s="66">
        <f t="shared" si="138"/>
        <v>111.61143142964488</v>
      </c>
      <c r="W175" s="66">
        <f t="shared" si="138"/>
        <v>107.86433996422244</v>
      </c>
      <c r="X175" s="66">
        <f t="shared" si="138"/>
        <v>104.25873214062774</v>
      </c>
      <c r="Y175" s="66">
        <f t="shared" si="138"/>
        <v>101.70611843832445</v>
      </c>
      <c r="Z175" s="66">
        <f t="shared" si="138"/>
        <v>99.237503518606346</v>
      </c>
      <c r="AA175" s="66">
        <f t="shared" si="138"/>
        <v>96.830262090682254</v>
      </c>
      <c r="AB175" s="66">
        <f t="shared" si="138"/>
        <v>94.466347005589839</v>
      </c>
      <c r="AC175" s="66">
        <f t="shared" si="138"/>
        <v>92.132297615104648</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267.06355576105472</v>
      </c>
      <c r="C177" s="76">
        <f t="shared" ref="C177:AC177" si="141">C168+C169+C170-C171+C172+C173+C174+C175+C176</f>
        <v>257.57769078989332</v>
      </c>
      <c r="D177" s="76">
        <f t="shared" si="141"/>
        <v>248.08533681465875</v>
      </c>
      <c r="E177" s="76">
        <f t="shared" si="141"/>
        <v>239.52409336250761</v>
      </c>
      <c r="F177" s="76">
        <f t="shared" si="141"/>
        <v>230.95041399001579</v>
      </c>
      <c r="G177" s="76">
        <f t="shared" si="141"/>
        <v>222.35979605734957</v>
      </c>
      <c r="H177" s="76">
        <f t="shared" si="141"/>
        <v>213.74624859208211</v>
      </c>
      <c r="I177" s="76">
        <f t="shared" si="141"/>
        <v>205.10192445985842</v>
      </c>
      <c r="J177" s="76">
        <f t="shared" si="141"/>
        <v>200.86953202907472</v>
      </c>
      <c r="K177" s="76">
        <f t="shared" si="141"/>
        <v>196.57358882384005</v>
      </c>
      <c r="L177" s="76">
        <f t="shared" si="141"/>
        <v>192.1935814016729</v>
      </c>
      <c r="M177" s="76">
        <f t="shared" si="141"/>
        <v>187.70557720610012</v>
      </c>
      <c r="N177" s="76">
        <f t="shared" si="141"/>
        <v>183.0847068457673</v>
      </c>
      <c r="O177" s="76">
        <f t="shared" si="141"/>
        <v>177.39582578880155</v>
      </c>
      <c r="P177" s="76">
        <f t="shared" si="141"/>
        <v>171.55589386494441</v>
      </c>
      <c r="Q177" s="76">
        <f t="shared" si="141"/>
        <v>165.58529841225845</v>
      </c>
      <c r="R177" s="76">
        <f t="shared" si="141"/>
        <v>159.5362124114653</v>
      </c>
      <c r="S177" s="76">
        <f t="shared" si="141"/>
        <v>153.48910806234207</v>
      </c>
      <c r="T177" s="76">
        <f t="shared" si="141"/>
        <v>148.99881592648791</v>
      </c>
      <c r="U177" s="76">
        <f t="shared" si="141"/>
        <v>144.6584774559563</v>
      </c>
      <c r="V177" s="76">
        <f t="shared" si="141"/>
        <v>140.51436460922295</v>
      </c>
      <c r="W177" s="76">
        <f t="shared" si="141"/>
        <v>136.5758602451927</v>
      </c>
      <c r="X177" s="76">
        <f t="shared" si="141"/>
        <v>132.82419588444958</v>
      </c>
      <c r="Y177" s="76">
        <f t="shared" si="141"/>
        <v>130.16421891359096</v>
      </c>
      <c r="Z177" s="76">
        <f t="shared" si="141"/>
        <v>127.61884081004416</v>
      </c>
      <c r="AA177" s="76">
        <f t="shared" si="141"/>
        <v>125.15779972661633</v>
      </c>
      <c r="AB177" s="76">
        <f t="shared" si="141"/>
        <v>122.75670577278557</v>
      </c>
      <c r="AC177" s="76">
        <f t="shared" si="141"/>
        <v>120.39721302972863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1.3444866658711308E-3</v>
      </c>
      <c r="C180" s="65">
        <f t="shared" ref="C180:AC180" si="143">((1+C141)^C148)*C141/(((1+C141)^C148)-1)*(C137)/C153/(C150)</f>
        <v>1.344191716288432E-3</v>
      </c>
      <c r="D180" s="65">
        <f t="shared" si="143"/>
        <v>1.3437695025302714E-3</v>
      </c>
      <c r="E180" s="65">
        <f t="shared" si="143"/>
        <v>1.343165496057823E-3</v>
      </c>
      <c r="F180" s="65">
        <f t="shared" si="143"/>
        <v>1.3423022375280494E-3</v>
      </c>
      <c r="G180" s="65">
        <f t="shared" si="143"/>
        <v>1.3410701810481582E-3</v>
      </c>
      <c r="H180" s="65">
        <f t="shared" si="143"/>
        <v>1.3393154303642525E-3</v>
      </c>
      <c r="I180" s="65">
        <f t="shared" si="143"/>
        <v>1.3368239359397552E-3</v>
      </c>
      <c r="J180" s="65">
        <f t="shared" si="143"/>
        <v>1.3333024479880559E-3</v>
      </c>
      <c r="K180" s="65">
        <f t="shared" si="143"/>
        <v>1.3283583424367757E-3</v>
      </c>
      <c r="L180" s="65">
        <f t="shared" si="143"/>
        <v>1.3214842409546043E-3</v>
      </c>
      <c r="M180" s="65">
        <f t="shared" si="143"/>
        <v>1.3120601049831952E-3</v>
      </c>
      <c r="N180" s="65">
        <f t="shared" si="143"/>
        <v>1.2993950760872054E-3</v>
      </c>
      <c r="O180" s="65">
        <f t="shared" si="143"/>
        <v>1.2828394366165034E-3</v>
      </c>
      <c r="P180" s="65">
        <f t="shared" si="143"/>
        <v>1.2619904069694208E-3</v>
      </c>
      <c r="Q180" s="65">
        <f t="shared" si="143"/>
        <v>1.2369721698644108E-3</v>
      </c>
      <c r="R180" s="65">
        <f t="shared" si="143"/>
        <v>1.2086822064761966E-3</v>
      </c>
      <c r="S180" s="65">
        <f t="shared" si="143"/>
        <v>1.1788166081980577E-3</v>
      </c>
      <c r="T180" s="65">
        <f t="shared" si="143"/>
        <v>1.1495387090319981E-3</v>
      </c>
      <c r="U180" s="65">
        <f t="shared" si="143"/>
        <v>1.1228864347779014E-3</v>
      </c>
      <c r="V180" s="65">
        <f t="shared" si="143"/>
        <v>1.1002357970187589E-3</v>
      </c>
      <c r="W180" s="65">
        <f t="shared" si="143"/>
        <v>1.0820966926730776E-3</v>
      </c>
      <c r="X180" s="65">
        <f t="shared" si="143"/>
        <v>1.0682557509864208E-3</v>
      </c>
      <c r="Y180" s="65">
        <f t="shared" si="143"/>
        <v>1.0580815488016001E-3</v>
      </c>
      <c r="Z180" s="65">
        <f t="shared" si="143"/>
        <v>1.0508071414262214E-3</v>
      </c>
      <c r="AA180" s="65">
        <f t="shared" si="143"/>
        <v>1.0457088561380199E-3</v>
      </c>
      <c r="AB180" s="65">
        <f t="shared" si="143"/>
        <v>1.0421856276387688E-3</v>
      </c>
      <c r="AC180" s="65">
        <f t="shared" si="143"/>
        <v>1.0397745068075209E-3</v>
      </c>
    </row>
    <row r="181" spans="1:29" x14ac:dyDescent="0.25">
      <c r="A181" s="30" t="str">
        <f t="shared" si="142"/>
        <v>Residual value (vehicle)</v>
      </c>
      <c r="B181" s="68">
        <f>((1+B141)^B148)*B141/(((1+B141)^B148)-1)*(B138)/B153/(B150)</f>
        <v>-6.7337961459558828E-5</v>
      </c>
      <c r="C181" s="68">
        <f t="shared" ref="C181:AC181" si="144">((1+C141)^C148)*C141/(((1+C141)^C148)-1)*(C138)/C153/(C150)</f>
        <v>-6.7372372244207035E-5</v>
      </c>
      <c r="D181" s="68">
        <f t="shared" si="144"/>
        <v>-6.7421630515992462E-5</v>
      </c>
      <c r="E181" s="68">
        <f t="shared" si="144"/>
        <v>-6.7492097937778083E-5</v>
      </c>
      <c r="F181" s="68">
        <f t="shared" si="144"/>
        <v>-6.7592811432918334E-5</v>
      </c>
      <c r="G181" s="68">
        <f t="shared" si="144"/>
        <v>-6.773655135557234E-5</v>
      </c>
      <c r="H181" s="68">
        <f t="shared" si="144"/>
        <v>-6.7941272268694643E-5</v>
      </c>
      <c r="I181" s="68">
        <f t="shared" si="144"/>
        <v>-6.8231946618219335E-5</v>
      </c>
      <c r="J181" s="68">
        <f t="shared" si="144"/>
        <v>-6.8642786879250924E-5</v>
      </c>
      <c r="K181" s="68">
        <f t="shared" si="144"/>
        <v>-6.9219599193566945E-5</v>
      </c>
      <c r="L181" s="68">
        <f t="shared" si="144"/>
        <v>-7.0021577699820272E-5</v>
      </c>
      <c r="M181" s="68">
        <f t="shared" si="144"/>
        <v>-7.1121060229817985E-5</v>
      </c>
      <c r="N181" s="68">
        <f t="shared" si="144"/>
        <v>-7.2598646934350151E-5</v>
      </c>
      <c r="O181" s="68">
        <f t="shared" si="144"/>
        <v>-7.4530138205932043E-5</v>
      </c>
      <c r="P181" s="68">
        <f t="shared" si="144"/>
        <v>-7.6962524998091712E-5</v>
      </c>
      <c r="Q181" s="68">
        <f t="shared" si="144"/>
        <v>-7.9881319327009486E-5</v>
      </c>
      <c r="R181" s="68">
        <f t="shared" si="144"/>
        <v>-8.3181815055634491E-5</v>
      </c>
      <c r="S181" s="68">
        <f t="shared" si="144"/>
        <v>-8.6666134854750698E-5</v>
      </c>
      <c r="T181" s="68">
        <f t="shared" si="144"/>
        <v>-9.008188975745766E-5</v>
      </c>
      <c r="U181" s="68">
        <f t="shared" si="144"/>
        <v>-9.3191321753768942E-5</v>
      </c>
      <c r="V181" s="68">
        <f t="shared" si="144"/>
        <v>-9.583389615900226E-5</v>
      </c>
      <c r="W181" s="68">
        <f t="shared" si="144"/>
        <v>-9.7950124999331722E-5</v>
      </c>
      <c r="X181" s="68">
        <f t="shared" si="144"/>
        <v>-9.9564901529441686E-5</v>
      </c>
      <c r="Y181" s="68">
        <f t="shared" si="144"/>
        <v>-1.0075189178433743E-4</v>
      </c>
      <c r="Z181" s="68">
        <f t="shared" si="144"/>
        <v>-1.0160057264479828E-4</v>
      </c>
      <c r="AA181" s="68">
        <f t="shared" si="144"/>
        <v>-1.0219537259508843E-4</v>
      </c>
      <c r="AB181" s="68">
        <f t="shared" si="144"/>
        <v>-1.0260641592000108E-4</v>
      </c>
      <c r="AC181" s="68">
        <f t="shared" si="144"/>
        <v>-1.0288771335031333E-4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4.305425874053325E-4</v>
      </c>
      <c r="C185" s="66">
        <f t="shared" ref="C185:AC185" si="148">C143/C153/(C150)</f>
        <v>4.305425874053325E-4</v>
      </c>
      <c r="D185" s="66">
        <f t="shared" si="148"/>
        <v>4.305425874053325E-4</v>
      </c>
      <c r="E185" s="66">
        <f t="shared" si="148"/>
        <v>4.305425874053325E-4</v>
      </c>
      <c r="F185" s="66">
        <f t="shared" si="148"/>
        <v>4.305425874053325E-4</v>
      </c>
      <c r="G185" s="66">
        <f t="shared" si="148"/>
        <v>4.305425874053325E-4</v>
      </c>
      <c r="H185" s="66">
        <f t="shared" si="148"/>
        <v>4.305425874053325E-4</v>
      </c>
      <c r="I185" s="66">
        <f t="shared" si="148"/>
        <v>4.305425874053325E-4</v>
      </c>
      <c r="J185" s="66">
        <f t="shared" si="148"/>
        <v>4.305425874053325E-4</v>
      </c>
      <c r="K185" s="66">
        <f t="shared" si="148"/>
        <v>4.305425874053325E-4</v>
      </c>
      <c r="L185" s="66">
        <f t="shared" si="148"/>
        <v>4.305425874053325E-4</v>
      </c>
      <c r="M185" s="66">
        <f t="shared" si="148"/>
        <v>4.305425874053325E-4</v>
      </c>
      <c r="N185" s="66">
        <f t="shared" si="148"/>
        <v>4.305425874053325E-4</v>
      </c>
      <c r="O185" s="66">
        <f t="shared" si="148"/>
        <v>4.305425874053325E-4</v>
      </c>
      <c r="P185" s="66">
        <f t="shared" si="148"/>
        <v>4.305425874053325E-4</v>
      </c>
      <c r="Q185" s="66">
        <f t="shared" si="148"/>
        <v>4.305425874053325E-4</v>
      </c>
      <c r="R185" s="66">
        <f t="shared" si="148"/>
        <v>4.305425874053325E-4</v>
      </c>
      <c r="S185" s="66">
        <f t="shared" si="148"/>
        <v>4.305425874053325E-4</v>
      </c>
      <c r="T185" s="66">
        <f t="shared" si="148"/>
        <v>4.305425874053325E-4</v>
      </c>
      <c r="U185" s="66">
        <f t="shared" si="148"/>
        <v>4.305425874053325E-4</v>
      </c>
      <c r="V185" s="66">
        <f t="shared" si="148"/>
        <v>4.305425874053325E-4</v>
      </c>
      <c r="W185" s="66">
        <f t="shared" si="148"/>
        <v>4.305425874053325E-4</v>
      </c>
      <c r="X185" s="66">
        <f t="shared" si="148"/>
        <v>4.305425874053325E-4</v>
      </c>
      <c r="Y185" s="66">
        <f t="shared" si="148"/>
        <v>4.305425874053325E-4</v>
      </c>
      <c r="Z185" s="66">
        <f t="shared" si="148"/>
        <v>4.305425874053325E-4</v>
      </c>
      <c r="AA185" s="66">
        <f t="shared" si="148"/>
        <v>4.305425874053325E-4</v>
      </c>
      <c r="AB185" s="66">
        <f t="shared" si="148"/>
        <v>4.305425874053325E-4</v>
      </c>
      <c r="AC185" s="66">
        <f t="shared" si="148"/>
        <v>4.305425874053325E-4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2.4929435480202329E-2</v>
      </c>
      <c r="C187" s="66">
        <f t="shared" ref="C187:AC187" si="150">C145*C146*C153/C153/(C150)</f>
        <v>2.3925969605526138E-2</v>
      </c>
      <c r="D187" s="66">
        <f t="shared" si="150"/>
        <v>2.2921959175414862E-2</v>
      </c>
      <c r="E187" s="66">
        <f t="shared" si="150"/>
        <v>2.2016681961250777E-2</v>
      </c>
      <c r="F187" s="66">
        <f t="shared" si="150"/>
        <v>2.1110378274810944E-2</v>
      </c>
      <c r="G187" s="66">
        <f t="shared" si="150"/>
        <v>2.020269397251865E-2</v>
      </c>
      <c r="H187" s="66">
        <f t="shared" si="150"/>
        <v>1.9293166939854573E-2</v>
      </c>
      <c r="I187" s="66">
        <f t="shared" si="150"/>
        <v>1.8381205814213389E-2</v>
      </c>
      <c r="J187" s="66">
        <f t="shared" si="150"/>
        <v>1.7937265927528374E-2</v>
      </c>
      <c r="K187" s="66">
        <f t="shared" si="150"/>
        <v>1.7488189680818875E-2</v>
      </c>
      <c r="L187" s="66">
        <f t="shared" si="150"/>
        <v>1.7032372911900722E-2</v>
      </c>
      <c r="M187" s="66">
        <f t="shared" si="150"/>
        <v>1.6567975451505536E-2</v>
      </c>
      <c r="N187" s="66">
        <f t="shared" si="150"/>
        <v>1.6093137076594651E-2</v>
      </c>
      <c r="O187" s="66">
        <f t="shared" si="150"/>
        <v>1.5509626211890823E-2</v>
      </c>
      <c r="P187" s="66">
        <f t="shared" si="150"/>
        <v>1.491492541416529E-2</v>
      </c>
      <c r="Q187" s="66">
        <f t="shared" si="150"/>
        <v>1.4311053402986945E-2</v>
      </c>
      <c r="R187" s="66">
        <f t="shared" si="150"/>
        <v>1.3702528941384932E-2</v>
      </c>
      <c r="S187" s="66">
        <f t="shared" si="150"/>
        <v>1.3095973637332746E-2</v>
      </c>
      <c r="T187" s="66">
        <f t="shared" si="150"/>
        <v>1.2653504102422237E-2</v>
      </c>
      <c r="U187" s="66">
        <f t="shared" si="150"/>
        <v>1.2223970732425912E-2</v>
      </c>
      <c r="V187" s="66">
        <f t="shared" si="150"/>
        <v>1.1810733484618505E-2</v>
      </c>
      <c r="W187" s="66">
        <f t="shared" si="150"/>
        <v>1.1414215869229888E-2</v>
      </c>
      <c r="X187" s="66">
        <f t="shared" si="150"/>
        <v>1.1032670067791295E-2</v>
      </c>
      <c r="Y187" s="66">
        <f t="shared" si="150"/>
        <v>1.0762552215695709E-2</v>
      </c>
      <c r="Z187" s="66">
        <f t="shared" si="150"/>
        <v>1.0501323123662048E-2</v>
      </c>
      <c r="AA187" s="66">
        <f t="shared" si="150"/>
        <v>1.0246588581024577E-2</v>
      </c>
      <c r="AB187" s="66">
        <f t="shared" si="150"/>
        <v>9.9964388365703528E-3</v>
      </c>
      <c r="AC187" s="66">
        <f t="shared" si="150"/>
        <v>9.7494494830798577E-3</v>
      </c>
    </row>
    <row r="188" spans="1:29" x14ac:dyDescent="0.25">
      <c r="A188" s="59" t="str">
        <f>A151</f>
        <v>Market failure (av. utilization)</v>
      </c>
      <c r="B188" s="66">
        <f t="shared" ref="B188:AC188" si="151">B177/B151-B177/B150</f>
        <v>2.1031213939593334E-2</v>
      </c>
      <c r="C188" s="66">
        <f t="shared" si="151"/>
        <v>2.0284203532119079E-2</v>
      </c>
      <c r="D188" s="66">
        <f t="shared" si="151"/>
        <v>1.953668211657212E-2</v>
      </c>
      <c r="E188" s="66">
        <f t="shared" si="151"/>
        <v>1.8862485511505461E-2</v>
      </c>
      <c r="F188" s="66">
        <f t="shared" si="151"/>
        <v>1.8187309579624722E-2</v>
      </c>
      <c r="G188" s="66">
        <f t="shared" si="151"/>
        <v>1.7510799738735535E-2</v>
      </c>
      <c r="H188" s="66">
        <f t="shared" si="151"/>
        <v>1.6832484200680762E-2</v>
      </c>
      <c r="I188" s="66">
        <f t="shared" si="151"/>
        <v>1.615174500483689E-2</v>
      </c>
      <c r="J188" s="66">
        <f t="shared" si="151"/>
        <v>1.5818444751889729E-2</v>
      </c>
      <c r="K188" s="66">
        <f t="shared" si="151"/>
        <v>1.5480139885229189E-2</v>
      </c>
      <c r="L188" s="66">
        <f t="shared" si="151"/>
        <v>1.5135214974414994E-2</v>
      </c>
      <c r="M188" s="66">
        <f t="shared" si="151"/>
        <v>1.4781785334305905E-2</v>
      </c>
      <c r="N188" s="66">
        <f t="shared" si="151"/>
        <v>1.4417892504157873E-2</v>
      </c>
      <c r="O188" s="66">
        <f t="shared" si="151"/>
        <v>1.396989399591891E-2</v>
      </c>
      <c r="P188" s="66">
        <f t="shared" si="151"/>
        <v>1.3510000255145121E-2</v>
      </c>
      <c r="Q188" s="66">
        <f t="shared" si="151"/>
        <v>1.3039816781573201E-2</v>
      </c>
      <c r="R188" s="66">
        <f t="shared" si="151"/>
        <v>1.2563452189410334E-2</v>
      </c>
      <c r="S188" s="66">
        <f t="shared" si="151"/>
        <v>1.2087243652011678E-2</v>
      </c>
      <c r="T188" s="66">
        <f t="shared" si="151"/>
        <v>1.1733633836957334E-2</v>
      </c>
      <c r="U188" s="66">
        <f t="shared" si="151"/>
        <v>1.1391832849983023E-2</v>
      </c>
      <c r="V188" s="66">
        <f t="shared" si="151"/>
        <v>1.1065484600701695E-2</v>
      </c>
      <c r="W188" s="66">
        <f t="shared" si="151"/>
        <v>1.0755327987808948E-2</v>
      </c>
      <c r="X188" s="66">
        <f t="shared" si="151"/>
        <v>1.045988499643752E-2</v>
      </c>
      <c r="Y188" s="66">
        <f t="shared" si="151"/>
        <v>1.0250412219108921E-2</v>
      </c>
      <c r="Z188" s="66">
        <f t="shared" si="151"/>
        <v>1.0049964084954875E-2</v>
      </c>
      <c r="AA188" s="66">
        <f t="shared" si="151"/>
        <v>9.856157478163461E-3</v>
      </c>
      <c r="AB188" s="66">
        <f t="shared" si="151"/>
        <v>9.6670716986074507E-3</v>
      </c>
      <c r="AC188" s="66">
        <f t="shared" si="151"/>
        <v>9.4812620080012688E-3</v>
      </c>
    </row>
    <row r="189" spans="1:29" x14ac:dyDescent="0.25">
      <c r="A189" s="59" t="str">
        <f>A152</f>
        <v>Payload loss (fuel)</v>
      </c>
      <c r="B189" s="66">
        <f>B177/(B150-B152)-B177/B150</f>
        <v>1.1775289054720209E-3</v>
      </c>
      <c r="C189" s="66">
        <f t="shared" ref="C189:AC189" si="152">C177/(C150-C152)-C177/C150</f>
        <v>1.1357041040118768E-3</v>
      </c>
      <c r="D189" s="66">
        <f t="shared" si="152"/>
        <v>1.0938506914226556E-3</v>
      </c>
      <c r="E189" s="66">
        <f t="shared" si="152"/>
        <v>1.0561027044202267E-3</v>
      </c>
      <c r="F189" s="66">
        <f t="shared" si="152"/>
        <v>1.0182998853175314E-3</v>
      </c>
      <c r="G189" s="66">
        <f t="shared" si="152"/>
        <v>9.8042238120524261E-4</v>
      </c>
      <c r="H189" s="66">
        <f t="shared" si="152"/>
        <v>9.4244377686103151E-4</v>
      </c>
      <c r="I189" s="66">
        <f t="shared" si="152"/>
        <v>9.0432947292706789E-4</v>
      </c>
      <c r="J189" s="66">
        <f t="shared" si="152"/>
        <v>8.8566813063965799E-4</v>
      </c>
      <c r="K189" s="66">
        <f t="shared" si="152"/>
        <v>8.6672658211569761E-4</v>
      </c>
      <c r="L189" s="66">
        <f t="shared" si="152"/>
        <v>8.4741438007792172E-4</v>
      </c>
      <c r="M189" s="66">
        <f t="shared" si="152"/>
        <v>8.276260017905622E-4</v>
      </c>
      <c r="N189" s="66">
        <f t="shared" si="152"/>
        <v>8.0725179385258625E-4</v>
      </c>
      <c r="O189" s="66">
        <f t="shared" si="152"/>
        <v>7.8216854404233524E-4</v>
      </c>
      <c r="P189" s="66">
        <f t="shared" si="152"/>
        <v>7.564192851188048E-4</v>
      </c>
      <c r="Q189" s="66">
        <f t="shared" si="152"/>
        <v>7.3009390834329058E-4</v>
      </c>
      <c r="R189" s="66">
        <f t="shared" si="152"/>
        <v>7.0342245331333694E-4</v>
      </c>
      <c r="S189" s="66">
        <f t="shared" si="152"/>
        <v>6.7675973572461218E-4</v>
      </c>
      <c r="T189" s="66">
        <f t="shared" si="152"/>
        <v>6.5696126951714229E-4</v>
      </c>
      <c r="U189" s="66">
        <f t="shared" si="152"/>
        <v>6.3782397467352855E-4</v>
      </c>
      <c r="V189" s="66">
        <f t="shared" si="152"/>
        <v>6.1955187217470516E-4</v>
      </c>
      <c r="W189" s="66">
        <f t="shared" si="152"/>
        <v>6.0218633265076218E-4</v>
      </c>
      <c r="X189" s="66">
        <f t="shared" si="152"/>
        <v>5.8564460266512068E-4</v>
      </c>
      <c r="Y189" s="66">
        <f t="shared" si="152"/>
        <v>5.7391630914281622E-4</v>
      </c>
      <c r="Z189" s="66">
        <f t="shared" si="152"/>
        <v>5.6269330163158729E-4</v>
      </c>
      <c r="AA189" s="66">
        <f t="shared" si="152"/>
        <v>5.5184215047008982E-4</v>
      </c>
      <c r="AB189" s="66">
        <f t="shared" si="152"/>
        <v>5.4125531645849052E-4</v>
      </c>
      <c r="AC189" s="66">
        <f t="shared" si="152"/>
        <v>5.3085190930215326E-4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5.0400453579734043E-2</v>
      </c>
      <c r="C191" s="67">
        <f t="shared" ref="C191:AC191" si="154">C180+C181+C182+C183+C184+C185+C186+C187+C188+C189+C190</f>
        <v>4.8607823135756102E-2</v>
      </c>
      <c r="D191" s="67">
        <f t="shared" si="154"/>
        <v>4.6813966405478705E-2</v>
      </c>
      <c r="E191" s="67">
        <f t="shared" si="154"/>
        <v>4.5196070125351297E-2</v>
      </c>
      <c r="F191" s="67">
        <f t="shared" si="154"/>
        <v>4.3575823715903114E-2</v>
      </c>
      <c r="G191" s="67">
        <f t="shared" si="154"/>
        <v>4.1952376272206798E-2</v>
      </c>
      <c r="H191" s="67">
        <f t="shared" si="154"/>
        <v>4.0324595625546716E-2</v>
      </c>
      <c r="I191" s="67">
        <f t="shared" si="154"/>
        <v>3.8690998831353671E-2</v>
      </c>
      <c r="J191" s="67">
        <f t="shared" si="154"/>
        <v>3.7891165021221355E-2</v>
      </c>
      <c r="K191" s="67">
        <f t="shared" si="154"/>
        <v>3.7079321441461754E-2</v>
      </c>
      <c r="L191" s="67">
        <f t="shared" si="154"/>
        <v>3.6251591479703207E-2</v>
      </c>
      <c r="M191" s="67">
        <f t="shared" si="154"/>
        <v>3.5403452382410175E-2</v>
      </c>
      <c r="N191" s="67">
        <f t="shared" si="154"/>
        <v>3.4530204353812752E-2</v>
      </c>
      <c r="O191" s="67">
        <f t="shared" si="154"/>
        <v>3.3455124600317437E-2</v>
      </c>
      <c r="P191" s="67">
        <f t="shared" si="154"/>
        <v>3.2351499386455332E-2</v>
      </c>
      <c r="Q191" s="67">
        <f t="shared" si="154"/>
        <v>3.1223181493495625E-2</v>
      </c>
      <c r="R191" s="67">
        <f t="shared" si="154"/>
        <v>3.0080030525583952E-2</v>
      </c>
      <c r="S191" s="67">
        <f t="shared" si="154"/>
        <v>2.8937254048467132E-2</v>
      </c>
      <c r="T191" s="67">
        <f t="shared" si="154"/>
        <v>2.8088682578226044E-2</v>
      </c>
      <c r="U191" s="67">
        <f t="shared" si="154"/>
        <v>2.7268449220161386E-2</v>
      </c>
      <c r="V191" s="67">
        <f t="shared" si="154"/>
        <v>2.6485298408409449E-2</v>
      </c>
      <c r="W191" s="67">
        <f t="shared" si="154"/>
        <v>2.5741003307418134E-2</v>
      </c>
      <c r="X191" s="67">
        <f t="shared" si="154"/>
        <v>2.5032017066405704E-2</v>
      </c>
      <c r="Y191" s="67">
        <f t="shared" si="154"/>
        <v>2.4529336951019498E-2</v>
      </c>
      <c r="Z191" s="67">
        <f t="shared" si="154"/>
        <v>2.404831362908472E-2</v>
      </c>
      <c r="AA191" s="67">
        <f t="shared" si="154"/>
        <v>2.3583228243255851E-2</v>
      </c>
      <c r="AB191" s="67">
        <f t="shared" si="154"/>
        <v>2.3129471613409849E-2</v>
      </c>
      <c r="AC191" s="67">
        <f t="shared" si="154"/>
        <v>2.2683576743895276E-2</v>
      </c>
    </row>
    <row r="193" spans="2:2" x14ac:dyDescent="0.25">
      <c r="B193" s="40"/>
    </row>
    <row r="215" spans="1:44" s="3" customFormat="1" ht="21" x14ac:dyDescent="0.35">
      <c r="A215" s="2" t="str">
        <f>'Parameter Input'!A235</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Input'!$L$261</f>
        <v>19500000</v>
      </c>
      <c r="C225" s="42">
        <f>'Parameter Input'!$M$261</f>
        <v>15000000</v>
      </c>
      <c r="D225" s="1" t="s">
        <v>15</v>
      </c>
      <c r="L225" s="51">
        <f>'Parameter Input'!$O$261</f>
        <v>17</v>
      </c>
      <c r="M225" s="52">
        <v>0</v>
      </c>
      <c r="N225" s="52">
        <v>1</v>
      </c>
      <c r="O225" s="52">
        <f>'Parameter Input'!$P$261</f>
        <v>0.9</v>
      </c>
      <c r="P225" s="53">
        <f>'Parameter Input'!$Q$261</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Input'!$L$262</f>
        <v>-975000</v>
      </c>
      <c r="C226" s="61">
        <f>'Parameter Input'!$M$262</f>
        <v>-1500000</v>
      </c>
      <c r="D226" s="1" t="s">
        <v>15</v>
      </c>
      <c r="L226" s="54">
        <f>'Parameter Input'!$O$262</f>
        <v>17</v>
      </c>
      <c r="M226" s="37">
        <v>0</v>
      </c>
      <c r="N226" s="37">
        <v>1</v>
      </c>
      <c r="O226" s="37">
        <f>'Parameter Input'!$P$262</f>
        <v>0.9</v>
      </c>
      <c r="P226" s="55">
        <f>'Parameter Input'!$Q$262</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Input'!$L$268</f>
        <v>0.06</v>
      </c>
      <c r="C229" s="91">
        <f>'Parameter Input'!$M$268</f>
        <v>0.06</v>
      </c>
      <c r="D229" s="1" t="s">
        <v>57</v>
      </c>
      <c r="L229" s="54">
        <f>'Parameter Input'!$O$268</f>
        <v>17</v>
      </c>
      <c r="M229" s="37">
        <v>0</v>
      </c>
      <c r="N229" s="37">
        <v>1</v>
      </c>
      <c r="O229" s="37">
        <f>'Parameter Input'!$P$268</f>
        <v>0.9</v>
      </c>
      <c r="P229" s="55">
        <f>'Parameter Input'!$Q$268</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Input'!$L$264</f>
        <v>488235.29411764705</v>
      </c>
      <c r="C231" s="61">
        <f>'Parameter Input'!$M$264</f>
        <v>488235.29411764705</v>
      </c>
      <c r="D231" s="1" t="s">
        <v>38</v>
      </c>
      <c r="L231" s="54">
        <f>'Parameter Input'!$O$264</f>
        <v>17</v>
      </c>
      <c r="M231" s="37">
        <v>0</v>
      </c>
      <c r="N231" s="37">
        <v>1</v>
      </c>
      <c r="O231" s="37">
        <f>'Parameter Input'!$P$264</f>
        <v>0.9</v>
      </c>
      <c r="P231" s="55">
        <f>'Parameter Input'!$Q$264</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Input'!$L$265</f>
        <v>647</v>
      </c>
      <c r="C233" s="61">
        <f>'Parameter Input'!$M$265</f>
        <v>600</v>
      </c>
      <c r="D233" s="1" t="s">
        <v>60</v>
      </c>
      <c r="L233" s="54">
        <f>'Parameter Input'!$O$265</f>
        <v>17</v>
      </c>
      <c r="M233" s="37">
        <v>0</v>
      </c>
      <c r="N233" s="37">
        <v>1</v>
      </c>
      <c r="O233" s="37">
        <f>'Parameter Input'!$P$265</f>
        <v>0.9</v>
      </c>
      <c r="P233" s="55">
        <f>'Parameter Input'!$Q$265</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Input'!$L$266</f>
        <v>0.46076973995226939</v>
      </c>
      <c r="C234" s="61">
        <f>'Parameter Input'!$M$266</f>
        <v>0.14224714585492179</v>
      </c>
      <c r="D234" s="1" t="s">
        <v>68</v>
      </c>
      <c r="L234" s="54">
        <f>'Parameter Input'!$O$266</f>
        <v>17</v>
      </c>
      <c r="M234" s="37">
        <v>0</v>
      </c>
      <c r="N234" s="37">
        <v>1</v>
      </c>
      <c r="O234" s="37">
        <f>'Parameter Input'!$P$266</f>
        <v>0.9</v>
      </c>
      <c r="P234" s="55">
        <f>'Parameter Input'!$Q$266</f>
        <v>0.4</v>
      </c>
      <c r="Q234" s="4">
        <f t="shared" si="155"/>
        <v>0.99780374543478534</v>
      </c>
      <c r="R234" s="4">
        <f t="shared" si="155"/>
        <v>0.99685359315256394</v>
      </c>
      <c r="S234" s="4">
        <f t="shared" si="155"/>
        <v>0.99549347132349975</v>
      </c>
      <c r="T234" s="4">
        <f t="shared" ref="T234:AI241" si="156">$N234+($M234-$N234)*((1/(1+EXP(-$P234*(T$9-$L234)))^$O234))</f>
        <v>0.99354772139898062</v>
      </c>
      <c r="U234" s="4">
        <f t="shared" si="156"/>
        <v>0.99076681540580536</v>
      </c>
      <c r="V234" s="4">
        <f t="shared" si="156"/>
        <v>0.9867978615748374</v>
      </c>
      <c r="W234" s="4">
        <f t="shared" si="156"/>
        <v>0.98114509762858249</v>
      </c>
      <c r="X234" s="4">
        <f t="shared" si="156"/>
        <v>0.97311898315872036</v>
      </c>
      <c r="Y234" s="4">
        <f t="shared" si="156"/>
        <v>0.96177484161592774</v>
      </c>
      <c r="Z234" s="4">
        <f t="shared" si="156"/>
        <v>0.94584787155511363</v>
      </c>
      <c r="AA234" s="4">
        <f t="shared" si="156"/>
        <v>0.92370360150141495</v>
      </c>
      <c r="AB234" s="4">
        <f t="shared" si="156"/>
        <v>0.89334463567658451</v>
      </c>
      <c r="AC234" s="4">
        <f t="shared" si="156"/>
        <v>0.85254543874327005</v>
      </c>
      <c r="AD234" s="4">
        <f t="shared" si="156"/>
        <v>0.79921300652623883</v>
      </c>
      <c r="AE234" s="4">
        <f t="shared" si="156"/>
        <v>0.73204982249993378</v>
      </c>
      <c r="AF234" s="4">
        <f t="shared" si="156"/>
        <v>0.65145592958786691</v>
      </c>
      <c r="AG234" s="4">
        <f t="shared" si="156"/>
        <v>0.56032247880849573</v>
      </c>
      <c r="AH234" s="4">
        <f t="shared" si="156"/>
        <v>0.46411326873185343</v>
      </c>
      <c r="AI234" s="4">
        <f t="shared" si="156"/>
        <v>0.36979727595523937</v>
      </c>
      <c r="AJ234" s="4">
        <f t="shared" ref="AJ234:AR241" si="157">$N234+($M234-$N234)*((1/(1+EXP(-$P234*(AJ$9-$L234)))^$O234))</f>
        <v>0.28393948637231203</v>
      </c>
      <c r="AK234" s="4">
        <f t="shared" si="157"/>
        <v>0.21097259161117732</v>
      </c>
      <c r="AL234" s="4">
        <f t="shared" si="157"/>
        <v>0.15253917653798199</v>
      </c>
      <c r="AM234" s="4">
        <f t="shared" si="157"/>
        <v>0.10795188737709993</v>
      </c>
      <c r="AN234" s="4">
        <f t="shared" si="157"/>
        <v>7.5176653938091809E-2</v>
      </c>
      <c r="AO234" s="4">
        <f t="shared" si="157"/>
        <v>5.1742836177502194E-2</v>
      </c>
      <c r="AP234" s="4">
        <f t="shared" si="157"/>
        <v>3.5319190625345942E-2</v>
      </c>
      <c r="AQ234" s="4">
        <f t="shared" si="157"/>
        <v>2.3969442072658165E-2</v>
      </c>
      <c r="AR234" s="4">
        <f t="shared" si="157"/>
        <v>1.6202243558389728E-2</v>
      </c>
    </row>
    <row r="235" spans="1:44" x14ac:dyDescent="0.25">
      <c r="A235" s="24" t="s">
        <v>206</v>
      </c>
      <c r="B235" s="115">
        <f>'Parameter Input'!$L$269</f>
        <v>0</v>
      </c>
      <c r="C235" s="116">
        <f>'Parameter Input'!$M$269</f>
        <v>0</v>
      </c>
      <c r="D235" s="1" t="s">
        <v>76</v>
      </c>
      <c r="L235" s="54">
        <f>'Parameter Input'!$O$269</f>
        <v>17</v>
      </c>
      <c r="M235" s="37">
        <v>0</v>
      </c>
      <c r="N235" s="37">
        <v>1</v>
      </c>
      <c r="O235" s="37">
        <f>'Parameter Input'!$P$269</f>
        <v>0.9</v>
      </c>
      <c r="P235" s="55">
        <f>'Parameter Input'!$Q$269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Input'!$L$263</f>
        <v>25</v>
      </c>
      <c r="C236" s="61">
        <f>'Parameter Input'!$M$263</f>
        <v>25</v>
      </c>
      <c r="D236" s="1" t="s">
        <v>42</v>
      </c>
      <c r="L236" s="54">
        <f>'Parameter Input'!$O$263</f>
        <v>17</v>
      </c>
      <c r="M236" s="37">
        <v>0</v>
      </c>
      <c r="N236" s="37">
        <v>1</v>
      </c>
      <c r="O236" s="37">
        <f>'Parameter Input'!$P$263</f>
        <v>0.9</v>
      </c>
      <c r="P236" s="55">
        <f>'Parameter Input'!$Q$263</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Input'!$L$267</f>
        <v>0.04</v>
      </c>
      <c r="C240" s="46">
        <f>'Parameter Input'!$M$267</f>
        <v>0.04</v>
      </c>
      <c r="D240" s="1" t="s">
        <v>57</v>
      </c>
      <c r="L240" s="54">
        <f>'Parameter Input'!$O$267</f>
        <v>17</v>
      </c>
      <c r="M240" s="37">
        <v>0</v>
      </c>
      <c r="N240" s="37">
        <v>1</v>
      </c>
      <c r="O240" s="37">
        <f>'Parameter Input'!$P$267</f>
        <v>0.9</v>
      </c>
      <c r="P240" s="55">
        <f>'Parameter Input'!$Q$267</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19490116.854456533</v>
      </c>
      <c r="C245" s="62">
        <f t="shared" ref="C245:C253" si="162">$B225+($C225-$B225)*(1-R225)</f>
        <v>19485841.169186536</v>
      </c>
      <c r="D245" s="62">
        <f t="shared" ref="D245:D253" si="163">$B225+($C225-$B225)*(1-S225)</f>
        <v>19479720.62095575</v>
      </c>
      <c r="E245" s="62">
        <f t="shared" ref="E245:E253" si="164">$B225+($C225-$B225)*(1-T225)</f>
        <v>19470964.746295411</v>
      </c>
      <c r="F245" s="62">
        <f t="shared" ref="F245:F253" si="165">$B225+($C225-$B225)*(1-U225)</f>
        <v>19458450.669326123</v>
      </c>
      <c r="G245" s="62">
        <f t="shared" ref="G245:G253" si="166">$B225+($C225-$B225)*(1-V225)</f>
        <v>19440590.37708677</v>
      </c>
      <c r="H245" s="62">
        <f t="shared" ref="H245:H253" si="167">$B225+($C225-$B225)*(1-W225)</f>
        <v>19415152.939328622</v>
      </c>
      <c r="I245" s="62">
        <f t="shared" ref="I245:I253" si="168">$B225+($C225-$B225)*(1-X225)</f>
        <v>19379035.42421424</v>
      </c>
      <c r="J245" s="62">
        <f t="shared" ref="J245:J253" si="169">$B225+($C225-$B225)*(1-Y225)</f>
        <v>19327986.787271675</v>
      </c>
      <c r="K245" s="62">
        <f t="shared" ref="K245:K253" si="170">$B225+($C225-$B225)*(1-Z225)</f>
        <v>19256315.421998013</v>
      </c>
      <c r="L245" s="62">
        <f t="shared" ref="L245:L253" si="171">$B225+($C225-$B225)*(1-AA225)</f>
        <v>19156666.206756368</v>
      </c>
      <c r="M245" s="62">
        <f t="shared" ref="M245:M253" si="172">$B225+($C225-$B225)*(1-AB225)</f>
        <v>19020050.860544629</v>
      </c>
      <c r="N245" s="62">
        <f t="shared" ref="N245:N253" si="173">$B225+($C225-$B225)*(1-AC225)</f>
        <v>18836454.474344715</v>
      </c>
      <c r="O245" s="62">
        <f t="shared" ref="O245:O253" si="174">$B225+($C225-$B225)*(1-AD225)</f>
        <v>18596458.529368076</v>
      </c>
      <c r="P245" s="62">
        <f t="shared" ref="P245:P253" si="175">$B225+($C225-$B225)*(1-AE225)</f>
        <v>18294224.201249704</v>
      </c>
      <c r="Q245" s="62">
        <f t="shared" ref="Q245:Q253" si="176">$B225+($C225-$B225)*(1-AF225)</f>
        <v>17931551.6831454</v>
      </c>
      <c r="R245" s="62">
        <f t="shared" ref="R245:R253" si="177">$B225+($C225-$B225)*(1-AG225)</f>
        <v>17521451.154638231</v>
      </c>
      <c r="S245" s="62">
        <f t="shared" ref="S245:S253" si="178">$B225+($C225-$B225)*(1-AH225)</f>
        <v>17088509.709293339</v>
      </c>
      <c r="T245" s="62">
        <f t="shared" ref="T245:T253" si="179">$B225+($C225-$B225)*(1-AI225)</f>
        <v>16664087.741798578</v>
      </c>
      <c r="U245" s="62">
        <f t="shared" ref="U245:U253" si="180">$B225+($C225-$B225)*(1-AJ225)</f>
        <v>16277727.688675404</v>
      </c>
      <c r="V245" s="62">
        <f t="shared" ref="V245:V253" si="181">$B225+($C225-$B225)*(1-AK225)</f>
        <v>15949376.662250299</v>
      </c>
      <c r="W245" s="62">
        <f t="shared" ref="W245:W253" si="182">$B225+($C225-$B225)*(1-AL225)</f>
        <v>15686426.294420918</v>
      </c>
      <c r="X245" s="62">
        <f t="shared" ref="X245:X253" si="183">$B225+($C225-$B225)*(1-AM225)</f>
        <v>15485783.493196949</v>
      </c>
      <c r="Y245" s="62">
        <f t="shared" ref="Y245:Y253" si="184">$B225+($C225-$B225)*(1-AN225)</f>
        <v>15338294.942721413</v>
      </c>
      <c r="Z245" s="62">
        <f t="shared" ref="Z245:Z253" si="185">$B225+($C225-$B225)*(1-AO225)</f>
        <v>15232842.76279876</v>
      </c>
      <c r="AA245" s="62">
        <f t="shared" ref="AA245:AA253" si="186">$B225+($C225-$B225)*(1-AP225)</f>
        <v>15158936.357814057</v>
      </c>
      <c r="AB245" s="62">
        <f t="shared" ref="AB245:AB253" si="187">$B225+($C225-$B225)*(1-AQ225)</f>
        <v>15107862.489326961</v>
      </c>
      <c r="AC245" s="62">
        <f t="shared" ref="AC245:AC253" si="188">$B225+($C225-$B225)*(1-AR225)</f>
        <v>15072910.096012753</v>
      </c>
    </row>
    <row r="246" spans="1:44" x14ac:dyDescent="0.25">
      <c r="A246" s="30" t="str">
        <f t="shared" si="160"/>
        <v>Residual value (vehicle)</v>
      </c>
      <c r="B246" s="62">
        <f t="shared" si="161"/>
        <v>-976153.03364673769</v>
      </c>
      <c r="C246" s="62">
        <f t="shared" si="162"/>
        <v>-976651.86359490396</v>
      </c>
      <c r="D246" s="62">
        <f t="shared" si="163"/>
        <v>-977365.92755516258</v>
      </c>
      <c r="E246" s="62">
        <f t="shared" si="164"/>
        <v>-978387.4462655352</v>
      </c>
      <c r="F246" s="62">
        <f t="shared" si="165"/>
        <v>-979847.4219119522</v>
      </c>
      <c r="G246" s="62">
        <f t="shared" si="166"/>
        <v>-981931.12267321034</v>
      </c>
      <c r="H246" s="62">
        <f t="shared" si="167"/>
        <v>-984898.82374499424</v>
      </c>
      <c r="I246" s="62">
        <f t="shared" si="168"/>
        <v>-989112.53384167177</v>
      </c>
      <c r="J246" s="62">
        <f t="shared" si="169"/>
        <v>-995068.20815163793</v>
      </c>
      <c r="K246" s="62">
        <f t="shared" si="170"/>
        <v>-1003429.8674335653</v>
      </c>
      <c r="L246" s="62">
        <f t="shared" si="171"/>
        <v>-1015055.6092117572</v>
      </c>
      <c r="M246" s="62">
        <f t="shared" si="172"/>
        <v>-1030994.0662697931</v>
      </c>
      <c r="N246" s="62">
        <f t="shared" si="173"/>
        <v>-1052413.6446597832</v>
      </c>
      <c r="O246" s="62">
        <f t="shared" si="174"/>
        <v>-1080413.1715737246</v>
      </c>
      <c r="P246" s="62">
        <f t="shared" si="175"/>
        <v>-1115673.8431875347</v>
      </c>
      <c r="Q246" s="62">
        <f t="shared" si="176"/>
        <v>-1157985.6369663698</v>
      </c>
      <c r="R246" s="62">
        <f t="shared" si="177"/>
        <v>-1205830.6986255397</v>
      </c>
      <c r="S246" s="62">
        <f t="shared" si="178"/>
        <v>-1256340.533915777</v>
      </c>
      <c r="T246" s="62">
        <f t="shared" si="179"/>
        <v>-1305856.4301234994</v>
      </c>
      <c r="U246" s="62">
        <f t="shared" si="180"/>
        <v>-1350931.7696545362</v>
      </c>
      <c r="V246" s="62">
        <f t="shared" si="181"/>
        <v>-1389239.389404132</v>
      </c>
      <c r="W246" s="62">
        <f t="shared" si="182"/>
        <v>-1419916.9323175594</v>
      </c>
      <c r="X246" s="62">
        <f t="shared" si="183"/>
        <v>-1443325.2591270225</v>
      </c>
      <c r="Y246" s="62">
        <f t="shared" si="184"/>
        <v>-1460532.2566825019</v>
      </c>
      <c r="Z246" s="62">
        <f t="shared" si="185"/>
        <v>-1472835.0110068114</v>
      </c>
      <c r="AA246" s="62">
        <f t="shared" si="186"/>
        <v>-1481457.4249216933</v>
      </c>
      <c r="AB246" s="62">
        <f t="shared" si="187"/>
        <v>-1487416.0429118546</v>
      </c>
      <c r="AC246" s="62">
        <f t="shared" si="188"/>
        <v>-1491493.8221318454</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488235.29411764705</v>
      </c>
      <c r="C251" s="62">
        <f t="shared" si="162"/>
        <v>488235.29411764705</v>
      </c>
      <c r="D251" s="62">
        <f t="shared" si="163"/>
        <v>488235.29411764705</v>
      </c>
      <c r="E251" s="62">
        <f t="shared" si="164"/>
        <v>488235.29411764705</v>
      </c>
      <c r="F251" s="62">
        <f t="shared" si="165"/>
        <v>488235.29411764705</v>
      </c>
      <c r="G251" s="62">
        <f t="shared" si="166"/>
        <v>488235.29411764705</v>
      </c>
      <c r="H251" s="62">
        <f t="shared" si="167"/>
        <v>488235.29411764705</v>
      </c>
      <c r="I251" s="62">
        <f t="shared" si="168"/>
        <v>488235.29411764705</v>
      </c>
      <c r="J251" s="62">
        <f t="shared" si="169"/>
        <v>488235.29411764705</v>
      </c>
      <c r="K251" s="62">
        <f t="shared" si="170"/>
        <v>488235.29411764705</v>
      </c>
      <c r="L251" s="62">
        <f t="shared" si="171"/>
        <v>488235.29411764705</v>
      </c>
      <c r="M251" s="62">
        <f t="shared" si="172"/>
        <v>488235.29411764705</v>
      </c>
      <c r="N251" s="62">
        <f t="shared" si="173"/>
        <v>488235.29411764705</v>
      </c>
      <c r="O251" s="62">
        <f t="shared" si="174"/>
        <v>488235.29411764705</v>
      </c>
      <c r="P251" s="62">
        <f t="shared" si="175"/>
        <v>488235.29411764705</v>
      </c>
      <c r="Q251" s="62">
        <f t="shared" si="176"/>
        <v>488235.29411764705</v>
      </c>
      <c r="R251" s="62">
        <f t="shared" si="177"/>
        <v>488235.29411764705</v>
      </c>
      <c r="S251" s="62">
        <f t="shared" si="178"/>
        <v>488235.29411764705</v>
      </c>
      <c r="T251" s="62">
        <f t="shared" si="179"/>
        <v>488235.29411764705</v>
      </c>
      <c r="U251" s="62">
        <f t="shared" si="180"/>
        <v>488235.29411764705</v>
      </c>
      <c r="V251" s="62">
        <f t="shared" si="181"/>
        <v>488235.29411764705</v>
      </c>
      <c r="W251" s="62">
        <f t="shared" si="182"/>
        <v>488235.29411764705</v>
      </c>
      <c r="X251" s="62">
        <f t="shared" si="183"/>
        <v>488235.29411764705</v>
      </c>
      <c r="Y251" s="62">
        <f t="shared" si="184"/>
        <v>488235.29411764705</v>
      </c>
      <c r="Z251" s="62">
        <f t="shared" si="185"/>
        <v>488235.29411764705</v>
      </c>
      <c r="AA251" s="62">
        <f t="shared" si="186"/>
        <v>488235.29411764705</v>
      </c>
      <c r="AB251" s="62">
        <f t="shared" si="187"/>
        <v>488235.29411764705</v>
      </c>
      <c r="AC251" s="62">
        <f t="shared" si="188"/>
        <v>488235.29411764705</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646.89677603543487</v>
      </c>
      <c r="C253" s="62">
        <f t="shared" si="162"/>
        <v>646.85211887817047</v>
      </c>
      <c r="D253" s="62">
        <f t="shared" si="163"/>
        <v>646.78819315220449</v>
      </c>
      <c r="E253" s="62">
        <f t="shared" si="164"/>
        <v>646.6967429057521</v>
      </c>
      <c r="F253" s="62">
        <f t="shared" si="165"/>
        <v>646.5660403240729</v>
      </c>
      <c r="G253" s="62">
        <f t="shared" si="166"/>
        <v>646.37949949401741</v>
      </c>
      <c r="H253" s="62">
        <f t="shared" si="167"/>
        <v>646.11381958854338</v>
      </c>
      <c r="I253" s="62">
        <f t="shared" si="168"/>
        <v>645.73659220845991</v>
      </c>
      <c r="J253" s="62">
        <f t="shared" si="169"/>
        <v>645.20341755594859</v>
      </c>
      <c r="K253" s="62">
        <f t="shared" si="170"/>
        <v>644.4548499630904</v>
      </c>
      <c r="L253" s="62">
        <f t="shared" si="171"/>
        <v>643.41406927056653</v>
      </c>
      <c r="M253" s="62">
        <f t="shared" si="172"/>
        <v>641.98719787679943</v>
      </c>
      <c r="N253" s="62">
        <f t="shared" si="173"/>
        <v>640.0696356209337</v>
      </c>
      <c r="O253" s="62">
        <f t="shared" si="174"/>
        <v>637.56301130673319</v>
      </c>
      <c r="P253" s="62">
        <f t="shared" si="175"/>
        <v>634.40634165749691</v>
      </c>
      <c r="Q253" s="62">
        <f t="shared" si="176"/>
        <v>630.6184286906298</v>
      </c>
      <c r="R253" s="62">
        <f t="shared" si="177"/>
        <v>626.33515650399931</v>
      </c>
      <c r="S253" s="62">
        <f t="shared" si="178"/>
        <v>621.81332363039712</v>
      </c>
      <c r="T253" s="62">
        <f t="shared" si="179"/>
        <v>617.38047196989623</v>
      </c>
      <c r="U253" s="62">
        <f t="shared" si="180"/>
        <v>613.34515585949862</v>
      </c>
      <c r="V253" s="62">
        <f t="shared" si="181"/>
        <v>609.91571180572532</v>
      </c>
      <c r="W253" s="62">
        <f t="shared" si="182"/>
        <v>607.1693412972852</v>
      </c>
      <c r="X253" s="62">
        <f t="shared" si="183"/>
        <v>605.0737387067237</v>
      </c>
      <c r="Y253" s="62">
        <f t="shared" si="184"/>
        <v>603.53330273509027</v>
      </c>
      <c r="Z253" s="62">
        <f t="shared" si="185"/>
        <v>602.43191330034256</v>
      </c>
      <c r="AA253" s="62">
        <f t="shared" si="186"/>
        <v>601.66000195939125</v>
      </c>
      <c r="AB253" s="62">
        <f t="shared" si="187"/>
        <v>601.12656377741496</v>
      </c>
      <c r="AC253" s="62">
        <f t="shared" si="188"/>
        <v>600.7615054472443</v>
      </c>
    </row>
    <row r="254" spans="1:44" x14ac:dyDescent="0.25">
      <c r="A254" s="30" t="str">
        <f t="shared" si="160"/>
        <v>Fuel Cost</v>
      </c>
      <c r="B254" s="62">
        <f>'Parameter Input'!J7</f>
        <v>0.36417427635318367</v>
      </c>
      <c r="C254" s="62">
        <f>'Parameter Input'!K7</f>
        <v>0.34953957198802377</v>
      </c>
      <c r="D254" s="62">
        <f>'Parameter Input'!L7</f>
        <v>0.33490486762286403</v>
      </c>
      <c r="E254" s="62">
        <f>'Parameter Input'!M7</f>
        <v>0.32172366231345256</v>
      </c>
      <c r="F254" s="62">
        <f>'Parameter Input'!N7</f>
        <v>0.30854245700404115</v>
      </c>
      <c r="G254" s="62">
        <f>'Parameter Input'!O7</f>
        <v>0.29536125169462968</v>
      </c>
      <c r="H254" s="62">
        <f>'Parameter Input'!P7</f>
        <v>0.28218004638521826</v>
      </c>
      <c r="I254" s="62">
        <f>'Parameter Input'!Q7</f>
        <v>0.26899884107580674</v>
      </c>
      <c r="J254" s="62">
        <f>'Parameter Input'!R7</f>
        <v>0.26271894785871058</v>
      </c>
      <c r="K254" s="62">
        <f>'Parameter Input'!S7</f>
        <v>0.25643905464161443</v>
      </c>
      <c r="L254" s="62">
        <f>'Parameter Input'!T7</f>
        <v>0.25015916142451827</v>
      </c>
      <c r="M254" s="62">
        <f>'Parameter Input'!U7</f>
        <v>0.24387926820742209</v>
      </c>
      <c r="N254" s="62">
        <f>'Parameter Input'!V7</f>
        <v>0.23759937499032585</v>
      </c>
      <c r="O254" s="62">
        <f>'Parameter Input'!W7</f>
        <v>0.22988467822493394</v>
      </c>
      <c r="P254" s="62">
        <f>'Parameter Input'!X7</f>
        <v>0.22216998145954203</v>
      </c>
      <c r="Q254" s="62">
        <f>'Parameter Input'!Y7</f>
        <v>0.21445528469415012</v>
      </c>
      <c r="R254" s="62">
        <f>'Parameter Input'!Z7</f>
        <v>0.20674058792875821</v>
      </c>
      <c r="S254" s="62">
        <f>'Parameter Input'!AA7</f>
        <v>0.19902589116336625</v>
      </c>
      <c r="T254" s="62">
        <f>'Parameter Input'!AB7</f>
        <v>0.19368220926450147</v>
      </c>
      <c r="U254" s="62">
        <f>'Parameter Input'!AC7</f>
        <v>0.18833852736563667</v>
      </c>
      <c r="V254" s="62">
        <f>'Parameter Input'!AD7</f>
        <v>0.18299484546677189</v>
      </c>
      <c r="W254" s="62">
        <f>'Parameter Input'!AE7</f>
        <v>0.17765116356790711</v>
      </c>
      <c r="X254" s="62">
        <f>'Parameter Input'!AF7</f>
        <v>0.17230748166904239</v>
      </c>
      <c r="Y254" s="62">
        <f>'Parameter Input'!AG7</f>
        <v>0.16851782325418166</v>
      </c>
      <c r="Z254" s="62">
        <f>'Parameter Input'!AH7</f>
        <v>0.16472816483932096</v>
      </c>
      <c r="AA254" s="62">
        <f>'Parameter Input'!AI7</f>
        <v>0.16093850642446025</v>
      </c>
      <c r="AB254" s="62">
        <f>'Parameter Input'!AJ7</f>
        <v>0.15714884800959955</v>
      </c>
      <c r="AC254" s="62">
        <f>'Parameter Input'!AK7</f>
        <v>0.15335918959473879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378</v>
      </c>
      <c r="C260" s="62">
        <f t="shared" si="194"/>
        <v>378</v>
      </c>
      <c r="D260" s="62">
        <f t="shared" si="194"/>
        <v>378</v>
      </c>
      <c r="E260" s="62">
        <f t="shared" si="194"/>
        <v>378</v>
      </c>
      <c r="F260" s="62">
        <f t="shared" si="194"/>
        <v>378</v>
      </c>
      <c r="G260" s="62">
        <f t="shared" si="194"/>
        <v>378</v>
      </c>
      <c r="H260" s="62">
        <f t="shared" si="194"/>
        <v>378</v>
      </c>
      <c r="I260" s="62">
        <f t="shared" si="194"/>
        <v>378</v>
      </c>
      <c r="J260" s="62">
        <f t="shared" si="194"/>
        <v>378</v>
      </c>
      <c r="K260" s="62">
        <f t="shared" si="194"/>
        <v>378</v>
      </c>
      <c r="L260" s="62">
        <f t="shared" si="195"/>
        <v>378</v>
      </c>
      <c r="M260" s="62">
        <f t="shared" si="195"/>
        <v>378</v>
      </c>
      <c r="N260" s="62">
        <f t="shared" si="195"/>
        <v>378</v>
      </c>
      <c r="O260" s="62">
        <f t="shared" si="195"/>
        <v>378</v>
      </c>
      <c r="P260" s="62">
        <f t="shared" si="195"/>
        <v>378</v>
      </c>
      <c r="Q260" s="62">
        <f t="shared" si="195"/>
        <v>378</v>
      </c>
      <c r="R260" s="62">
        <f t="shared" si="195"/>
        <v>378</v>
      </c>
      <c r="S260" s="62">
        <f t="shared" si="195"/>
        <v>378</v>
      </c>
      <c r="T260" s="62">
        <f t="shared" si="195"/>
        <v>378</v>
      </c>
      <c r="U260" s="62">
        <f t="shared" si="195"/>
        <v>378</v>
      </c>
      <c r="V260" s="62">
        <f t="shared" si="196"/>
        <v>378</v>
      </c>
      <c r="W260" s="62">
        <f t="shared" si="196"/>
        <v>378</v>
      </c>
      <c r="X260" s="62">
        <f t="shared" si="196"/>
        <v>378</v>
      </c>
      <c r="Y260" s="62">
        <f t="shared" si="196"/>
        <v>378</v>
      </c>
      <c r="Z260" s="62">
        <f t="shared" si="196"/>
        <v>378</v>
      </c>
      <c r="AA260" s="62">
        <f t="shared" si="196"/>
        <v>378</v>
      </c>
      <c r="AB260" s="62">
        <f t="shared" si="196"/>
        <v>378</v>
      </c>
      <c r="AC260" s="62">
        <f t="shared" si="196"/>
        <v>378</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8">((1+C249)^C256)*C249/(((1+C249)^C256)-1)*(C245)</f>
        <v>1524313.4062710819</v>
      </c>
      <c r="D264" s="63">
        <f t="shared" si="198"/>
        <v>1523834.6158693277</v>
      </c>
      <c r="E264" s="63">
        <f t="shared" si="198"/>
        <v>1523149.6725295712</v>
      </c>
      <c r="F264" s="63">
        <f t="shared" si="198"/>
        <v>1522170.737356808</v>
      </c>
      <c r="G264" s="63">
        <f t="shared" si="198"/>
        <v>1520773.5853086114</v>
      </c>
      <c r="H264" s="63">
        <f t="shared" si="198"/>
        <v>1518783.6980330625</v>
      </c>
      <c r="I264" s="63">
        <f t="shared" si="198"/>
        <v>1515958.3433556822</v>
      </c>
      <c r="J264" s="63">
        <f t="shared" si="198"/>
        <v>1511964.9760184553</v>
      </c>
      <c r="K264" s="63">
        <f t="shared" si="198"/>
        <v>1506358.3603233036</v>
      </c>
      <c r="L264" s="63">
        <f t="shared" si="198"/>
        <v>1498563.1292425212</v>
      </c>
      <c r="M264" s="63">
        <f t="shared" si="198"/>
        <v>1487876.1590509433</v>
      </c>
      <c r="N264" s="63">
        <f t="shared" si="198"/>
        <v>1473514.0162828909</v>
      </c>
      <c r="O264" s="63">
        <f t="shared" si="198"/>
        <v>1454739.9211231149</v>
      </c>
      <c r="P264" s="63">
        <f t="shared" si="198"/>
        <v>1431097.1215033231</v>
      </c>
      <c r="Q264" s="63">
        <f t="shared" si="198"/>
        <v>1402726.440626242</v>
      </c>
      <c r="R264" s="63">
        <f t="shared" si="198"/>
        <v>1370645.6221440069</v>
      </c>
      <c r="S264" s="63">
        <f t="shared" si="198"/>
        <v>1336778.0336965974</v>
      </c>
      <c r="T264" s="63">
        <f t="shared" si="198"/>
        <v>1303576.896042286</v>
      </c>
      <c r="U264" s="63">
        <f t="shared" si="198"/>
        <v>1273353.2170381402</v>
      </c>
      <c r="V264" s="63">
        <f t="shared" si="198"/>
        <v>1247667.3938192725</v>
      </c>
      <c r="W264" s="63">
        <f t="shared" si="198"/>
        <v>1227097.6494912698</v>
      </c>
      <c r="X264" s="63">
        <f t="shared" si="198"/>
        <v>1211402.0216186012</v>
      </c>
      <c r="Y264" s="63">
        <f t="shared" si="198"/>
        <v>1199864.4763410145</v>
      </c>
      <c r="Z264" s="63">
        <f t="shared" si="198"/>
        <v>1191615.2983773351</v>
      </c>
      <c r="AA264" s="63">
        <f t="shared" si="198"/>
        <v>1185833.8428605145</v>
      </c>
      <c r="AB264" s="63">
        <f t="shared" si="198"/>
        <v>1181838.5017423639</v>
      </c>
      <c r="AC264" s="63">
        <f t="shared" si="198"/>
        <v>1179104.2907197287</v>
      </c>
    </row>
    <row r="265" spans="1:29" x14ac:dyDescent="0.25">
      <c r="A265" s="30" t="str">
        <f>A246</f>
        <v>Residual value (vehicle)</v>
      </c>
      <c r="B265" s="62">
        <f>((1+B249)^B256)*B249/(((1+B249)^B256)-1)*(B246)</f>
        <v>-76361.248295139725</v>
      </c>
      <c r="C265" s="62">
        <f t="shared" ref="C265:AC265" si="199">((1+C249)^C256)*C249/(((1+C249)^C256)-1)*(C246)</f>
        <v>-76400.270124930772</v>
      </c>
      <c r="D265" s="62">
        <f t="shared" si="199"/>
        <v>-76456.129005135459</v>
      </c>
      <c r="E265" s="62">
        <f t="shared" si="199"/>
        <v>-76536.039061440344</v>
      </c>
      <c r="F265" s="62">
        <f t="shared" si="199"/>
        <v>-76650.248164929391</v>
      </c>
      <c r="G265" s="62">
        <f t="shared" si="199"/>
        <v>-76813.249237219032</v>
      </c>
      <c r="H265" s="62">
        <f t="shared" si="199"/>
        <v>-77045.402752699738</v>
      </c>
      <c r="I265" s="62">
        <f t="shared" si="199"/>
        <v>-77375.027465060732</v>
      </c>
      <c r="J265" s="62">
        <f t="shared" si="199"/>
        <v>-77840.920321070545</v>
      </c>
      <c r="K265" s="62">
        <f t="shared" si="199"/>
        <v>-78495.025485504913</v>
      </c>
      <c r="L265" s="62">
        <f t="shared" si="199"/>
        <v>-79404.46911159619</v>
      </c>
      <c r="M265" s="62">
        <f t="shared" si="199"/>
        <v>-80651.282300613602</v>
      </c>
      <c r="N265" s="62">
        <f t="shared" si="199"/>
        <v>-82326.865623553065</v>
      </c>
      <c r="O265" s="62">
        <f t="shared" si="199"/>
        <v>-84517.176725526937</v>
      </c>
      <c r="P265" s="62">
        <f t="shared" si="199"/>
        <v>-87275.503347835998</v>
      </c>
      <c r="Q265" s="62">
        <f t="shared" si="199"/>
        <v>-90585.416116828768</v>
      </c>
      <c r="R265" s="62">
        <f t="shared" si="199"/>
        <v>-94328.178273089521</v>
      </c>
      <c r="S265" s="62">
        <f t="shared" si="199"/>
        <v>-98279.396925287292</v>
      </c>
      <c r="T265" s="62">
        <f t="shared" si="199"/>
        <v>-102152.86298495698</v>
      </c>
      <c r="U265" s="62">
        <f t="shared" si="199"/>
        <v>-105678.95886877397</v>
      </c>
      <c r="V265" s="62">
        <f t="shared" si="199"/>
        <v>-108675.63824430856</v>
      </c>
      <c r="W265" s="62">
        <f t="shared" si="199"/>
        <v>-111075.44174924218</v>
      </c>
      <c r="X265" s="62">
        <f t="shared" si="199"/>
        <v>-112906.59833438687</v>
      </c>
      <c r="Y265" s="62">
        <f t="shared" si="199"/>
        <v>-114252.64528343864</v>
      </c>
      <c r="Z265" s="62">
        <f t="shared" si="199"/>
        <v>-115215.04937920124</v>
      </c>
      <c r="AA265" s="62">
        <f t="shared" si="199"/>
        <v>-115889.55252283029</v>
      </c>
      <c r="AB265" s="62">
        <f t="shared" si="199"/>
        <v>-116355.67565328123</v>
      </c>
      <c r="AC265" s="62">
        <f t="shared" si="199"/>
        <v>-116674.66693925532</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488235.29411764705</v>
      </c>
      <c r="C269" s="62">
        <f t="shared" si="203"/>
        <v>488235.29411764705</v>
      </c>
      <c r="D269" s="62">
        <f t="shared" si="203"/>
        <v>488235.29411764705</v>
      </c>
      <c r="E269" s="62">
        <f t="shared" si="203"/>
        <v>488235.29411764705</v>
      </c>
      <c r="F269" s="62">
        <f t="shared" si="203"/>
        <v>488235.29411764705</v>
      </c>
      <c r="G269" s="62">
        <f t="shared" si="203"/>
        <v>488235.29411764705</v>
      </c>
      <c r="H269" s="62">
        <f t="shared" si="203"/>
        <v>488235.29411764705</v>
      </c>
      <c r="I269" s="62">
        <f t="shared" si="203"/>
        <v>488235.29411764705</v>
      </c>
      <c r="J269" s="62">
        <f t="shared" si="203"/>
        <v>488235.29411764705</v>
      </c>
      <c r="K269" s="62">
        <f t="shared" si="203"/>
        <v>488235.29411764705</v>
      </c>
      <c r="L269" s="62">
        <f t="shared" si="203"/>
        <v>488235.29411764705</v>
      </c>
      <c r="M269" s="62">
        <f t="shared" si="203"/>
        <v>488235.29411764705</v>
      </c>
      <c r="N269" s="62">
        <f t="shared" si="203"/>
        <v>488235.29411764705</v>
      </c>
      <c r="O269" s="62">
        <f t="shared" si="203"/>
        <v>488235.29411764705</v>
      </c>
      <c r="P269" s="62">
        <f t="shared" si="203"/>
        <v>488235.29411764705</v>
      </c>
      <c r="Q269" s="62">
        <f t="shared" si="203"/>
        <v>488235.29411764705</v>
      </c>
      <c r="R269" s="62">
        <f t="shared" si="203"/>
        <v>488235.29411764705</v>
      </c>
      <c r="S269" s="62">
        <f t="shared" si="203"/>
        <v>488235.29411764705</v>
      </c>
      <c r="T269" s="62">
        <f t="shared" si="203"/>
        <v>488235.29411764705</v>
      </c>
      <c r="U269" s="62">
        <f t="shared" si="203"/>
        <v>488235.29411764705</v>
      </c>
      <c r="V269" s="62">
        <f t="shared" si="203"/>
        <v>488235.29411764705</v>
      </c>
      <c r="W269" s="62">
        <f t="shared" si="203"/>
        <v>488235.29411764705</v>
      </c>
      <c r="X269" s="62">
        <f t="shared" si="203"/>
        <v>488235.29411764705</v>
      </c>
      <c r="Y269" s="62">
        <f t="shared" si="203"/>
        <v>488235.29411764705</v>
      </c>
      <c r="Z269" s="62">
        <f t="shared" si="203"/>
        <v>488235.29411764705</v>
      </c>
      <c r="AA269" s="62">
        <f t="shared" si="203"/>
        <v>488235.29411764705</v>
      </c>
      <c r="AB269" s="62">
        <f t="shared" si="203"/>
        <v>488235.29411764705</v>
      </c>
      <c r="AC269" s="62">
        <f t="shared" si="203"/>
        <v>488235.29411764705</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28269979.834549442</v>
      </c>
      <c r="C271" s="62">
        <f t="shared" ref="C271:AC271" si="205">C253*C254*C261</f>
        <v>27132049.532666638</v>
      </c>
      <c r="D271" s="62">
        <f t="shared" si="205"/>
        <v>25993501.704920452</v>
      </c>
      <c r="E271" s="62">
        <f t="shared" si="205"/>
        <v>24966917.34405838</v>
      </c>
      <c r="F271" s="62">
        <f t="shared" si="205"/>
        <v>23939168.963635609</v>
      </c>
      <c r="G271" s="62">
        <f t="shared" si="205"/>
        <v>22909854.96483615</v>
      </c>
      <c r="H271" s="62">
        <f t="shared" si="205"/>
        <v>21878451.309795085</v>
      </c>
      <c r="I271" s="62">
        <f t="shared" si="205"/>
        <v>20844287.393317983</v>
      </c>
      <c r="J271" s="62">
        <f t="shared" si="205"/>
        <v>20340859.561817177</v>
      </c>
      <c r="K271" s="62">
        <f t="shared" si="205"/>
        <v>19831607.098048601</v>
      </c>
      <c r="L271" s="62">
        <f t="shared" si="205"/>
        <v>19314710.882095419</v>
      </c>
      <c r="M271" s="62">
        <f t="shared" si="205"/>
        <v>18788084.16200728</v>
      </c>
      <c r="N271" s="62">
        <f t="shared" si="205"/>
        <v>18249617.444858335</v>
      </c>
      <c r="O271" s="62">
        <f t="shared" si="205"/>
        <v>17587916.124284193</v>
      </c>
      <c r="P271" s="62">
        <f t="shared" si="205"/>
        <v>16913525.419663437</v>
      </c>
      <c r="Q271" s="62">
        <f t="shared" si="205"/>
        <v>16228734.558987197</v>
      </c>
      <c r="R271" s="62">
        <f t="shared" si="205"/>
        <v>15538667.819530513</v>
      </c>
      <c r="S271" s="62">
        <f t="shared" si="205"/>
        <v>14850834.104735333</v>
      </c>
      <c r="T271" s="62">
        <f t="shared" si="205"/>
        <v>14349073.652146816</v>
      </c>
      <c r="U271" s="62">
        <f t="shared" si="205"/>
        <v>13861982.810570983</v>
      </c>
      <c r="V271" s="62">
        <f t="shared" si="205"/>
        <v>13393371.771557385</v>
      </c>
      <c r="W271" s="62">
        <f t="shared" si="205"/>
        <v>12943720.795706693</v>
      </c>
      <c r="X271" s="62">
        <f t="shared" si="205"/>
        <v>12511047.856875328</v>
      </c>
      <c r="Y271" s="62">
        <f t="shared" si="205"/>
        <v>12204734.212598935</v>
      </c>
      <c r="Z271" s="62">
        <f t="shared" si="205"/>
        <v>11908500.422232762</v>
      </c>
      <c r="AA271" s="62">
        <f t="shared" si="205"/>
        <v>11619631.45088187</v>
      </c>
      <c r="AB271" s="62">
        <f t="shared" si="205"/>
        <v>11335961.64067078</v>
      </c>
      <c r="AC271" s="62">
        <f t="shared" si="205"/>
        <v>11055875.713812558</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31582677.782894723</v>
      </c>
      <c r="C273" s="64">
        <f t="shared" ref="C273:AC273" si="207">C264+C265+C266+C267+C268+C269+C270+C271+C272</f>
        <v>30444373.986355349</v>
      </c>
      <c r="D273" s="64">
        <f t="shared" si="207"/>
        <v>29305291.509327203</v>
      </c>
      <c r="E273" s="64">
        <f t="shared" si="207"/>
        <v>28277942.295069069</v>
      </c>
      <c r="F273" s="64">
        <f t="shared" si="207"/>
        <v>27249100.770370048</v>
      </c>
      <c r="G273" s="64">
        <f t="shared" si="207"/>
        <v>26218226.618450101</v>
      </c>
      <c r="H273" s="64">
        <f t="shared" si="207"/>
        <v>25184600.922618005</v>
      </c>
      <c r="I273" s="64">
        <f t="shared" si="207"/>
        <v>24147282.026751164</v>
      </c>
      <c r="J273" s="64">
        <f t="shared" si="207"/>
        <v>23639394.935057119</v>
      </c>
      <c r="K273" s="64">
        <f t="shared" si="207"/>
        <v>23123881.75042896</v>
      </c>
      <c r="L273" s="64">
        <f t="shared" si="207"/>
        <v>22598280.859768901</v>
      </c>
      <c r="M273" s="64">
        <f t="shared" si="207"/>
        <v>22059720.356300168</v>
      </c>
      <c r="N273" s="64">
        <f t="shared" si="207"/>
        <v>21505215.913060233</v>
      </c>
      <c r="O273" s="64">
        <f t="shared" si="207"/>
        <v>20822550.186224341</v>
      </c>
      <c r="P273" s="64">
        <f t="shared" si="207"/>
        <v>20121758.355361484</v>
      </c>
      <c r="Q273" s="64">
        <f t="shared" si="207"/>
        <v>19405286.901039168</v>
      </c>
      <c r="R273" s="64">
        <f t="shared" si="207"/>
        <v>18679396.58094399</v>
      </c>
      <c r="S273" s="64">
        <f t="shared" si="207"/>
        <v>17953744.059049204</v>
      </c>
      <c r="T273" s="64">
        <f t="shared" si="207"/>
        <v>17414909.002746705</v>
      </c>
      <c r="U273" s="64">
        <f t="shared" si="207"/>
        <v>16894068.38628291</v>
      </c>
      <c r="V273" s="64">
        <f t="shared" si="207"/>
        <v>16396774.844674908</v>
      </c>
      <c r="W273" s="64">
        <f t="shared" si="207"/>
        <v>15924154.32099128</v>
      </c>
      <c r="X273" s="64">
        <f t="shared" si="207"/>
        <v>15473954.597702101</v>
      </c>
      <c r="Y273" s="64">
        <f t="shared" si="207"/>
        <v>15154757.36119907</v>
      </c>
      <c r="Z273" s="64">
        <f t="shared" si="207"/>
        <v>14849311.988773454</v>
      </c>
      <c r="AA273" s="64">
        <f t="shared" si="207"/>
        <v>14553987.058762114</v>
      </c>
      <c r="AB273" s="64">
        <f t="shared" si="207"/>
        <v>14265855.784302421</v>
      </c>
      <c r="AC273" s="64">
        <f t="shared" si="207"/>
        <v>13982716.655135591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12.705398992482186</v>
      </c>
      <c r="C276" s="65">
        <f t="shared" ref="C276:AC276" si="209">((1+C249)^C256)*C249/(((1+C249)^C256)-1)*(C245)/C261</f>
        <v>12.702611718925683</v>
      </c>
      <c r="D276" s="65">
        <f t="shared" si="209"/>
        <v>12.698621798911065</v>
      </c>
      <c r="E276" s="65">
        <f t="shared" si="209"/>
        <v>12.692913937746427</v>
      </c>
      <c r="F276" s="65">
        <f t="shared" si="209"/>
        <v>12.684756144640067</v>
      </c>
      <c r="G276" s="65">
        <f t="shared" si="209"/>
        <v>12.673113210905095</v>
      </c>
      <c r="H276" s="65">
        <f t="shared" si="209"/>
        <v>12.656530816942187</v>
      </c>
      <c r="I276" s="65">
        <f t="shared" si="209"/>
        <v>12.632986194630686</v>
      </c>
      <c r="J276" s="65">
        <f t="shared" si="209"/>
        <v>12.599708133487129</v>
      </c>
      <c r="K276" s="65">
        <f t="shared" si="209"/>
        <v>12.55298633602753</v>
      </c>
      <c r="L276" s="65">
        <f t="shared" si="209"/>
        <v>12.48802607702101</v>
      </c>
      <c r="M276" s="65">
        <f t="shared" si="209"/>
        <v>12.398967992091194</v>
      </c>
      <c r="N276" s="65">
        <f t="shared" si="209"/>
        <v>12.27928346902409</v>
      </c>
      <c r="O276" s="65">
        <f t="shared" si="209"/>
        <v>12.122832676025958</v>
      </c>
      <c r="P276" s="65">
        <f t="shared" si="209"/>
        <v>11.925809345861026</v>
      </c>
      <c r="Q276" s="65">
        <f t="shared" si="209"/>
        <v>11.689387005218682</v>
      </c>
      <c r="R276" s="65">
        <f t="shared" si="209"/>
        <v>11.422046851200058</v>
      </c>
      <c r="S276" s="65">
        <f t="shared" si="209"/>
        <v>11.139816947471646</v>
      </c>
      <c r="T276" s="65">
        <f t="shared" si="209"/>
        <v>10.863140800352383</v>
      </c>
      <c r="U276" s="65">
        <f t="shared" si="209"/>
        <v>10.611276808651168</v>
      </c>
      <c r="V276" s="65">
        <f t="shared" si="209"/>
        <v>10.397228281827271</v>
      </c>
      <c r="W276" s="65">
        <f t="shared" si="209"/>
        <v>10.225813745760583</v>
      </c>
      <c r="X276" s="65">
        <f t="shared" si="209"/>
        <v>10.095016846821677</v>
      </c>
      <c r="Y276" s="65">
        <f t="shared" si="209"/>
        <v>9.9988706361751216</v>
      </c>
      <c r="Z276" s="65">
        <f t="shared" si="209"/>
        <v>9.930127486477792</v>
      </c>
      <c r="AA276" s="65">
        <f t="shared" si="209"/>
        <v>9.8819486905042879</v>
      </c>
      <c r="AB276" s="65">
        <f t="shared" si="209"/>
        <v>9.8486541811863653</v>
      </c>
      <c r="AC276" s="65">
        <f t="shared" si="209"/>
        <v>9.8258690893310732</v>
      </c>
    </row>
    <row r="277" spans="1:29" x14ac:dyDescent="0.25">
      <c r="A277" s="30" t="str">
        <f t="shared" si="208"/>
        <v>Residual value (vehicle)</v>
      </c>
      <c r="B277" s="66">
        <f>((1+B249)^B256)*B249/(((1+B249)^B256)-1)*(B246)/B261</f>
        <v>-0.63634373579283099</v>
      </c>
      <c r="C277" s="66">
        <f t="shared" ref="C277:AC277" si="210">((1+C249)^C256)*C249/(((1+C249)^C256)-1)*(C246)/C261</f>
        <v>-0.63666891770775647</v>
      </c>
      <c r="D277" s="66">
        <f t="shared" si="210"/>
        <v>-0.63713440837612878</v>
      </c>
      <c r="E277" s="66">
        <f t="shared" si="210"/>
        <v>-0.63780032551200283</v>
      </c>
      <c r="F277" s="66">
        <f t="shared" si="210"/>
        <v>-0.63875206804107831</v>
      </c>
      <c r="G277" s="66">
        <f t="shared" si="210"/>
        <v>-0.64011041031015858</v>
      </c>
      <c r="H277" s="66">
        <f t="shared" si="210"/>
        <v>-0.64204502293916443</v>
      </c>
      <c r="I277" s="66">
        <f t="shared" si="210"/>
        <v>-0.64479189554217275</v>
      </c>
      <c r="J277" s="66">
        <f t="shared" si="210"/>
        <v>-0.64867433600892122</v>
      </c>
      <c r="K277" s="66">
        <f t="shared" si="210"/>
        <v>-0.65412521237920762</v>
      </c>
      <c r="L277" s="66">
        <f t="shared" si="210"/>
        <v>-0.66170390926330158</v>
      </c>
      <c r="M277" s="66">
        <f t="shared" si="210"/>
        <v>-0.67209401917178002</v>
      </c>
      <c r="N277" s="66">
        <f t="shared" si="210"/>
        <v>-0.68605721352960891</v>
      </c>
      <c r="O277" s="66">
        <f t="shared" si="210"/>
        <v>-0.70430980604605786</v>
      </c>
      <c r="P277" s="66">
        <f t="shared" si="210"/>
        <v>-0.72729586123196666</v>
      </c>
      <c r="Q277" s="66">
        <f t="shared" si="210"/>
        <v>-0.75487846764023969</v>
      </c>
      <c r="R277" s="66">
        <f t="shared" si="210"/>
        <v>-0.786068152275746</v>
      </c>
      <c r="S277" s="66">
        <f t="shared" si="210"/>
        <v>-0.8189949743773941</v>
      </c>
      <c r="T277" s="66">
        <f t="shared" si="210"/>
        <v>-0.85127385820797485</v>
      </c>
      <c r="U277" s="66">
        <f t="shared" si="210"/>
        <v>-0.88065799057311644</v>
      </c>
      <c r="V277" s="66">
        <f t="shared" si="210"/>
        <v>-0.90563031870257138</v>
      </c>
      <c r="W277" s="66">
        <f t="shared" si="210"/>
        <v>-0.9256286812436848</v>
      </c>
      <c r="X277" s="66">
        <f t="shared" si="210"/>
        <v>-0.94088831945322393</v>
      </c>
      <c r="Y277" s="66">
        <f t="shared" si="210"/>
        <v>-0.95210537736198875</v>
      </c>
      <c r="Z277" s="66">
        <f t="shared" si="210"/>
        <v>-0.96012541149334374</v>
      </c>
      <c r="AA277" s="66">
        <f t="shared" si="210"/>
        <v>-0.96574627102358568</v>
      </c>
      <c r="AB277" s="66">
        <f t="shared" si="210"/>
        <v>-0.96963063044401021</v>
      </c>
      <c r="AC277" s="66">
        <f t="shared" si="210"/>
        <v>-0.97228889116046091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4.0686274509803919</v>
      </c>
      <c r="C281" s="66">
        <f t="shared" ref="C281:AC281" si="214">C251/C261</f>
        <v>4.0686274509803919</v>
      </c>
      <c r="D281" s="66">
        <f t="shared" si="214"/>
        <v>4.0686274509803919</v>
      </c>
      <c r="E281" s="66">
        <f t="shared" si="214"/>
        <v>4.0686274509803919</v>
      </c>
      <c r="F281" s="66">
        <f t="shared" si="214"/>
        <v>4.0686274509803919</v>
      </c>
      <c r="G281" s="66">
        <f t="shared" si="214"/>
        <v>4.0686274509803919</v>
      </c>
      <c r="H281" s="66">
        <f t="shared" si="214"/>
        <v>4.0686274509803919</v>
      </c>
      <c r="I281" s="66">
        <f t="shared" si="214"/>
        <v>4.0686274509803919</v>
      </c>
      <c r="J281" s="66">
        <f t="shared" si="214"/>
        <v>4.0686274509803919</v>
      </c>
      <c r="K281" s="66">
        <f t="shared" si="214"/>
        <v>4.0686274509803919</v>
      </c>
      <c r="L281" s="66">
        <f t="shared" si="214"/>
        <v>4.0686274509803919</v>
      </c>
      <c r="M281" s="66">
        <f t="shared" si="214"/>
        <v>4.0686274509803919</v>
      </c>
      <c r="N281" s="66">
        <f t="shared" si="214"/>
        <v>4.0686274509803919</v>
      </c>
      <c r="O281" s="66">
        <f t="shared" si="214"/>
        <v>4.0686274509803919</v>
      </c>
      <c r="P281" s="66">
        <f t="shared" si="214"/>
        <v>4.0686274509803919</v>
      </c>
      <c r="Q281" s="66">
        <f t="shared" si="214"/>
        <v>4.0686274509803919</v>
      </c>
      <c r="R281" s="66">
        <f t="shared" si="214"/>
        <v>4.0686274509803919</v>
      </c>
      <c r="S281" s="66">
        <f t="shared" si="214"/>
        <v>4.0686274509803919</v>
      </c>
      <c r="T281" s="66">
        <f t="shared" si="214"/>
        <v>4.0686274509803919</v>
      </c>
      <c r="U281" s="66">
        <f t="shared" si="214"/>
        <v>4.0686274509803919</v>
      </c>
      <c r="V281" s="66">
        <f t="shared" si="214"/>
        <v>4.0686274509803919</v>
      </c>
      <c r="W281" s="66">
        <f t="shared" si="214"/>
        <v>4.0686274509803919</v>
      </c>
      <c r="X281" s="66">
        <f t="shared" si="214"/>
        <v>4.0686274509803919</v>
      </c>
      <c r="Y281" s="66">
        <f t="shared" si="214"/>
        <v>4.0686274509803919</v>
      </c>
      <c r="Z281" s="66">
        <f t="shared" si="214"/>
        <v>4.0686274509803919</v>
      </c>
      <c r="AA281" s="66">
        <f t="shared" si="214"/>
        <v>4.0686274509803919</v>
      </c>
      <c r="AB281" s="66">
        <f t="shared" si="214"/>
        <v>4.0686274509803919</v>
      </c>
      <c r="AC281" s="66">
        <f t="shared" si="214"/>
        <v>4.0686274509803919</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235.58316528791201</v>
      </c>
      <c r="C283" s="66">
        <f t="shared" ref="C283:AC283" si="216">C253*C254*C261/C261</f>
        <v>226.100412772222</v>
      </c>
      <c r="D283" s="66">
        <f t="shared" si="216"/>
        <v>216.61251420767044</v>
      </c>
      <c r="E283" s="66">
        <f t="shared" si="216"/>
        <v>208.05764453381983</v>
      </c>
      <c r="F283" s="66">
        <f t="shared" si="216"/>
        <v>199.49307469696342</v>
      </c>
      <c r="G283" s="66">
        <f t="shared" si="216"/>
        <v>190.91545804030125</v>
      </c>
      <c r="H283" s="66">
        <f t="shared" si="216"/>
        <v>182.32042758162572</v>
      </c>
      <c r="I283" s="66">
        <f t="shared" si="216"/>
        <v>173.70239494431652</v>
      </c>
      <c r="J283" s="66">
        <f t="shared" si="216"/>
        <v>169.50716301514313</v>
      </c>
      <c r="K283" s="66">
        <f t="shared" si="216"/>
        <v>165.26339248373836</v>
      </c>
      <c r="L283" s="66">
        <f t="shared" si="216"/>
        <v>160.95592401746183</v>
      </c>
      <c r="M283" s="66">
        <f t="shared" si="216"/>
        <v>156.56736801672733</v>
      </c>
      <c r="N283" s="66">
        <f t="shared" si="216"/>
        <v>152.08014537381945</v>
      </c>
      <c r="O283" s="66">
        <f t="shared" si="216"/>
        <v>146.56596770236828</v>
      </c>
      <c r="P283" s="66">
        <f t="shared" si="216"/>
        <v>140.94604516386198</v>
      </c>
      <c r="Q283" s="66">
        <f t="shared" si="216"/>
        <v>135.23945465822663</v>
      </c>
      <c r="R283" s="66">
        <f t="shared" si="216"/>
        <v>129.48889849608761</v>
      </c>
      <c r="S283" s="66">
        <f t="shared" si="216"/>
        <v>123.75695087279445</v>
      </c>
      <c r="T283" s="66">
        <f t="shared" si="216"/>
        <v>119.57561376789013</v>
      </c>
      <c r="U283" s="66">
        <f t="shared" si="216"/>
        <v>115.51652342142486</v>
      </c>
      <c r="V283" s="66">
        <f t="shared" si="216"/>
        <v>111.61143142964488</v>
      </c>
      <c r="W283" s="66">
        <f t="shared" si="216"/>
        <v>107.86433996422244</v>
      </c>
      <c r="X283" s="66">
        <f t="shared" si="216"/>
        <v>104.25873214062774</v>
      </c>
      <c r="Y283" s="66">
        <f t="shared" si="216"/>
        <v>101.70611843832445</v>
      </c>
      <c r="Z283" s="66">
        <f t="shared" si="216"/>
        <v>99.237503518606346</v>
      </c>
      <c r="AA283" s="66">
        <f t="shared" si="216"/>
        <v>96.830262090682254</v>
      </c>
      <c r="AB283" s="66">
        <f t="shared" si="216"/>
        <v>94.466347005589839</v>
      </c>
      <c r="AC283" s="66">
        <f t="shared" si="216"/>
        <v>92.132297615104648</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263.31935938780981</v>
      </c>
      <c r="C285" s="76">
        <f t="shared" ref="C285:AC285" si="219">C276+C277+C278-C279+C280+C281+C282+C283+C284</f>
        <v>253.83349441664836</v>
      </c>
      <c r="D285" s="76">
        <f t="shared" si="219"/>
        <v>244.34114044141381</v>
      </c>
      <c r="E285" s="76">
        <f t="shared" si="219"/>
        <v>235.77989698926268</v>
      </c>
      <c r="F285" s="76">
        <f t="shared" si="219"/>
        <v>227.20621761677086</v>
      </c>
      <c r="G285" s="76">
        <f t="shared" si="219"/>
        <v>218.61559968410461</v>
      </c>
      <c r="H285" s="76">
        <f t="shared" si="219"/>
        <v>210.00205221883718</v>
      </c>
      <c r="I285" s="76">
        <f t="shared" si="219"/>
        <v>201.35772808661346</v>
      </c>
      <c r="J285" s="76">
        <f t="shared" si="219"/>
        <v>197.12533565582979</v>
      </c>
      <c r="K285" s="76">
        <f t="shared" si="219"/>
        <v>192.82939245059512</v>
      </c>
      <c r="L285" s="76">
        <f t="shared" si="219"/>
        <v>188.44938502842797</v>
      </c>
      <c r="M285" s="76">
        <f t="shared" si="219"/>
        <v>183.96138083285518</v>
      </c>
      <c r="N285" s="76">
        <f t="shared" si="219"/>
        <v>179.34051047252237</v>
      </c>
      <c r="O285" s="76">
        <f t="shared" si="219"/>
        <v>173.65162941555661</v>
      </c>
      <c r="P285" s="76">
        <f t="shared" si="219"/>
        <v>167.81169749169948</v>
      </c>
      <c r="Q285" s="76">
        <f t="shared" si="219"/>
        <v>161.84110203901352</v>
      </c>
      <c r="R285" s="76">
        <f t="shared" si="219"/>
        <v>155.79201603822037</v>
      </c>
      <c r="S285" s="76">
        <f t="shared" si="219"/>
        <v>149.74491168909714</v>
      </c>
      <c r="T285" s="76">
        <f t="shared" si="219"/>
        <v>145.25461955324297</v>
      </c>
      <c r="U285" s="76">
        <f t="shared" si="219"/>
        <v>140.91428108271137</v>
      </c>
      <c r="V285" s="76">
        <f t="shared" si="219"/>
        <v>136.77016823597802</v>
      </c>
      <c r="W285" s="76">
        <f t="shared" si="219"/>
        <v>132.8316638719478</v>
      </c>
      <c r="X285" s="76">
        <f t="shared" si="219"/>
        <v>129.07999951120465</v>
      </c>
      <c r="Y285" s="76">
        <f t="shared" si="219"/>
        <v>126.42002254034603</v>
      </c>
      <c r="Z285" s="76">
        <f t="shared" si="219"/>
        <v>123.87464443679923</v>
      </c>
      <c r="AA285" s="76">
        <f t="shared" si="219"/>
        <v>121.4136033533714</v>
      </c>
      <c r="AB285" s="76">
        <f t="shared" si="219"/>
        <v>119.01250939954065</v>
      </c>
      <c r="AC285" s="76">
        <f t="shared" si="219"/>
        <v>116.6530166564837</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1.3444866658711308E-3</v>
      </c>
      <c r="C288" s="65">
        <f t="shared" ref="C288:AC288" si="221">((1+C249)^C256)*C249/(((1+C249)^C256)-1)*(C245)/C261/(C258)</f>
        <v>1.344191716288432E-3</v>
      </c>
      <c r="D288" s="65">
        <f t="shared" si="221"/>
        <v>1.3437695025302714E-3</v>
      </c>
      <c r="E288" s="65">
        <f t="shared" si="221"/>
        <v>1.343165496057823E-3</v>
      </c>
      <c r="F288" s="65">
        <f t="shared" si="221"/>
        <v>1.3423022375280494E-3</v>
      </c>
      <c r="G288" s="65">
        <f t="shared" si="221"/>
        <v>1.3410701810481582E-3</v>
      </c>
      <c r="H288" s="65">
        <f t="shared" si="221"/>
        <v>1.3393154303642525E-3</v>
      </c>
      <c r="I288" s="65">
        <f t="shared" si="221"/>
        <v>1.3368239359397552E-3</v>
      </c>
      <c r="J288" s="65">
        <f t="shared" si="221"/>
        <v>1.3333024479880559E-3</v>
      </c>
      <c r="K288" s="65">
        <f t="shared" si="221"/>
        <v>1.3283583424367757E-3</v>
      </c>
      <c r="L288" s="65">
        <f t="shared" si="221"/>
        <v>1.3214842409546043E-3</v>
      </c>
      <c r="M288" s="65">
        <f t="shared" si="221"/>
        <v>1.3120601049831952E-3</v>
      </c>
      <c r="N288" s="65">
        <f t="shared" si="221"/>
        <v>1.2993950760872054E-3</v>
      </c>
      <c r="O288" s="65">
        <f t="shared" si="221"/>
        <v>1.2828394366165034E-3</v>
      </c>
      <c r="P288" s="65">
        <f t="shared" si="221"/>
        <v>1.2619904069694208E-3</v>
      </c>
      <c r="Q288" s="65">
        <f t="shared" si="221"/>
        <v>1.2369721698644108E-3</v>
      </c>
      <c r="R288" s="65">
        <f t="shared" si="221"/>
        <v>1.2086822064761966E-3</v>
      </c>
      <c r="S288" s="65">
        <f t="shared" si="221"/>
        <v>1.1788166081980577E-3</v>
      </c>
      <c r="T288" s="65">
        <f t="shared" si="221"/>
        <v>1.1495387090319981E-3</v>
      </c>
      <c r="U288" s="65">
        <f t="shared" si="221"/>
        <v>1.1228864347779014E-3</v>
      </c>
      <c r="V288" s="65">
        <f t="shared" si="221"/>
        <v>1.1002357970187589E-3</v>
      </c>
      <c r="W288" s="65">
        <f t="shared" si="221"/>
        <v>1.0820966926730776E-3</v>
      </c>
      <c r="X288" s="65">
        <f t="shared" si="221"/>
        <v>1.0682557509864208E-3</v>
      </c>
      <c r="Y288" s="65">
        <f t="shared" si="221"/>
        <v>1.0580815488016001E-3</v>
      </c>
      <c r="Z288" s="65">
        <f t="shared" si="221"/>
        <v>1.0508071414262214E-3</v>
      </c>
      <c r="AA288" s="65">
        <f t="shared" si="221"/>
        <v>1.0457088561380199E-3</v>
      </c>
      <c r="AB288" s="65">
        <f t="shared" si="221"/>
        <v>1.0421856276387688E-3</v>
      </c>
      <c r="AC288" s="65">
        <f t="shared" si="221"/>
        <v>1.0397745068075209E-3</v>
      </c>
    </row>
    <row r="289" spans="1:29" x14ac:dyDescent="0.25">
      <c r="A289" s="30" t="str">
        <f t="shared" si="220"/>
        <v>Residual value (vehicle)</v>
      </c>
      <c r="B289" s="68">
        <f>((1+B249)^B256)*B249/(((1+B249)^B256)-1)*(B246)/B261/(B258)</f>
        <v>-6.7337961459558828E-5</v>
      </c>
      <c r="C289" s="68">
        <f t="shared" ref="C289:AC289" si="222">((1+C249)^C256)*C249/(((1+C249)^C256)-1)*(C246)/C261/(C258)</f>
        <v>-6.7372372244207035E-5</v>
      </c>
      <c r="D289" s="68">
        <f t="shared" si="222"/>
        <v>-6.7421630515992462E-5</v>
      </c>
      <c r="E289" s="68">
        <f t="shared" si="222"/>
        <v>-6.7492097937778083E-5</v>
      </c>
      <c r="F289" s="68">
        <f t="shared" si="222"/>
        <v>-6.7592811432918334E-5</v>
      </c>
      <c r="G289" s="68">
        <f t="shared" si="222"/>
        <v>-6.773655135557234E-5</v>
      </c>
      <c r="H289" s="68">
        <f t="shared" si="222"/>
        <v>-6.7941272268694643E-5</v>
      </c>
      <c r="I289" s="68">
        <f t="shared" si="222"/>
        <v>-6.8231946618219335E-5</v>
      </c>
      <c r="J289" s="68">
        <f t="shared" si="222"/>
        <v>-6.8642786879250924E-5</v>
      </c>
      <c r="K289" s="68">
        <f t="shared" si="222"/>
        <v>-6.9219599193566945E-5</v>
      </c>
      <c r="L289" s="68">
        <f t="shared" si="222"/>
        <v>-7.0021577699820272E-5</v>
      </c>
      <c r="M289" s="68">
        <f t="shared" si="222"/>
        <v>-7.1121060229817985E-5</v>
      </c>
      <c r="N289" s="68">
        <f t="shared" si="222"/>
        <v>-7.2598646934350151E-5</v>
      </c>
      <c r="O289" s="68">
        <f t="shared" si="222"/>
        <v>-7.4530138205932043E-5</v>
      </c>
      <c r="P289" s="68">
        <f t="shared" si="222"/>
        <v>-7.6962524998091712E-5</v>
      </c>
      <c r="Q289" s="68">
        <f t="shared" si="222"/>
        <v>-7.9881319327009486E-5</v>
      </c>
      <c r="R289" s="68">
        <f t="shared" si="222"/>
        <v>-8.3181815055634491E-5</v>
      </c>
      <c r="S289" s="68">
        <f t="shared" si="222"/>
        <v>-8.6666134854750698E-5</v>
      </c>
      <c r="T289" s="68">
        <f t="shared" si="222"/>
        <v>-9.008188975745766E-5</v>
      </c>
      <c r="U289" s="68">
        <f t="shared" si="222"/>
        <v>-9.3191321753768942E-5</v>
      </c>
      <c r="V289" s="68">
        <f t="shared" si="222"/>
        <v>-9.583389615900226E-5</v>
      </c>
      <c r="W289" s="68">
        <f t="shared" si="222"/>
        <v>-9.7950124999331722E-5</v>
      </c>
      <c r="X289" s="68">
        <f t="shared" si="222"/>
        <v>-9.9564901529441686E-5</v>
      </c>
      <c r="Y289" s="68">
        <f t="shared" si="222"/>
        <v>-1.0075189178433743E-4</v>
      </c>
      <c r="Z289" s="68">
        <f t="shared" si="222"/>
        <v>-1.0160057264479828E-4</v>
      </c>
      <c r="AA289" s="68">
        <f t="shared" si="222"/>
        <v>-1.0219537259508843E-4</v>
      </c>
      <c r="AB289" s="68">
        <f t="shared" si="222"/>
        <v>-1.0260641592000108E-4</v>
      </c>
      <c r="AC289" s="68">
        <f t="shared" si="222"/>
        <v>-1.0288771335031333E-4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4.305425874053325E-4</v>
      </c>
      <c r="C293" s="66">
        <f t="shared" ref="C293:AC293" si="226">C251/C261/(C258)</f>
        <v>4.305425874053325E-4</v>
      </c>
      <c r="D293" s="66">
        <f t="shared" si="226"/>
        <v>4.305425874053325E-4</v>
      </c>
      <c r="E293" s="66">
        <f t="shared" si="226"/>
        <v>4.305425874053325E-4</v>
      </c>
      <c r="F293" s="66">
        <f t="shared" si="226"/>
        <v>4.305425874053325E-4</v>
      </c>
      <c r="G293" s="66">
        <f t="shared" si="226"/>
        <v>4.305425874053325E-4</v>
      </c>
      <c r="H293" s="66">
        <f t="shared" si="226"/>
        <v>4.305425874053325E-4</v>
      </c>
      <c r="I293" s="66">
        <f t="shared" si="226"/>
        <v>4.305425874053325E-4</v>
      </c>
      <c r="J293" s="66">
        <f t="shared" si="226"/>
        <v>4.305425874053325E-4</v>
      </c>
      <c r="K293" s="66">
        <f t="shared" si="226"/>
        <v>4.305425874053325E-4</v>
      </c>
      <c r="L293" s="66">
        <f t="shared" si="226"/>
        <v>4.305425874053325E-4</v>
      </c>
      <c r="M293" s="66">
        <f t="shared" si="226"/>
        <v>4.305425874053325E-4</v>
      </c>
      <c r="N293" s="66">
        <f t="shared" si="226"/>
        <v>4.305425874053325E-4</v>
      </c>
      <c r="O293" s="66">
        <f t="shared" si="226"/>
        <v>4.305425874053325E-4</v>
      </c>
      <c r="P293" s="66">
        <f t="shared" si="226"/>
        <v>4.305425874053325E-4</v>
      </c>
      <c r="Q293" s="66">
        <f t="shared" si="226"/>
        <v>4.305425874053325E-4</v>
      </c>
      <c r="R293" s="66">
        <f t="shared" si="226"/>
        <v>4.305425874053325E-4</v>
      </c>
      <c r="S293" s="66">
        <f t="shared" si="226"/>
        <v>4.305425874053325E-4</v>
      </c>
      <c r="T293" s="66">
        <f t="shared" si="226"/>
        <v>4.305425874053325E-4</v>
      </c>
      <c r="U293" s="66">
        <f t="shared" si="226"/>
        <v>4.305425874053325E-4</v>
      </c>
      <c r="V293" s="66">
        <f t="shared" si="226"/>
        <v>4.305425874053325E-4</v>
      </c>
      <c r="W293" s="66">
        <f t="shared" si="226"/>
        <v>4.305425874053325E-4</v>
      </c>
      <c r="X293" s="66">
        <f t="shared" si="226"/>
        <v>4.305425874053325E-4</v>
      </c>
      <c r="Y293" s="66">
        <f t="shared" si="226"/>
        <v>4.305425874053325E-4</v>
      </c>
      <c r="Z293" s="66">
        <f t="shared" si="226"/>
        <v>4.305425874053325E-4</v>
      </c>
      <c r="AA293" s="66">
        <f t="shared" si="226"/>
        <v>4.305425874053325E-4</v>
      </c>
      <c r="AB293" s="66">
        <f t="shared" si="226"/>
        <v>4.305425874053325E-4</v>
      </c>
      <c r="AC293" s="66">
        <f t="shared" si="226"/>
        <v>4.305425874053325E-4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2.4929435480202329E-2</v>
      </c>
      <c r="C295" s="66">
        <f t="shared" ref="C295:AC295" si="228">C253*C254*C261/C261/(C258)</f>
        <v>2.3925969605526138E-2</v>
      </c>
      <c r="D295" s="66">
        <f t="shared" si="228"/>
        <v>2.2921959175414862E-2</v>
      </c>
      <c r="E295" s="66">
        <f t="shared" si="228"/>
        <v>2.2016681961250777E-2</v>
      </c>
      <c r="F295" s="66">
        <f t="shared" si="228"/>
        <v>2.1110378274810944E-2</v>
      </c>
      <c r="G295" s="66">
        <f t="shared" si="228"/>
        <v>2.020269397251865E-2</v>
      </c>
      <c r="H295" s="66">
        <f t="shared" si="228"/>
        <v>1.9293166939854573E-2</v>
      </c>
      <c r="I295" s="66">
        <f t="shared" si="228"/>
        <v>1.8381205814213389E-2</v>
      </c>
      <c r="J295" s="66">
        <f t="shared" si="228"/>
        <v>1.7937265927528374E-2</v>
      </c>
      <c r="K295" s="66">
        <f t="shared" si="228"/>
        <v>1.7488189680818875E-2</v>
      </c>
      <c r="L295" s="66">
        <f t="shared" si="228"/>
        <v>1.7032372911900722E-2</v>
      </c>
      <c r="M295" s="66">
        <f t="shared" si="228"/>
        <v>1.6567975451505536E-2</v>
      </c>
      <c r="N295" s="66">
        <f t="shared" si="228"/>
        <v>1.6093137076594651E-2</v>
      </c>
      <c r="O295" s="66">
        <f t="shared" si="228"/>
        <v>1.5509626211890823E-2</v>
      </c>
      <c r="P295" s="66">
        <f t="shared" si="228"/>
        <v>1.491492541416529E-2</v>
      </c>
      <c r="Q295" s="66">
        <f t="shared" si="228"/>
        <v>1.4311053402986945E-2</v>
      </c>
      <c r="R295" s="66">
        <f t="shared" si="228"/>
        <v>1.3702528941384932E-2</v>
      </c>
      <c r="S295" s="66">
        <f t="shared" si="228"/>
        <v>1.3095973637332746E-2</v>
      </c>
      <c r="T295" s="66">
        <f t="shared" si="228"/>
        <v>1.2653504102422237E-2</v>
      </c>
      <c r="U295" s="66">
        <f t="shared" si="228"/>
        <v>1.2223970732425912E-2</v>
      </c>
      <c r="V295" s="66">
        <f t="shared" si="228"/>
        <v>1.1810733484618505E-2</v>
      </c>
      <c r="W295" s="66">
        <f t="shared" si="228"/>
        <v>1.1414215869229888E-2</v>
      </c>
      <c r="X295" s="66">
        <f t="shared" si="228"/>
        <v>1.1032670067791295E-2</v>
      </c>
      <c r="Y295" s="66">
        <f t="shared" si="228"/>
        <v>1.0762552215695709E-2</v>
      </c>
      <c r="Z295" s="66">
        <f t="shared" si="228"/>
        <v>1.0501323123662048E-2</v>
      </c>
      <c r="AA295" s="66">
        <f t="shared" si="228"/>
        <v>1.0246588581024577E-2</v>
      </c>
      <c r="AB295" s="66">
        <f t="shared" si="228"/>
        <v>9.9964388365703528E-3</v>
      </c>
      <c r="AC295" s="66">
        <f t="shared" si="228"/>
        <v>9.7494494830798577E-3</v>
      </c>
    </row>
    <row r="296" spans="1:29" x14ac:dyDescent="0.25">
      <c r="A296" s="59" t="str">
        <f>A259</f>
        <v>Market failure (av. utilization)</v>
      </c>
      <c r="B296" s="66">
        <f t="shared" ref="B296:AC296" si="229">B285/B259-B285/B258</f>
        <v>2.5721060746062008E-2</v>
      </c>
      <c r="C296" s="66">
        <f t="shared" si="229"/>
        <v>2.4794480529098745E-2</v>
      </c>
      <c r="D296" s="66">
        <f t="shared" si="229"/>
        <v>2.3867266465583768E-2</v>
      </c>
      <c r="E296" s="66">
        <f t="shared" si="229"/>
        <v>2.3031003368914549E-2</v>
      </c>
      <c r="F296" s="66">
        <f t="shared" si="229"/>
        <v>2.2193525530331711E-2</v>
      </c>
      <c r="G296" s="66">
        <f t="shared" si="229"/>
        <v>2.1354393131536472E-2</v>
      </c>
      <c r="H296" s="66">
        <f t="shared" si="229"/>
        <v>2.0513020973756992E-2</v>
      </c>
      <c r="I296" s="66">
        <f t="shared" si="229"/>
        <v>1.9668642548142951E-2</v>
      </c>
      <c r="J296" s="66">
        <f t="shared" si="229"/>
        <v>1.9255222042083492E-2</v>
      </c>
      <c r="K296" s="66">
        <f t="shared" si="229"/>
        <v>1.883559389016802E-2</v>
      </c>
      <c r="L296" s="66">
        <f t="shared" si="229"/>
        <v>1.8407754337331179E-2</v>
      </c>
      <c r="M296" s="66">
        <f t="shared" si="229"/>
        <v>1.796936564911894E-2</v>
      </c>
      <c r="N296" s="66">
        <f t="shared" si="229"/>
        <v>1.7517998580954562E-2</v>
      </c>
      <c r="O296" s="66">
        <f t="shared" si="229"/>
        <v>1.6962308123619693E-2</v>
      </c>
      <c r="P296" s="66">
        <f t="shared" si="229"/>
        <v>1.6391863002852208E-2</v>
      </c>
      <c r="Q296" s="66">
        <f t="shared" si="229"/>
        <v>1.5808654655825496E-2</v>
      </c>
      <c r="R296" s="66">
        <f t="shared" si="229"/>
        <v>1.521777934439271E-2</v>
      </c>
      <c r="S296" s="66">
        <f t="shared" si="229"/>
        <v>1.4627097600888608E-2</v>
      </c>
      <c r="T296" s="66">
        <f t="shared" si="229"/>
        <v>1.4188485426446202E-2</v>
      </c>
      <c r="U296" s="66">
        <f t="shared" si="229"/>
        <v>1.3764520740679988E-2</v>
      </c>
      <c r="V296" s="66">
        <f t="shared" si="229"/>
        <v>1.3359723393013728E-2</v>
      </c>
      <c r="W296" s="66">
        <f t="shared" si="229"/>
        <v>1.2975009902021762E-2</v>
      </c>
      <c r="X296" s="66">
        <f t="shared" si="229"/>
        <v>1.2608546960801431E-2</v>
      </c>
      <c r="Y296" s="66">
        <f t="shared" si="229"/>
        <v>1.2348720150461149E-2</v>
      </c>
      <c r="Z296" s="66">
        <f t="shared" si="229"/>
        <v>1.2100087368673917E-2</v>
      </c>
      <c r="AA296" s="66">
        <f t="shared" si="229"/>
        <v>1.1859692635249955E-2</v>
      </c>
      <c r="AB296" s="66">
        <f t="shared" si="229"/>
        <v>1.1625153543300674E-2</v>
      </c>
      <c r="AC296" s="66">
        <f t="shared" si="229"/>
        <v>1.1394678061683388E-2</v>
      </c>
    </row>
    <row r="297" spans="1:29" x14ac:dyDescent="0.25">
      <c r="A297" s="59" t="str">
        <f>A260</f>
        <v>Payload loss (fuel)</v>
      </c>
      <c r="B297" s="66">
        <f>B285/(B258-B260)-B285/B258</f>
        <v>1.1610201031208543E-3</v>
      </c>
      <c r="C297" s="66">
        <f t="shared" ref="C297:AC297" si="230">C285/(C258-C260)-C285/C258</f>
        <v>1.1191953016607067E-3</v>
      </c>
      <c r="D297" s="66">
        <f t="shared" si="230"/>
        <v>1.0773418890714891E-3</v>
      </c>
      <c r="E297" s="66">
        <f t="shared" si="230"/>
        <v>1.0395939020690602E-3</v>
      </c>
      <c r="F297" s="66">
        <f t="shared" si="230"/>
        <v>1.0017910829663614E-3</v>
      </c>
      <c r="G297" s="66">
        <f t="shared" si="230"/>
        <v>9.6391357885407605E-4</v>
      </c>
      <c r="H297" s="66">
        <f t="shared" si="230"/>
        <v>9.2593497450986495E-4</v>
      </c>
      <c r="I297" s="66">
        <f t="shared" si="230"/>
        <v>8.8782067057589786E-4</v>
      </c>
      <c r="J297" s="66">
        <f t="shared" si="230"/>
        <v>8.6915932828849143E-4</v>
      </c>
      <c r="K297" s="66">
        <f t="shared" si="230"/>
        <v>8.5021777976452759E-4</v>
      </c>
      <c r="L297" s="66">
        <f t="shared" si="230"/>
        <v>8.3090557772675516E-4</v>
      </c>
      <c r="M297" s="66">
        <f t="shared" si="230"/>
        <v>8.1111719943939564E-4</v>
      </c>
      <c r="N297" s="66">
        <f t="shared" si="230"/>
        <v>7.9074299150141969E-4</v>
      </c>
      <c r="O297" s="66">
        <f t="shared" si="230"/>
        <v>7.6565974169116868E-4</v>
      </c>
      <c r="P297" s="66">
        <f t="shared" si="230"/>
        <v>7.3991048276763477E-4</v>
      </c>
      <c r="Q297" s="66">
        <f t="shared" si="230"/>
        <v>7.1358510599212055E-4</v>
      </c>
      <c r="R297" s="66">
        <f t="shared" si="230"/>
        <v>6.8691365096217039E-4</v>
      </c>
      <c r="S297" s="66">
        <f t="shared" si="230"/>
        <v>6.6025093337344562E-4</v>
      </c>
      <c r="T297" s="66">
        <f t="shared" si="230"/>
        <v>6.4045246716597573E-4</v>
      </c>
      <c r="U297" s="66">
        <f t="shared" si="230"/>
        <v>6.2131517232236026E-4</v>
      </c>
      <c r="V297" s="66">
        <f t="shared" si="230"/>
        <v>6.0304306982353686E-4</v>
      </c>
      <c r="W297" s="66">
        <f t="shared" si="230"/>
        <v>5.8567753029959389E-4</v>
      </c>
      <c r="X297" s="66">
        <f t="shared" si="230"/>
        <v>5.6913580031395412E-4</v>
      </c>
      <c r="Y297" s="66">
        <f t="shared" si="230"/>
        <v>5.5740750679164966E-4</v>
      </c>
      <c r="Z297" s="66">
        <f t="shared" si="230"/>
        <v>5.4618449928042073E-4</v>
      </c>
      <c r="AA297" s="66">
        <f t="shared" si="230"/>
        <v>5.3533334811892153E-4</v>
      </c>
      <c r="AB297" s="66">
        <f t="shared" si="230"/>
        <v>5.2474651410732223E-4</v>
      </c>
      <c r="AC297" s="66">
        <f t="shared" si="230"/>
        <v>5.143431069509867E-4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5.47327667247514E-2</v>
      </c>
      <c r="C299" s="67">
        <f t="shared" ref="C299:AC299" si="232">C288+C289+C290+C291+C292+C293+C294+C295+C296+C297+C298</f>
        <v>5.2760566471284451E-2</v>
      </c>
      <c r="D299" s="67">
        <f t="shared" si="232"/>
        <v>5.0787017093039039E-2</v>
      </c>
      <c r="E299" s="67">
        <f t="shared" si="232"/>
        <v>4.9007054321309071E-2</v>
      </c>
      <c r="F299" s="67">
        <f t="shared" si="232"/>
        <v>4.7224506005158789E-2</v>
      </c>
      <c r="G299" s="67">
        <f t="shared" si="232"/>
        <v>4.5438436003556418E-2</v>
      </c>
      <c r="H299" s="67">
        <f t="shared" si="232"/>
        <v>4.3647598737171625E-2</v>
      </c>
      <c r="I299" s="67">
        <f t="shared" si="232"/>
        <v>4.1850362713208411E-2</v>
      </c>
      <c r="J299" s="67">
        <f t="shared" si="232"/>
        <v>4.0970408649963805E-2</v>
      </c>
      <c r="K299" s="67">
        <f t="shared" si="232"/>
        <v>4.0077241784949272E-2</v>
      </c>
      <c r="L299" s="67">
        <f t="shared" si="232"/>
        <v>3.9166597181168078E-2</v>
      </c>
      <c r="M299" s="67">
        <f t="shared" si="232"/>
        <v>3.823349903577189E-2</v>
      </c>
      <c r="N299" s="67">
        <f t="shared" si="232"/>
        <v>3.7272776769158127E-2</v>
      </c>
      <c r="O299" s="67">
        <f t="shared" si="232"/>
        <v>3.6090005066566892E-2</v>
      </c>
      <c r="P299" s="67">
        <f t="shared" si="232"/>
        <v>3.4875828472711097E-2</v>
      </c>
      <c r="Q299" s="67">
        <f t="shared" si="232"/>
        <v>3.3634485706296596E-2</v>
      </c>
      <c r="R299" s="67">
        <f t="shared" si="232"/>
        <v>3.2376824019115014E-2</v>
      </c>
      <c r="S299" s="67">
        <f t="shared" si="232"/>
        <v>3.1119574335892745E-2</v>
      </c>
      <c r="T299" s="67">
        <f t="shared" si="232"/>
        <v>3.0186000506263591E-2</v>
      </c>
      <c r="U299" s="67">
        <f t="shared" si="232"/>
        <v>2.9283603449407031E-2</v>
      </c>
      <c r="V299" s="67">
        <f t="shared" si="232"/>
        <v>2.8422003539270161E-2</v>
      </c>
      <c r="W299" s="67">
        <f t="shared" si="232"/>
        <v>2.7603151560179624E-2</v>
      </c>
      <c r="X299" s="67">
        <f t="shared" si="232"/>
        <v>2.6823145369318298E-2</v>
      </c>
      <c r="Y299" s="67">
        <f t="shared" si="232"/>
        <v>2.6270111220920409E-2</v>
      </c>
      <c r="Z299" s="67">
        <f t="shared" si="232"/>
        <v>2.5740903251352445E-2</v>
      </c>
      <c r="AA299" s="67">
        <f t="shared" si="232"/>
        <v>2.5229229738891024E-2</v>
      </c>
      <c r="AB299" s="67">
        <f t="shared" si="232"/>
        <v>2.4730019796651754E-2</v>
      </c>
      <c r="AC299" s="67">
        <f t="shared" si="232"/>
        <v>2.4239459136126077E-2</v>
      </c>
    </row>
    <row r="301" spans="1:29" x14ac:dyDescent="0.25">
      <c r="B301" s="40"/>
    </row>
    <row r="324" spans="1:44" s="3" customFormat="1" ht="21" x14ac:dyDescent="0.35">
      <c r="A324" s="2" t="str">
        <f>'Parameter Input'!A248</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Input'!$L$261</f>
        <v>19500000</v>
      </c>
      <c r="C334" s="42">
        <f>'Parameter Input'!$M$261</f>
        <v>15000000</v>
      </c>
      <c r="D334" s="1" t="s">
        <v>15</v>
      </c>
      <c r="L334" s="51">
        <f>'Parameter Input'!$O$261</f>
        <v>17</v>
      </c>
      <c r="M334" s="52">
        <v>0</v>
      </c>
      <c r="N334" s="52">
        <v>1</v>
      </c>
      <c r="O334" s="52">
        <f>'Parameter Input'!$P$261</f>
        <v>0.9</v>
      </c>
      <c r="P334" s="53">
        <f>'Parameter Input'!$Q$261</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Input'!$L$262</f>
        <v>-975000</v>
      </c>
      <c r="C335" s="61">
        <f>'Parameter Input'!$M$262</f>
        <v>-1500000</v>
      </c>
      <c r="D335" s="1" t="s">
        <v>15</v>
      </c>
      <c r="L335" s="54">
        <f>'Parameter Input'!$O$262</f>
        <v>17</v>
      </c>
      <c r="M335" s="37">
        <v>0</v>
      </c>
      <c r="N335" s="37">
        <v>1</v>
      </c>
      <c r="O335" s="37">
        <f>'Parameter Input'!$P$262</f>
        <v>0.9</v>
      </c>
      <c r="P335" s="55">
        <f>'Parameter Input'!$Q$262</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Input'!$L$268</f>
        <v>0.06</v>
      </c>
      <c r="C338" s="91">
        <f>'Parameter Input'!$M$268</f>
        <v>0.06</v>
      </c>
      <c r="D338" s="1" t="s">
        <v>57</v>
      </c>
      <c r="L338" s="54">
        <f>'Parameter Input'!$O$268</f>
        <v>17</v>
      </c>
      <c r="M338" s="37">
        <v>0</v>
      </c>
      <c r="N338" s="37">
        <v>1</v>
      </c>
      <c r="O338" s="37">
        <f>'Parameter Input'!$P$268</f>
        <v>0.9</v>
      </c>
      <c r="P338" s="55">
        <f>'Parameter Input'!$Q$268</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Input'!$L$264</f>
        <v>488235.29411764705</v>
      </c>
      <c r="C340" s="61">
        <f>'Parameter Input'!$M$264</f>
        <v>488235.29411764705</v>
      </c>
      <c r="D340" s="1" t="s">
        <v>38</v>
      </c>
      <c r="L340" s="54">
        <f>'Parameter Input'!$O$264</f>
        <v>17</v>
      </c>
      <c r="M340" s="37">
        <v>0</v>
      </c>
      <c r="N340" s="37">
        <v>1</v>
      </c>
      <c r="O340" s="37">
        <f>'Parameter Input'!$P$264</f>
        <v>0.9</v>
      </c>
      <c r="P340" s="55">
        <f>'Parameter Input'!$Q$264</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Input'!$L$265</f>
        <v>647</v>
      </c>
      <c r="C342" s="61">
        <f>'Parameter Input'!$M$265</f>
        <v>600</v>
      </c>
      <c r="D342" s="1" t="s">
        <v>60</v>
      </c>
      <c r="L342" s="54">
        <f>'Parameter Input'!$O$265</f>
        <v>17</v>
      </c>
      <c r="M342" s="37">
        <v>0</v>
      </c>
      <c r="N342" s="37">
        <v>1</v>
      </c>
      <c r="O342" s="37">
        <f>'Parameter Input'!$P$265</f>
        <v>0.9</v>
      </c>
      <c r="P342" s="55">
        <f>'Parameter Input'!$Q$265</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Input'!$L$266</f>
        <v>0.46076973995226939</v>
      </c>
      <c r="C343" s="61">
        <f>'Parameter Input'!$M$266</f>
        <v>0.14224714585492179</v>
      </c>
      <c r="D343" s="1" t="s">
        <v>68</v>
      </c>
      <c r="L343" s="54">
        <f>'Parameter Input'!$O$266</f>
        <v>17</v>
      </c>
      <c r="M343" s="37">
        <v>0</v>
      </c>
      <c r="N343" s="37">
        <v>1</v>
      </c>
      <c r="O343" s="37">
        <f>'Parameter Input'!$P$266</f>
        <v>0.9</v>
      </c>
      <c r="P343" s="55">
        <f>'Parameter Input'!$Q$266</f>
        <v>0.4</v>
      </c>
      <c r="Q343" s="4">
        <f t="shared" si="233"/>
        <v>0.99780374543478534</v>
      </c>
      <c r="R343" s="4">
        <f t="shared" si="233"/>
        <v>0.99685359315256394</v>
      </c>
      <c r="S343" s="4">
        <f t="shared" si="233"/>
        <v>0.99549347132349975</v>
      </c>
      <c r="T343" s="4">
        <f t="shared" ref="T343:AI350" si="234">$N343+($M343-$N343)*((1/(1+EXP(-$P343*(T$9-$L343)))^$O343))</f>
        <v>0.99354772139898062</v>
      </c>
      <c r="U343" s="4">
        <f t="shared" si="234"/>
        <v>0.99076681540580536</v>
      </c>
      <c r="V343" s="4">
        <f t="shared" si="234"/>
        <v>0.9867978615748374</v>
      </c>
      <c r="W343" s="4">
        <f t="shared" si="234"/>
        <v>0.98114509762858249</v>
      </c>
      <c r="X343" s="4">
        <f t="shared" si="234"/>
        <v>0.97311898315872036</v>
      </c>
      <c r="Y343" s="4">
        <f t="shared" si="234"/>
        <v>0.96177484161592774</v>
      </c>
      <c r="Z343" s="4">
        <f t="shared" si="234"/>
        <v>0.94584787155511363</v>
      </c>
      <c r="AA343" s="4">
        <f t="shared" si="234"/>
        <v>0.92370360150141495</v>
      </c>
      <c r="AB343" s="4">
        <f t="shared" si="234"/>
        <v>0.89334463567658451</v>
      </c>
      <c r="AC343" s="4">
        <f t="shared" si="234"/>
        <v>0.85254543874327005</v>
      </c>
      <c r="AD343" s="4">
        <f t="shared" si="234"/>
        <v>0.79921300652623883</v>
      </c>
      <c r="AE343" s="4">
        <f t="shared" si="234"/>
        <v>0.73204982249993378</v>
      </c>
      <c r="AF343" s="4">
        <f t="shared" si="234"/>
        <v>0.65145592958786691</v>
      </c>
      <c r="AG343" s="4">
        <f t="shared" si="234"/>
        <v>0.56032247880849573</v>
      </c>
      <c r="AH343" s="4">
        <f t="shared" si="234"/>
        <v>0.46411326873185343</v>
      </c>
      <c r="AI343" s="4">
        <f t="shared" si="234"/>
        <v>0.36979727595523937</v>
      </c>
      <c r="AJ343" s="4">
        <f t="shared" ref="AJ343:AR350" si="235">$N343+($M343-$N343)*((1/(1+EXP(-$P343*(AJ$9-$L343)))^$O343))</f>
        <v>0.28393948637231203</v>
      </c>
      <c r="AK343" s="4">
        <f t="shared" si="235"/>
        <v>0.21097259161117732</v>
      </c>
      <c r="AL343" s="4">
        <f t="shared" si="235"/>
        <v>0.15253917653798199</v>
      </c>
      <c r="AM343" s="4">
        <f t="shared" si="235"/>
        <v>0.10795188737709993</v>
      </c>
      <c r="AN343" s="4">
        <f t="shared" si="235"/>
        <v>7.5176653938091809E-2</v>
      </c>
      <c r="AO343" s="4">
        <f t="shared" si="235"/>
        <v>5.1742836177502194E-2</v>
      </c>
      <c r="AP343" s="4">
        <f t="shared" si="235"/>
        <v>3.5319190625345942E-2</v>
      </c>
      <c r="AQ343" s="4">
        <f t="shared" si="235"/>
        <v>2.3969442072658165E-2</v>
      </c>
      <c r="AR343" s="4">
        <f t="shared" si="235"/>
        <v>1.6202243558389728E-2</v>
      </c>
    </row>
    <row r="344" spans="1:44" x14ac:dyDescent="0.25">
      <c r="A344" s="24" t="s">
        <v>206</v>
      </c>
      <c r="B344" s="115">
        <f>'Parameter Input'!$L$269</f>
        <v>0</v>
      </c>
      <c r="C344" s="116">
        <f>'Parameter Input'!$M$269</f>
        <v>0</v>
      </c>
      <c r="D344" s="1" t="s">
        <v>76</v>
      </c>
      <c r="L344" s="54">
        <f>'Parameter Input'!$O$269</f>
        <v>17</v>
      </c>
      <c r="M344" s="37">
        <v>0</v>
      </c>
      <c r="N344" s="37">
        <v>1</v>
      </c>
      <c r="O344" s="37">
        <f>'Parameter Input'!$P$269</f>
        <v>0.9</v>
      </c>
      <c r="P344" s="55">
        <f>'Parameter Input'!$Q$269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Input'!$L$263</f>
        <v>25</v>
      </c>
      <c r="C345" s="61">
        <f>'Parameter Input'!$M$263</f>
        <v>25</v>
      </c>
      <c r="D345" s="1" t="s">
        <v>42</v>
      </c>
      <c r="L345" s="54">
        <f>'Parameter Input'!$O$263</f>
        <v>17</v>
      </c>
      <c r="M345" s="37">
        <v>0</v>
      </c>
      <c r="N345" s="37">
        <v>1</v>
      </c>
      <c r="O345" s="37">
        <f>'Parameter Input'!$P$263</f>
        <v>0.9</v>
      </c>
      <c r="P345" s="55">
        <f>'Parameter Input'!$Q$263</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Input'!$L$267</f>
        <v>0.04</v>
      </c>
      <c r="C349" s="46">
        <f>'Parameter Input'!$M$267</f>
        <v>0.04</v>
      </c>
      <c r="D349" s="1" t="s">
        <v>57</v>
      </c>
      <c r="L349" s="54">
        <f>'Parameter Input'!$O$267</f>
        <v>17</v>
      </c>
      <c r="M349" s="37">
        <v>0</v>
      </c>
      <c r="N349" s="37">
        <v>1</v>
      </c>
      <c r="O349" s="37">
        <f>'Parameter Input'!$P$267</f>
        <v>0.9</v>
      </c>
      <c r="P349" s="55">
        <f>'Parameter Input'!$Q$267</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19490116.854456533</v>
      </c>
      <c r="C354" s="62">
        <f t="shared" ref="C354:C362" si="240">$B334+($C334-$B334)*(1-R334)</f>
        <v>19485841.169186536</v>
      </c>
      <c r="D354" s="62">
        <f t="shared" ref="D354:D362" si="241">$B334+($C334-$B334)*(1-S334)</f>
        <v>19479720.62095575</v>
      </c>
      <c r="E354" s="62">
        <f t="shared" ref="E354:E362" si="242">$B334+($C334-$B334)*(1-T334)</f>
        <v>19470964.746295411</v>
      </c>
      <c r="F354" s="62">
        <f t="shared" ref="F354:F362" si="243">$B334+($C334-$B334)*(1-U334)</f>
        <v>19458450.669326123</v>
      </c>
      <c r="G354" s="62">
        <f t="shared" ref="G354:G362" si="244">$B334+($C334-$B334)*(1-V334)</f>
        <v>19440590.37708677</v>
      </c>
      <c r="H354" s="62">
        <f t="shared" ref="H354:H362" si="245">$B334+($C334-$B334)*(1-W334)</f>
        <v>19415152.939328622</v>
      </c>
      <c r="I354" s="62">
        <f t="shared" ref="I354:I362" si="246">$B334+($C334-$B334)*(1-X334)</f>
        <v>19379035.42421424</v>
      </c>
      <c r="J354" s="62">
        <f t="shared" ref="J354:J362" si="247">$B334+($C334-$B334)*(1-Y334)</f>
        <v>19327986.787271675</v>
      </c>
      <c r="K354" s="62">
        <f t="shared" ref="K354:K362" si="248">$B334+($C334-$B334)*(1-Z334)</f>
        <v>19256315.421998013</v>
      </c>
      <c r="L354" s="62">
        <f t="shared" ref="L354:L362" si="249">$B334+($C334-$B334)*(1-AA334)</f>
        <v>19156666.206756368</v>
      </c>
      <c r="M354" s="62">
        <f t="shared" ref="M354:M362" si="250">$B334+($C334-$B334)*(1-AB334)</f>
        <v>19020050.860544629</v>
      </c>
      <c r="N354" s="62">
        <f t="shared" ref="N354:N362" si="251">$B334+($C334-$B334)*(1-AC334)</f>
        <v>18836454.474344715</v>
      </c>
      <c r="O354" s="62">
        <f t="shared" ref="O354:O362" si="252">$B334+($C334-$B334)*(1-AD334)</f>
        <v>18596458.529368076</v>
      </c>
      <c r="P354" s="62">
        <f t="shared" ref="P354:P362" si="253">$B334+($C334-$B334)*(1-AE334)</f>
        <v>18294224.201249704</v>
      </c>
      <c r="Q354" s="62">
        <f t="shared" ref="Q354:Q362" si="254">$B334+($C334-$B334)*(1-AF334)</f>
        <v>17931551.6831454</v>
      </c>
      <c r="R354" s="62">
        <f t="shared" ref="R354:R362" si="255">$B334+($C334-$B334)*(1-AG334)</f>
        <v>17521451.154638231</v>
      </c>
      <c r="S354" s="62">
        <f t="shared" ref="S354:S362" si="256">$B334+($C334-$B334)*(1-AH334)</f>
        <v>17088509.709293339</v>
      </c>
      <c r="T354" s="62">
        <f t="shared" ref="T354:T362" si="257">$B334+($C334-$B334)*(1-AI334)</f>
        <v>16664087.741798578</v>
      </c>
      <c r="U354" s="62">
        <f t="shared" ref="U354:U362" si="258">$B334+($C334-$B334)*(1-AJ334)</f>
        <v>16277727.688675404</v>
      </c>
      <c r="V354" s="62">
        <f t="shared" ref="V354:V362" si="259">$B334+($C334-$B334)*(1-AK334)</f>
        <v>15949376.662250299</v>
      </c>
      <c r="W354" s="62">
        <f t="shared" ref="W354:W362" si="260">$B334+($C334-$B334)*(1-AL334)</f>
        <v>15686426.294420918</v>
      </c>
      <c r="X354" s="62">
        <f t="shared" ref="X354:X362" si="261">$B334+($C334-$B334)*(1-AM334)</f>
        <v>15485783.493196949</v>
      </c>
      <c r="Y354" s="62">
        <f t="shared" ref="Y354:Y362" si="262">$B334+($C334-$B334)*(1-AN334)</f>
        <v>15338294.942721413</v>
      </c>
      <c r="Z354" s="62">
        <f t="shared" ref="Z354:Z362" si="263">$B334+($C334-$B334)*(1-AO334)</f>
        <v>15232842.76279876</v>
      </c>
      <c r="AA354" s="62">
        <f t="shared" ref="AA354:AA362" si="264">$B334+($C334-$B334)*(1-AP334)</f>
        <v>15158936.357814057</v>
      </c>
      <c r="AB354" s="62">
        <f t="shared" ref="AB354:AB362" si="265">$B334+($C334-$B334)*(1-AQ334)</f>
        <v>15107862.489326961</v>
      </c>
      <c r="AC354" s="62">
        <f t="shared" ref="AC354:AC362" si="266">$B334+($C334-$B334)*(1-AR334)</f>
        <v>15072910.096012753</v>
      </c>
    </row>
    <row r="355" spans="1:29" x14ac:dyDescent="0.25">
      <c r="A355" s="30" t="str">
        <f t="shared" si="238"/>
        <v>Residual value (vehicle)</v>
      </c>
      <c r="B355" s="62">
        <f t="shared" si="239"/>
        <v>-976153.03364673769</v>
      </c>
      <c r="C355" s="62">
        <f t="shared" si="240"/>
        <v>-976651.86359490396</v>
      </c>
      <c r="D355" s="62">
        <f t="shared" si="241"/>
        <v>-977365.92755516258</v>
      </c>
      <c r="E355" s="62">
        <f t="shared" si="242"/>
        <v>-978387.4462655352</v>
      </c>
      <c r="F355" s="62">
        <f t="shared" si="243"/>
        <v>-979847.4219119522</v>
      </c>
      <c r="G355" s="62">
        <f t="shared" si="244"/>
        <v>-981931.12267321034</v>
      </c>
      <c r="H355" s="62">
        <f t="shared" si="245"/>
        <v>-984898.82374499424</v>
      </c>
      <c r="I355" s="62">
        <f t="shared" si="246"/>
        <v>-989112.53384167177</v>
      </c>
      <c r="J355" s="62">
        <f t="shared" si="247"/>
        <v>-995068.20815163793</v>
      </c>
      <c r="K355" s="62">
        <f t="shared" si="248"/>
        <v>-1003429.8674335653</v>
      </c>
      <c r="L355" s="62">
        <f t="shared" si="249"/>
        <v>-1015055.6092117572</v>
      </c>
      <c r="M355" s="62">
        <f t="shared" si="250"/>
        <v>-1030994.0662697931</v>
      </c>
      <c r="N355" s="62">
        <f t="shared" si="251"/>
        <v>-1052413.6446597832</v>
      </c>
      <c r="O355" s="62">
        <f t="shared" si="252"/>
        <v>-1080413.1715737246</v>
      </c>
      <c r="P355" s="62">
        <f t="shared" si="253"/>
        <v>-1115673.8431875347</v>
      </c>
      <c r="Q355" s="62">
        <f t="shared" si="254"/>
        <v>-1157985.6369663698</v>
      </c>
      <c r="R355" s="62">
        <f t="shared" si="255"/>
        <v>-1205830.6986255397</v>
      </c>
      <c r="S355" s="62">
        <f t="shared" si="256"/>
        <v>-1256340.533915777</v>
      </c>
      <c r="T355" s="62">
        <f t="shared" si="257"/>
        <v>-1305856.4301234994</v>
      </c>
      <c r="U355" s="62">
        <f t="shared" si="258"/>
        <v>-1350931.7696545362</v>
      </c>
      <c r="V355" s="62">
        <f t="shared" si="259"/>
        <v>-1389239.389404132</v>
      </c>
      <c r="W355" s="62">
        <f t="shared" si="260"/>
        <v>-1419916.9323175594</v>
      </c>
      <c r="X355" s="62">
        <f t="shared" si="261"/>
        <v>-1443325.2591270225</v>
      </c>
      <c r="Y355" s="62">
        <f t="shared" si="262"/>
        <v>-1460532.2566825019</v>
      </c>
      <c r="Z355" s="62">
        <f t="shared" si="263"/>
        <v>-1472835.0110068114</v>
      </c>
      <c r="AA355" s="62">
        <f t="shared" si="264"/>
        <v>-1481457.4249216933</v>
      </c>
      <c r="AB355" s="62">
        <f t="shared" si="265"/>
        <v>-1487416.0429118546</v>
      </c>
      <c r="AC355" s="62">
        <f t="shared" si="266"/>
        <v>-1491493.8221318454</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488235.29411764705</v>
      </c>
      <c r="C360" s="62">
        <f t="shared" si="240"/>
        <v>488235.29411764705</v>
      </c>
      <c r="D360" s="62">
        <f t="shared" si="241"/>
        <v>488235.29411764705</v>
      </c>
      <c r="E360" s="62">
        <f t="shared" si="242"/>
        <v>488235.29411764705</v>
      </c>
      <c r="F360" s="62">
        <f t="shared" si="243"/>
        <v>488235.29411764705</v>
      </c>
      <c r="G360" s="62">
        <f t="shared" si="244"/>
        <v>488235.29411764705</v>
      </c>
      <c r="H360" s="62">
        <f t="shared" si="245"/>
        <v>488235.29411764705</v>
      </c>
      <c r="I360" s="62">
        <f t="shared" si="246"/>
        <v>488235.29411764705</v>
      </c>
      <c r="J360" s="62">
        <f t="shared" si="247"/>
        <v>488235.29411764705</v>
      </c>
      <c r="K360" s="62">
        <f t="shared" si="248"/>
        <v>488235.29411764705</v>
      </c>
      <c r="L360" s="62">
        <f t="shared" si="249"/>
        <v>488235.29411764705</v>
      </c>
      <c r="M360" s="62">
        <f t="shared" si="250"/>
        <v>488235.29411764705</v>
      </c>
      <c r="N360" s="62">
        <f t="shared" si="251"/>
        <v>488235.29411764705</v>
      </c>
      <c r="O360" s="62">
        <f t="shared" si="252"/>
        <v>488235.29411764705</v>
      </c>
      <c r="P360" s="62">
        <f t="shared" si="253"/>
        <v>488235.29411764705</v>
      </c>
      <c r="Q360" s="62">
        <f t="shared" si="254"/>
        <v>488235.29411764705</v>
      </c>
      <c r="R360" s="62">
        <f t="shared" si="255"/>
        <v>488235.29411764705</v>
      </c>
      <c r="S360" s="62">
        <f t="shared" si="256"/>
        <v>488235.29411764705</v>
      </c>
      <c r="T360" s="62">
        <f t="shared" si="257"/>
        <v>488235.29411764705</v>
      </c>
      <c r="U360" s="62">
        <f t="shared" si="258"/>
        <v>488235.29411764705</v>
      </c>
      <c r="V360" s="62">
        <f t="shared" si="259"/>
        <v>488235.29411764705</v>
      </c>
      <c r="W360" s="62">
        <f t="shared" si="260"/>
        <v>488235.29411764705</v>
      </c>
      <c r="X360" s="62">
        <f t="shared" si="261"/>
        <v>488235.29411764705</v>
      </c>
      <c r="Y360" s="62">
        <f t="shared" si="262"/>
        <v>488235.29411764705</v>
      </c>
      <c r="Z360" s="62">
        <f t="shared" si="263"/>
        <v>488235.29411764705</v>
      </c>
      <c r="AA360" s="62">
        <f t="shared" si="264"/>
        <v>488235.29411764705</v>
      </c>
      <c r="AB360" s="62">
        <f t="shared" si="265"/>
        <v>488235.29411764705</v>
      </c>
      <c r="AC360" s="62">
        <f t="shared" si="266"/>
        <v>488235.29411764705</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646.89677603543487</v>
      </c>
      <c r="C362" s="62">
        <f t="shared" si="240"/>
        <v>646.85211887817047</v>
      </c>
      <c r="D362" s="62">
        <f t="shared" si="241"/>
        <v>646.78819315220449</v>
      </c>
      <c r="E362" s="62">
        <f t="shared" si="242"/>
        <v>646.6967429057521</v>
      </c>
      <c r="F362" s="62">
        <f t="shared" si="243"/>
        <v>646.5660403240729</v>
      </c>
      <c r="G362" s="62">
        <f t="shared" si="244"/>
        <v>646.37949949401741</v>
      </c>
      <c r="H362" s="62">
        <f t="shared" si="245"/>
        <v>646.11381958854338</v>
      </c>
      <c r="I362" s="62">
        <f t="shared" si="246"/>
        <v>645.73659220845991</v>
      </c>
      <c r="J362" s="62">
        <f t="shared" si="247"/>
        <v>645.20341755594859</v>
      </c>
      <c r="K362" s="62">
        <f t="shared" si="248"/>
        <v>644.4548499630904</v>
      </c>
      <c r="L362" s="62">
        <f t="shared" si="249"/>
        <v>643.41406927056653</v>
      </c>
      <c r="M362" s="62">
        <f t="shared" si="250"/>
        <v>641.98719787679943</v>
      </c>
      <c r="N362" s="62">
        <f t="shared" si="251"/>
        <v>640.0696356209337</v>
      </c>
      <c r="O362" s="62">
        <f t="shared" si="252"/>
        <v>637.56301130673319</v>
      </c>
      <c r="P362" s="62">
        <f t="shared" si="253"/>
        <v>634.40634165749691</v>
      </c>
      <c r="Q362" s="62">
        <f t="shared" si="254"/>
        <v>630.6184286906298</v>
      </c>
      <c r="R362" s="62">
        <f t="shared" si="255"/>
        <v>626.33515650399931</v>
      </c>
      <c r="S362" s="62">
        <f t="shared" si="256"/>
        <v>621.81332363039712</v>
      </c>
      <c r="T362" s="62">
        <f t="shared" si="257"/>
        <v>617.38047196989623</v>
      </c>
      <c r="U362" s="62">
        <f t="shared" si="258"/>
        <v>613.34515585949862</v>
      </c>
      <c r="V362" s="62">
        <f t="shared" si="259"/>
        <v>609.91571180572532</v>
      </c>
      <c r="W362" s="62">
        <f t="shared" si="260"/>
        <v>607.1693412972852</v>
      </c>
      <c r="X362" s="62">
        <f t="shared" si="261"/>
        <v>605.0737387067237</v>
      </c>
      <c r="Y362" s="62">
        <f t="shared" si="262"/>
        <v>603.53330273509027</v>
      </c>
      <c r="Z362" s="62">
        <f t="shared" si="263"/>
        <v>602.43191330034256</v>
      </c>
      <c r="AA362" s="62">
        <f t="shared" si="264"/>
        <v>601.66000195939125</v>
      </c>
      <c r="AB362" s="62">
        <f t="shared" si="265"/>
        <v>601.12656377741496</v>
      </c>
      <c r="AC362" s="62">
        <f t="shared" si="266"/>
        <v>600.7615054472443</v>
      </c>
    </row>
    <row r="363" spans="1:29" x14ac:dyDescent="0.25">
      <c r="A363" s="30" t="str">
        <f t="shared" si="238"/>
        <v>Fuel Cost</v>
      </c>
      <c r="B363" s="62">
        <f>'Parameter Input'!J7</f>
        <v>0.36417427635318367</v>
      </c>
      <c r="C363" s="62">
        <f>'Parameter Input'!K7</f>
        <v>0.34953957198802377</v>
      </c>
      <c r="D363" s="62">
        <f>'Parameter Input'!L7</f>
        <v>0.33490486762286403</v>
      </c>
      <c r="E363" s="62">
        <f>'Parameter Input'!M7</f>
        <v>0.32172366231345256</v>
      </c>
      <c r="F363" s="62">
        <f>'Parameter Input'!N7</f>
        <v>0.30854245700404115</v>
      </c>
      <c r="G363" s="62">
        <f>'Parameter Input'!O7</f>
        <v>0.29536125169462968</v>
      </c>
      <c r="H363" s="62">
        <f>'Parameter Input'!P7</f>
        <v>0.28218004638521826</v>
      </c>
      <c r="I363" s="62">
        <f>'Parameter Input'!Q7</f>
        <v>0.26899884107580674</v>
      </c>
      <c r="J363" s="62">
        <f>'Parameter Input'!R7</f>
        <v>0.26271894785871058</v>
      </c>
      <c r="K363" s="62">
        <f>'Parameter Input'!S7</f>
        <v>0.25643905464161443</v>
      </c>
      <c r="L363" s="62">
        <f>'Parameter Input'!T7</f>
        <v>0.25015916142451827</v>
      </c>
      <c r="M363" s="62">
        <f>'Parameter Input'!U7</f>
        <v>0.24387926820742209</v>
      </c>
      <c r="N363" s="62">
        <f>'Parameter Input'!V7</f>
        <v>0.23759937499032585</v>
      </c>
      <c r="O363" s="62">
        <f>'Parameter Input'!W7</f>
        <v>0.22988467822493394</v>
      </c>
      <c r="P363" s="62">
        <f>'Parameter Input'!X7</f>
        <v>0.22216998145954203</v>
      </c>
      <c r="Q363" s="62">
        <f>'Parameter Input'!Y7</f>
        <v>0.21445528469415012</v>
      </c>
      <c r="R363" s="62">
        <f>'Parameter Input'!Z7</f>
        <v>0.20674058792875821</v>
      </c>
      <c r="S363" s="62">
        <f>'Parameter Input'!AA7</f>
        <v>0.19902589116336625</v>
      </c>
      <c r="T363" s="62">
        <f>'Parameter Input'!AB7</f>
        <v>0.19368220926450147</v>
      </c>
      <c r="U363" s="62">
        <f>'Parameter Input'!AC7</f>
        <v>0.18833852736563667</v>
      </c>
      <c r="V363" s="62">
        <f>'Parameter Input'!AD7</f>
        <v>0.18299484546677189</v>
      </c>
      <c r="W363" s="62">
        <f>'Parameter Input'!AE7</f>
        <v>0.17765116356790711</v>
      </c>
      <c r="X363" s="62">
        <f>'Parameter Input'!AF7</f>
        <v>0.17230748166904239</v>
      </c>
      <c r="Y363" s="62">
        <f>'Parameter Input'!AG7</f>
        <v>0.16851782325418166</v>
      </c>
      <c r="Z363" s="62">
        <f>'Parameter Input'!AH7</f>
        <v>0.16472816483932096</v>
      </c>
      <c r="AA363" s="62">
        <f>'Parameter Input'!AI7</f>
        <v>0.16093850642446025</v>
      </c>
      <c r="AB363" s="62">
        <f>'Parameter Input'!AJ7</f>
        <v>0.15714884800959955</v>
      </c>
      <c r="AC363" s="62">
        <f>'Parameter Input'!AK7</f>
        <v>0.15335918959473879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378</v>
      </c>
      <c r="C369" s="62">
        <f t="shared" si="272"/>
        <v>378</v>
      </c>
      <c r="D369" s="62">
        <f t="shared" si="272"/>
        <v>378</v>
      </c>
      <c r="E369" s="62">
        <f t="shared" si="272"/>
        <v>378</v>
      </c>
      <c r="F369" s="62">
        <f t="shared" si="272"/>
        <v>378</v>
      </c>
      <c r="G369" s="62">
        <f t="shared" si="272"/>
        <v>378</v>
      </c>
      <c r="H369" s="62">
        <f t="shared" si="272"/>
        <v>378</v>
      </c>
      <c r="I369" s="62">
        <f t="shared" si="272"/>
        <v>378</v>
      </c>
      <c r="J369" s="62">
        <f t="shared" si="272"/>
        <v>378</v>
      </c>
      <c r="K369" s="62">
        <f t="shared" si="272"/>
        <v>378</v>
      </c>
      <c r="L369" s="62">
        <f t="shared" si="273"/>
        <v>378</v>
      </c>
      <c r="M369" s="62">
        <f t="shared" si="273"/>
        <v>378</v>
      </c>
      <c r="N369" s="62">
        <f t="shared" si="273"/>
        <v>378</v>
      </c>
      <c r="O369" s="62">
        <f t="shared" si="273"/>
        <v>378</v>
      </c>
      <c r="P369" s="62">
        <f t="shared" si="273"/>
        <v>378</v>
      </c>
      <c r="Q369" s="62">
        <f t="shared" si="273"/>
        <v>378</v>
      </c>
      <c r="R369" s="62">
        <f t="shared" si="273"/>
        <v>378</v>
      </c>
      <c r="S369" s="62">
        <f t="shared" si="273"/>
        <v>378</v>
      </c>
      <c r="T369" s="62">
        <f t="shared" si="273"/>
        <v>378</v>
      </c>
      <c r="U369" s="62">
        <f t="shared" si="273"/>
        <v>378</v>
      </c>
      <c r="V369" s="62">
        <f t="shared" si="274"/>
        <v>378</v>
      </c>
      <c r="W369" s="62">
        <f t="shared" si="274"/>
        <v>378</v>
      </c>
      <c r="X369" s="62">
        <f t="shared" si="274"/>
        <v>378</v>
      </c>
      <c r="Y369" s="62">
        <f t="shared" si="274"/>
        <v>378</v>
      </c>
      <c r="Z369" s="62">
        <f t="shared" si="274"/>
        <v>378</v>
      </c>
      <c r="AA369" s="62">
        <f t="shared" si="274"/>
        <v>378</v>
      </c>
      <c r="AB369" s="62">
        <f t="shared" si="274"/>
        <v>378</v>
      </c>
      <c r="AC369" s="62">
        <f t="shared" si="274"/>
        <v>378</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6">((1+C358)^C365)*C358/(((1+C358)^C365)-1)*(C354)</f>
        <v>1524313.4062710819</v>
      </c>
      <c r="D373" s="63">
        <f t="shared" si="276"/>
        <v>1523834.6158693277</v>
      </c>
      <c r="E373" s="63">
        <f t="shared" si="276"/>
        <v>1523149.6725295712</v>
      </c>
      <c r="F373" s="63">
        <f t="shared" si="276"/>
        <v>1522170.737356808</v>
      </c>
      <c r="G373" s="63">
        <f t="shared" si="276"/>
        <v>1520773.5853086114</v>
      </c>
      <c r="H373" s="63">
        <f t="shared" si="276"/>
        <v>1518783.6980330625</v>
      </c>
      <c r="I373" s="63">
        <f t="shared" si="276"/>
        <v>1515958.3433556822</v>
      </c>
      <c r="J373" s="63">
        <f t="shared" si="276"/>
        <v>1511964.9760184553</v>
      </c>
      <c r="K373" s="63">
        <f t="shared" si="276"/>
        <v>1506358.3603233036</v>
      </c>
      <c r="L373" s="63">
        <f t="shared" si="276"/>
        <v>1498563.1292425212</v>
      </c>
      <c r="M373" s="63">
        <f t="shared" si="276"/>
        <v>1487876.1590509433</v>
      </c>
      <c r="N373" s="63">
        <f t="shared" si="276"/>
        <v>1473514.0162828909</v>
      </c>
      <c r="O373" s="63">
        <f t="shared" si="276"/>
        <v>1454739.9211231149</v>
      </c>
      <c r="P373" s="63">
        <f t="shared" si="276"/>
        <v>1431097.1215033231</v>
      </c>
      <c r="Q373" s="63">
        <f t="shared" si="276"/>
        <v>1402726.440626242</v>
      </c>
      <c r="R373" s="63">
        <f t="shared" si="276"/>
        <v>1370645.6221440069</v>
      </c>
      <c r="S373" s="63">
        <f t="shared" si="276"/>
        <v>1336778.0336965974</v>
      </c>
      <c r="T373" s="63">
        <f t="shared" si="276"/>
        <v>1303576.896042286</v>
      </c>
      <c r="U373" s="63">
        <f t="shared" si="276"/>
        <v>1273353.2170381402</v>
      </c>
      <c r="V373" s="63">
        <f t="shared" si="276"/>
        <v>1247667.3938192725</v>
      </c>
      <c r="W373" s="63">
        <f t="shared" si="276"/>
        <v>1227097.6494912698</v>
      </c>
      <c r="X373" s="63">
        <f t="shared" si="276"/>
        <v>1211402.0216186012</v>
      </c>
      <c r="Y373" s="63">
        <f t="shared" si="276"/>
        <v>1199864.4763410145</v>
      </c>
      <c r="Z373" s="63">
        <f t="shared" si="276"/>
        <v>1191615.2983773351</v>
      </c>
      <c r="AA373" s="63">
        <f t="shared" si="276"/>
        <v>1185833.8428605145</v>
      </c>
      <c r="AB373" s="63">
        <f t="shared" si="276"/>
        <v>1181838.5017423639</v>
      </c>
      <c r="AC373" s="63">
        <f t="shared" si="276"/>
        <v>1179104.2907197287</v>
      </c>
    </row>
    <row r="374" spans="1:29" x14ac:dyDescent="0.25">
      <c r="A374" s="30" t="str">
        <f>A355</f>
        <v>Residual value (vehicle)</v>
      </c>
      <c r="B374" s="62">
        <f>((1+B358)^B365)*B358/(((1+B358)^B365)-1)*(B355)</f>
        <v>-76361.248295139725</v>
      </c>
      <c r="C374" s="62">
        <f t="shared" ref="C374:AC374" si="277">((1+C358)^C365)*C358/(((1+C358)^C365)-1)*(C355)</f>
        <v>-76400.270124930772</v>
      </c>
      <c r="D374" s="62">
        <f t="shared" si="277"/>
        <v>-76456.129005135459</v>
      </c>
      <c r="E374" s="62">
        <f t="shared" si="277"/>
        <v>-76536.039061440344</v>
      </c>
      <c r="F374" s="62">
        <f t="shared" si="277"/>
        <v>-76650.248164929391</v>
      </c>
      <c r="G374" s="62">
        <f t="shared" si="277"/>
        <v>-76813.249237219032</v>
      </c>
      <c r="H374" s="62">
        <f t="shared" si="277"/>
        <v>-77045.402752699738</v>
      </c>
      <c r="I374" s="62">
        <f t="shared" si="277"/>
        <v>-77375.027465060732</v>
      </c>
      <c r="J374" s="62">
        <f t="shared" si="277"/>
        <v>-77840.920321070545</v>
      </c>
      <c r="K374" s="62">
        <f t="shared" si="277"/>
        <v>-78495.025485504913</v>
      </c>
      <c r="L374" s="62">
        <f t="shared" si="277"/>
        <v>-79404.46911159619</v>
      </c>
      <c r="M374" s="62">
        <f t="shared" si="277"/>
        <v>-80651.282300613602</v>
      </c>
      <c r="N374" s="62">
        <f t="shared" si="277"/>
        <v>-82326.865623553065</v>
      </c>
      <c r="O374" s="62">
        <f t="shared" si="277"/>
        <v>-84517.176725526937</v>
      </c>
      <c r="P374" s="62">
        <f t="shared" si="277"/>
        <v>-87275.503347835998</v>
      </c>
      <c r="Q374" s="62">
        <f t="shared" si="277"/>
        <v>-90585.416116828768</v>
      </c>
      <c r="R374" s="62">
        <f t="shared" si="277"/>
        <v>-94328.178273089521</v>
      </c>
      <c r="S374" s="62">
        <f t="shared" si="277"/>
        <v>-98279.396925287292</v>
      </c>
      <c r="T374" s="62">
        <f t="shared" si="277"/>
        <v>-102152.86298495698</v>
      </c>
      <c r="U374" s="62">
        <f t="shared" si="277"/>
        <v>-105678.95886877397</v>
      </c>
      <c r="V374" s="62">
        <f t="shared" si="277"/>
        <v>-108675.63824430856</v>
      </c>
      <c r="W374" s="62">
        <f t="shared" si="277"/>
        <v>-111075.44174924218</v>
      </c>
      <c r="X374" s="62">
        <f t="shared" si="277"/>
        <v>-112906.59833438687</v>
      </c>
      <c r="Y374" s="62">
        <f t="shared" si="277"/>
        <v>-114252.64528343864</v>
      </c>
      <c r="Z374" s="62">
        <f t="shared" si="277"/>
        <v>-115215.04937920124</v>
      </c>
      <c r="AA374" s="62">
        <f t="shared" si="277"/>
        <v>-115889.55252283029</v>
      </c>
      <c r="AB374" s="62">
        <f t="shared" si="277"/>
        <v>-116355.67565328123</v>
      </c>
      <c r="AC374" s="62">
        <f t="shared" si="277"/>
        <v>-116674.66693925532</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488235.29411764705</v>
      </c>
      <c r="C378" s="62">
        <f t="shared" si="281"/>
        <v>488235.29411764705</v>
      </c>
      <c r="D378" s="62">
        <f t="shared" si="281"/>
        <v>488235.29411764705</v>
      </c>
      <c r="E378" s="62">
        <f t="shared" si="281"/>
        <v>488235.29411764705</v>
      </c>
      <c r="F378" s="62">
        <f t="shared" si="281"/>
        <v>488235.29411764705</v>
      </c>
      <c r="G378" s="62">
        <f t="shared" si="281"/>
        <v>488235.29411764705</v>
      </c>
      <c r="H378" s="62">
        <f t="shared" si="281"/>
        <v>488235.29411764705</v>
      </c>
      <c r="I378" s="62">
        <f t="shared" si="281"/>
        <v>488235.29411764705</v>
      </c>
      <c r="J378" s="62">
        <f t="shared" si="281"/>
        <v>488235.29411764705</v>
      </c>
      <c r="K378" s="62">
        <f t="shared" si="281"/>
        <v>488235.29411764705</v>
      </c>
      <c r="L378" s="62">
        <f t="shared" si="281"/>
        <v>488235.29411764705</v>
      </c>
      <c r="M378" s="62">
        <f t="shared" si="281"/>
        <v>488235.29411764705</v>
      </c>
      <c r="N378" s="62">
        <f t="shared" si="281"/>
        <v>488235.29411764705</v>
      </c>
      <c r="O378" s="62">
        <f t="shared" si="281"/>
        <v>488235.29411764705</v>
      </c>
      <c r="P378" s="62">
        <f t="shared" si="281"/>
        <v>488235.29411764705</v>
      </c>
      <c r="Q378" s="62">
        <f t="shared" si="281"/>
        <v>488235.29411764705</v>
      </c>
      <c r="R378" s="62">
        <f t="shared" si="281"/>
        <v>488235.29411764705</v>
      </c>
      <c r="S378" s="62">
        <f t="shared" si="281"/>
        <v>488235.29411764705</v>
      </c>
      <c r="T378" s="62">
        <f t="shared" si="281"/>
        <v>488235.29411764705</v>
      </c>
      <c r="U378" s="62">
        <f t="shared" si="281"/>
        <v>488235.29411764705</v>
      </c>
      <c r="V378" s="62">
        <f t="shared" si="281"/>
        <v>488235.29411764705</v>
      </c>
      <c r="W378" s="62">
        <f t="shared" si="281"/>
        <v>488235.29411764705</v>
      </c>
      <c r="X378" s="62">
        <f t="shared" si="281"/>
        <v>488235.29411764705</v>
      </c>
      <c r="Y378" s="62">
        <f t="shared" si="281"/>
        <v>488235.29411764705</v>
      </c>
      <c r="Z378" s="62">
        <f t="shared" si="281"/>
        <v>488235.29411764705</v>
      </c>
      <c r="AA378" s="62">
        <f t="shared" si="281"/>
        <v>488235.29411764705</v>
      </c>
      <c r="AB378" s="62">
        <f t="shared" si="281"/>
        <v>488235.29411764705</v>
      </c>
      <c r="AC378" s="62">
        <f t="shared" si="281"/>
        <v>488235.29411764705</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28269979.834549442</v>
      </c>
      <c r="C380" s="62">
        <f t="shared" ref="C380:AC380" si="283">C362*C363*C370</f>
        <v>27132049.532666638</v>
      </c>
      <c r="D380" s="62">
        <f t="shared" si="283"/>
        <v>25993501.704920452</v>
      </c>
      <c r="E380" s="62">
        <f t="shared" si="283"/>
        <v>24966917.34405838</v>
      </c>
      <c r="F380" s="62">
        <f t="shared" si="283"/>
        <v>23939168.963635609</v>
      </c>
      <c r="G380" s="62">
        <f t="shared" si="283"/>
        <v>22909854.96483615</v>
      </c>
      <c r="H380" s="62">
        <f t="shared" si="283"/>
        <v>21878451.309795085</v>
      </c>
      <c r="I380" s="62">
        <f t="shared" si="283"/>
        <v>20844287.393317983</v>
      </c>
      <c r="J380" s="62">
        <f t="shared" si="283"/>
        <v>20340859.561817177</v>
      </c>
      <c r="K380" s="62">
        <f t="shared" si="283"/>
        <v>19831607.098048601</v>
      </c>
      <c r="L380" s="62">
        <f t="shared" si="283"/>
        <v>19314710.882095419</v>
      </c>
      <c r="M380" s="62">
        <f t="shared" si="283"/>
        <v>18788084.16200728</v>
      </c>
      <c r="N380" s="62">
        <f t="shared" si="283"/>
        <v>18249617.444858335</v>
      </c>
      <c r="O380" s="62">
        <f t="shared" si="283"/>
        <v>17587916.124284193</v>
      </c>
      <c r="P380" s="62">
        <f t="shared" si="283"/>
        <v>16913525.419663437</v>
      </c>
      <c r="Q380" s="62">
        <f t="shared" si="283"/>
        <v>16228734.558987197</v>
      </c>
      <c r="R380" s="62">
        <f t="shared" si="283"/>
        <v>15538667.819530513</v>
      </c>
      <c r="S380" s="62">
        <f t="shared" si="283"/>
        <v>14850834.104735333</v>
      </c>
      <c r="T380" s="62">
        <f t="shared" si="283"/>
        <v>14349073.652146816</v>
      </c>
      <c r="U380" s="62">
        <f t="shared" si="283"/>
        <v>13861982.810570983</v>
      </c>
      <c r="V380" s="62">
        <f t="shared" si="283"/>
        <v>13393371.771557385</v>
      </c>
      <c r="W380" s="62">
        <f t="shared" si="283"/>
        <v>12943720.795706693</v>
      </c>
      <c r="X380" s="62">
        <f t="shared" si="283"/>
        <v>12511047.856875328</v>
      </c>
      <c r="Y380" s="62">
        <f t="shared" si="283"/>
        <v>12204734.212598935</v>
      </c>
      <c r="Z380" s="62">
        <f t="shared" si="283"/>
        <v>11908500.422232762</v>
      </c>
      <c r="AA380" s="62">
        <f t="shared" si="283"/>
        <v>11619631.45088187</v>
      </c>
      <c r="AB380" s="62">
        <f t="shared" si="283"/>
        <v>11335961.64067078</v>
      </c>
      <c r="AC380" s="62">
        <f t="shared" si="283"/>
        <v>11055875.713812558</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31582677.782894723</v>
      </c>
      <c r="C382" s="64">
        <f t="shared" ref="C382:AC382" si="285">C373+C374+C375+C376+C377+C378+C379+C380+C381</f>
        <v>30444373.986355349</v>
      </c>
      <c r="D382" s="64">
        <f t="shared" si="285"/>
        <v>29305291.509327203</v>
      </c>
      <c r="E382" s="64">
        <f t="shared" si="285"/>
        <v>28277942.295069069</v>
      </c>
      <c r="F382" s="64">
        <f t="shared" si="285"/>
        <v>27249100.770370048</v>
      </c>
      <c r="G382" s="64">
        <f t="shared" si="285"/>
        <v>26218226.618450101</v>
      </c>
      <c r="H382" s="64">
        <f t="shared" si="285"/>
        <v>25184600.922618005</v>
      </c>
      <c r="I382" s="64">
        <f t="shared" si="285"/>
        <v>24147282.026751164</v>
      </c>
      <c r="J382" s="64">
        <f t="shared" si="285"/>
        <v>23639394.935057119</v>
      </c>
      <c r="K382" s="64">
        <f t="shared" si="285"/>
        <v>23123881.75042896</v>
      </c>
      <c r="L382" s="64">
        <f t="shared" si="285"/>
        <v>22598280.859768901</v>
      </c>
      <c r="M382" s="64">
        <f t="shared" si="285"/>
        <v>22059720.356300168</v>
      </c>
      <c r="N382" s="64">
        <f t="shared" si="285"/>
        <v>21505215.913060233</v>
      </c>
      <c r="O382" s="64">
        <f t="shared" si="285"/>
        <v>20822550.186224341</v>
      </c>
      <c r="P382" s="64">
        <f t="shared" si="285"/>
        <v>20121758.355361484</v>
      </c>
      <c r="Q382" s="64">
        <f t="shared" si="285"/>
        <v>19405286.901039168</v>
      </c>
      <c r="R382" s="64">
        <f t="shared" si="285"/>
        <v>18679396.58094399</v>
      </c>
      <c r="S382" s="64">
        <f t="shared" si="285"/>
        <v>17953744.059049204</v>
      </c>
      <c r="T382" s="64">
        <f t="shared" si="285"/>
        <v>17414909.002746705</v>
      </c>
      <c r="U382" s="64">
        <f t="shared" si="285"/>
        <v>16894068.38628291</v>
      </c>
      <c r="V382" s="64">
        <f t="shared" si="285"/>
        <v>16396774.844674908</v>
      </c>
      <c r="W382" s="64">
        <f t="shared" si="285"/>
        <v>15924154.32099128</v>
      </c>
      <c r="X382" s="64">
        <f t="shared" si="285"/>
        <v>15473954.597702101</v>
      </c>
      <c r="Y382" s="64">
        <f t="shared" si="285"/>
        <v>15154757.36119907</v>
      </c>
      <c r="Z382" s="64">
        <f t="shared" si="285"/>
        <v>14849311.988773454</v>
      </c>
      <c r="AA382" s="64">
        <f t="shared" si="285"/>
        <v>14553987.058762114</v>
      </c>
      <c r="AB382" s="64">
        <f t="shared" si="285"/>
        <v>14265855.784302421</v>
      </c>
      <c r="AC382" s="64">
        <f t="shared" si="285"/>
        <v>13982716.655135591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12.705398992482186</v>
      </c>
      <c r="C385" s="65">
        <f t="shared" ref="C385:AC385" si="287">((1+C358)^C365)*C358/(((1+C358)^C365)-1)*(C354)/C370</f>
        <v>12.702611718925683</v>
      </c>
      <c r="D385" s="65">
        <f t="shared" si="287"/>
        <v>12.698621798911065</v>
      </c>
      <c r="E385" s="65">
        <f t="shared" si="287"/>
        <v>12.692913937746427</v>
      </c>
      <c r="F385" s="65">
        <f t="shared" si="287"/>
        <v>12.684756144640067</v>
      </c>
      <c r="G385" s="65">
        <f t="shared" si="287"/>
        <v>12.673113210905095</v>
      </c>
      <c r="H385" s="65">
        <f t="shared" si="287"/>
        <v>12.656530816942187</v>
      </c>
      <c r="I385" s="65">
        <f t="shared" si="287"/>
        <v>12.632986194630686</v>
      </c>
      <c r="J385" s="65">
        <f t="shared" si="287"/>
        <v>12.599708133487129</v>
      </c>
      <c r="K385" s="65">
        <f t="shared" si="287"/>
        <v>12.55298633602753</v>
      </c>
      <c r="L385" s="65">
        <f t="shared" si="287"/>
        <v>12.48802607702101</v>
      </c>
      <c r="M385" s="65">
        <f t="shared" si="287"/>
        <v>12.398967992091194</v>
      </c>
      <c r="N385" s="65">
        <f t="shared" si="287"/>
        <v>12.27928346902409</v>
      </c>
      <c r="O385" s="65">
        <f t="shared" si="287"/>
        <v>12.122832676025958</v>
      </c>
      <c r="P385" s="65">
        <f t="shared" si="287"/>
        <v>11.925809345861026</v>
      </c>
      <c r="Q385" s="65">
        <f t="shared" si="287"/>
        <v>11.689387005218682</v>
      </c>
      <c r="R385" s="65">
        <f t="shared" si="287"/>
        <v>11.422046851200058</v>
      </c>
      <c r="S385" s="65">
        <f t="shared" si="287"/>
        <v>11.139816947471646</v>
      </c>
      <c r="T385" s="65">
        <f t="shared" si="287"/>
        <v>10.863140800352383</v>
      </c>
      <c r="U385" s="65">
        <f t="shared" si="287"/>
        <v>10.611276808651168</v>
      </c>
      <c r="V385" s="65">
        <f t="shared" si="287"/>
        <v>10.397228281827271</v>
      </c>
      <c r="W385" s="65">
        <f t="shared" si="287"/>
        <v>10.225813745760583</v>
      </c>
      <c r="X385" s="65">
        <f t="shared" si="287"/>
        <v>10.095016846821677</v>
      </c>
      <c r="Y385" s="65">
        <f t="shared" si="287"/>
        <v>9.9988706361751216</v>
      </c>
      <c r="Z385" s="65">
        <f t="shared" si="287"/>
        <v>9.930127486477792</v>
      </c>
      <c r="AA385" s="65">
        <f t="shared" si="287"/>
        <v>9.8819486905042879</v>
      </c>
      <c r="AB385" s="65">
        <f t="shared" si="287"/>
        <v>9.8486541811863653</v>
      </c>
      <c r="AC385" s="65">
        <f t="shared" si="287"/>
        <v>9.8258690893310732</v>
      </c>
    </row>
    <row r="386" spans="1:29" x14ac:dyDescent="0.25">
      <c r="A386" s="30" t="str">
        <f t="shared" si="286"/>
        <v>Residual value (vehicle)</v>
      </c>
      <c r="B386" s="66">
        <f>((1+B358)^B365)*B358/(((1+B358)^B365)-1)*(B355)/B370</f>
        <v>-0.63634373579283099</v>
      </c>
      <c r="C386" s="66">
        <f t="shared" ref="C386:AC386" si="288">((1+C358)^C365)*C358/(((1+C358)^C365)-1)*(C355)/C370</f>
        <v>-0.63666891770775647</v>
      </c>
      <c r="D386" s="66">
        <f t="shared" si="288"/>
        <v>-0.63713440837612878</v>
      </c>
      <c r="E386" s="66">
        <f t="shared" si="288"/>
        <v>-0.63780032551200283</v>
      </c>
      <c r="F386" s="66">
        <f t="shared" si="288"/>
        <v>-0.63875206804107831</v>
      </c>
      <c r="G386" s="66">
        <f t="shared" si="288"/>
        <v>-0.64011041031015858</v>
      </c>
      <c r="H386" s="66">
        <f t="shared" si="288"/>
        <v>-0.64204502293916443</v>
      </c>
      <c r="I386" s="66">
        <f t="shared" si="288"/>
        <v>-0.64479189554217275</v>
      </c>
      <c r="J386" s="66">
        <f t="shared" si="288"/>
        <v>-0.64867433600892122</v>
      </c>
      <c r="K386" s="66">
        <f t="shared" si="288"/>
        <v>-0.65412521237920762</v>
      </c>
      <c r="L386" s="66">
        <f t="shared" si="288"/>
        <v>-0.66170390926330158</v>
      </c>
      <c r="M386" s="66">
        <f t="shared" si="288"/>
        <v>-0.67209401917178002</v>
      </c>
      <c r="N386" s="66">
        <f t="shared" si="288"/>
        <v>-0.68605721352960891</v>
      </c>
      <c r="O386" s="66">
        <f t="shared" si="288"/>
        <v>-0.70430980604605786</v>
      </c>
      <c r="P386" s="66">
        <f t="shared" si="288"/>
        <v>-0.72729586123196666</v>
      </c>
      <c r="Q386" s="66">
        <f t="shared" si="288"/>
        <v>-0.75487846764023969</v>
      </c>
      <c r="R386" s="66">
        <f t="shared" si="288"/>
        <v>-0.786068152275746</v>
      </c>
      <c r="S386" s="66">
        <f t="shared" si="288"/>
        <v>-0.8189949743773941</v>
      </c>
      <c r="T386" s="66">
        <f t="shared" si="288"/>
        <v>-0.85127385820797485</v>
      </c>
      <c r="U386" s="66">
        <f t="shared" si="288"/>
        <v>-0.88065799057311644</v>
      </c>
      <c r="V386" s="66">
        <f t="shared" si="288"/>
        <v>-0.90563031870257138</v>
      </c>
      <c r="W386" s="66">
        <f t="shared" si="288"/>
        <v>-0.9256286812436848</v>
      </c>
      <c r="X386" s="66">
        <f t="shared" si="288"/>
        <v>-0.94088831945322393</v>
      </c>
      <c r="Y386" s="66">
        <f t="shared" si="288"/>
        <v>-0.95210537736198875</v>
      </c>
      <c r="Z386" s="66">
        <f t="shared" si="288"/>
        <v>-0.96012541149334374</v>
      </c>
      <c r="AA386" s="66">
        <f t="shared" si="288"/>
        <v>-0.96574627102358568</v>
      </c>
      <c r="AB386" s="66">
        <f t="shared" si="288"/>
        <v>-0.96963063044401021</v>
      </c>
      <c r="AC386" s="66">
        <f t="shared" si="288"/>
        <v>-0.97228889116046091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4.0686274509803919</v>
      </c>
      <c r="C390" s="66">
        <f t="shared" ref="C390:AC390" si="292">C360/C370</f>
        <v>4.0686274509803919</v>
      </c>
      <c r="D390" s="66">
        <f t="shared" si="292"/>
        <v>4.0686274509803919</v>
      </c>
      <c r="E390" s="66">
        <f t="shared" si="292"/>
        <v>4.0686274509803919</v>
      </c>
      <c r="F390" s="66">
        <f t="shared" si="292"/>
        <v>4.0686274509803919</v>
      </c>
      <c r="G390" s="66">
        <f t="shared" si="292"/>
        <v>4.0686274509803919</v>
      </c>
      <c r="H390" s="66">
        <f t="shared" si="292"/>
        <v>4.0686274509803919</v>
      </c>
      <c r="I390" s="66">
        <f t="shared" si="292"/>
        <v>4.0686274509803919</v>
      </c>
      <c r="J390" s="66">
        <f t="shared" si="292"/>
        <v>4.0686274509803919</v>
      </c>
      <c r="K390" s="66">
        <f t="shared" si="292"/>
        <v>4.0686274509803919</v>
      </c>
      <c r="L390" s="66">
        <f t="shared" si="292"/>
        <v>4.0686274509803919</v>
      </c>
      <c r="M390" s="66">
        <f t="shared" si="292"/>
        <v>4.0686274509803919</v>
      </c>
      <c r="N390" s="66">
        <f t="shared" si="292"/>
        <v>4.0686274509803919</v>
      </c>
      <c r="O390" s="66">
        <f t="shared" si="292"/>
        <v>4.0686274509803919</v>
      </c>
      <c r="P390" s="66">
        <f t="shared" si="292"/>
        <v>4.0686274509803919</v>
      </c>
      <c r="Q390" s="66">
        <f t="shared" si="292"/>
        <v>4.0686274509803919</v>
      </c>
      <c r="R390" s="66">
        <f t="shared" si="292"/>
        <v>4.0686274509803919</v>
      </c>
      <c r="S390" s="66">
        <f t="shared" si="292"/>
        <v>4.0686274509803919</v>
      </c>
      <c r="T390" s="66">
        <f t="shared" si="292"/>
        <v>4.0686274509803919</v>
      </c>
      <c r="U390" s="66">
        <f t="shared" si="292"/>
        <v>4.0686274509803919</v>
      </c>
      <c r="V390" s="66">
        <f t="shared" si="292"/>
        <v>4.0686274509803919</v>
      </c>
      <c r="W390" s="66">
        <f t="shared" si="292"/>
        <v>4.0686274509803919</v>
      </c>
      <c r="X390" s="66">
        <f t="shared" si="292"/>
        <v>4.0686274509803919</v>
      </c>
      <c r="Y390" s="66">
        <f t="shared" si="292"/>
        <v>4.0686274509803919</v>
      </c>
      <c r="Z390" s="66">
        <f t="shared" si="292"/>
        <v>4.0686274509803919</v>
      </c>
      <c r="AA390" s="66">
        <f t="shared" si="292"/>
        <v>4.0686274509803919</v>
      </c>
      <c r="AB390" s="66">
        <f t="shared" si="292"/>
        <v>4.0686274509803919</v>
      </c>
      <c r="AC390" s="66">
        <f t="shared" si="292"/>
        <v>4.0686274509803919</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235.58316528791201</v>
      </c>
      <c r="C392" s="66">
        <f t="shared" ref="C392:AC392" si="294">C362*C363*C370/C370</f>
        <v>226.100412772222</v>
      </c>
      <c r="D392" s="66">
        <f t="shared" si="294"/>
        <v>216.61251420767044</v>
      </c>
      <c r="E392" s="66">
        <f t="shared" si="294"/>
        <v>208.05764453381983</v>
      </c>
      <c r="F392" s="66">
        <f t="shared" si="294"/>
        <v>199.49307469696342</v>
      </c>
      <c r="G392" s="66">
        <f t="shared" si="294"/>
        <v>190.91545804030125</v>
      </c>
      <c r="H392" s="66">
        <f t="shared" si="294"/>
        <v>182.32042758162572</v>
      </c>
      <c r="I392" s="66">
        <f t="shared" si="294"/>
        <v>173.70239494431652</v>
      </c>
      <c r="J392" s="66">
        <f t="shared" si="294"/>
        <v>169.50716301514313</v>
      </c>
      <c r="K392" s="66">
        <f t="shared" si="294"/>
        <v>165.26339248373836</v>
      </c>
      <c r="L392" s="66">
        <f t="shared" si="294"/>
        <v>160.95592401746183</v>
      </c>
      <c r="M392" s="66">
        <f t="shared" si="294"/>
        <v>156.56736801672733</v>
      </c>
      <c r="N392" s="66">
        <f t="shared" si="294"/>
        <v>152.08014537381945</v>
      </c>
      <c r="O392" s="66">
        <f t="shared" si="294"/>
        <v>146.56596770236828</v>
      </c>
      <c r="P392" s="66">
        <f t="shared" si="294"/>
        <v>140.94604516386198</v>
      </c>
      <c r="Q392" s="66">
        <f t="shared" si="294"/>
        <v>135.23945465822663</v>
      </c>
      <c r="R392" s="66">
        <f t="shared" si="294"/>
        <v>129.48889849608761</v>
      </c>
      <c r="S392" s="66">
        <f t="shared" si="294"/>
        <v>123.75695087279445</v>
      </c>
      <c r="T392" s="66">
        <f t="shared" si="294"/>
        <v>119.57561376789013</v>
      </c>
      <c r="U392" s="66">
        <f t="shared" si="294"/>
        <v>115.51652342142486</v>
      </c>
      <c r="V392" s="66">
        <f t="shared" si="294"/>
        <v>111.61143142964488</v>
      </c>
      <c r="W392" s="66">
        <f t="shared" si="294"/>
        <v>107.86433996422244</v>
      </c>
      <c r="X392" s="66">
        <f t="shared" si="294"/>
        <v>104.25873214062774</v>
      </c>
      <c r="Y392" s="66">
        <f t="shared" si="294"/>
        <v>101.70611843832445</v>
      </c>
      <c r="Z392" s="66">
        <f t="shared" si="294"/>
        <v>99.237503518606346</v>
      </c>
      <c r="AA392" s="66">
        <f t="shared" si="294"/>
        <v>96.830262090682254</v>
      </c>
      <c r="AB392" s="66">
        <f t="shared" si="294"/>
        <v>94.466347005589839</v>
      </c>
      <c r="AC392" s="66">
        <f t="shared" si="294"/>
        <v>92.132297615104648</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263.31935938780981</v>
      </c>
      <c r="C394" s="76">
        <f t="shared" ref="C394:AC394" si="297">C385+C386+C387-C388+C389+C390+C391+C392+C393</f>
        <v>253.83349441664836</v>
      </c>
      <c r="D394" s="76">
        <f t="shared" si="297"/>
        <v>244.34114044141381</v>
      </c>
      <c r="E394" s="76">
        <f t="shared" si="297"/>
        <v>235.77989698926268</v>
      </c>
      <c r="F394" s="76">
        <f t="shared" si="297"/>
        <v>227.20621761677086</v>
      </c>
      <c r="G394" s="76">
        <f t="shared" si="297"/>
        <v>218.61559968410461</v>
      </c>
      <c r="H394" s="76">
        <f t="shared" si="297"/>
        <v>210.00205221883718</v>
      </c>
      <c r="I394" s="76">
        <f t="shared" si="297"/>
        <v>201.35772808661346</v>
      </c>
      <c r="J394" s="76">
        <f t="shared" si="297"/>
        <v>197.12533565582979</v>
      </c>
      <c r="K394" s="76">
        <f t="shared" si="297"/>
        <v>192.82939245059512</v>
      </c>
      <c r="L394" s="76">
        <f t="shared" si="297"/>
        <v>188.44938502842797</v>
      </c>
      <c r="M394" s="76">
        <f t="shared" si="297"/>
        <v>183.96138083285518</v>
      </c>
      <c r="N394" s="76">
        <f t="shared" si="297"/>
        <v>179.34051047252237</v>
      </c>
      <c r="O394" s="76">
        <f t="shared" si="297"/>
        <v>173.65162941555661</v>
      </c>
      <c r="P394" s="76">
        <f t="shared" si="297"/>
        <v>167.81169749169948</v>
      </c>
      <c r="Q394" s="76">
        <f t="shared" si="297"/>
        <v>161.84110203901352</v>
      </c>
      <c r="R394" s="76">
        <f t="shared" si="297"/>
        <v>155.79201603822037</v>
      </c>
      <c r="S394" s="76">
        <f t="shared" si="297"/>
        <v>149.74491168909714</v>
      </c>
      <c r="T394" s="76">
        <f t="shared" si="297"/>
        <v>145.25461955324297</v>
      </c>
      <c r="U394" s="76">
        <f t="shared" si="297"/>
        <v>140.91428108271137</v>
      </c>
      <c r="V394" s="76">
        <f t="shared" si="297"/>
        <v>136.77016823597802</v>
      </c>
      <c r="W394" s="76">
        <f t="shared" si="297"/>
        <v>132.8316638719478</v>
      </c>
      <c r="X394" s="76">
        <f t="shared" si="297"/>
        <v>129.07999951120465</v>
      </c>
      <c r="Y394" s="76">
        <f t="shared" si="297"/>
        <v>126.42002254034603</v>
      </c>
      <c r="Z394" s="76">
        <f t="shared" si="297"/>
        <v>123.87464443679923</v>
      </c>
      <c r="AA394" s="76">
        <f t="shared" si="297"/>
        <v>121.4136033533714</v>
      </c>
      <c r="AB394" s="76">
        <f t="shared" si="297"/>
        <v>119.01250939954065</v>
      </c>
      <c r="AC394" s="76">
        <f t="shared" si="297"/>
        <v>116.6530166564837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1.3444866658711308E-3</v>
      </c>
      <c r="C397" s="65">
        <f t="shared" ref="C397:AC397" si="299">((1+C358)^C365)*C358/(((1+C358)^C365)-1)*(C354)/C370/(C367)</f>
        <v>1.344191716288432E-3</v>
      </c>
      <c r="D397" s="65">
        <f t="shared" si="299"/>
        <v>1.3437695025302714E-3</v>
      </c>
      <c r="E397" s="65">
        <f t="shared" si="299"/>
        <v>1.343165496057823E-3</v>
      </c>
      <c r="F397" s="65">
        <f t="shared" si="299"/>
        <v>1.3423022375280494E-3</v>
      </c>
      <c r="G397" s="65">
        <f t="shared" si="299"/>
        <v>1.3410701810481582E-3</v>
      </c>
      <c r="H397" s="65">
        <f t="shared" si="299"/>
        <v>1.3393154303642525E-3</v>
      </c>
      <c r="I397" s="65">
        <f t="shared" si="299"/>
        <v>1.3368239359397552E-3</v>
      </c>
      <c r="J397" s="65">
        <f t="shared" si="299"/>
        <v>1.3333024479880559E-3</v>
      </c>
      <c r="K397" s="65">
        <f t="shared" si="299"/>
        <v>1.3283583424367757E-3</v>
      </c>
      <c r="L397" s="65">
        <f t="shared" si="299"/>
        <v>1.3214842409546043E-3</v>
      </c>
      <c r="M397" s="65">
        <f t="shared" si="299"/>
        <v>1.3120601049831952E-3</v>
      </c>
      <c r="N397" s="65">
        <f t="shared" si="299"/>
        <v>1.2993950760872054E-3</v>
      </c>
      <c r="O397" s="65">
        <f t="shared" si="299"/>
        <v>1.2828394366165034E-3</v>
      </c>
      <c r="P397" s="65">
        <f t="shared" si="299"/>
        <v>1.2619904069694208E-3</v>
      </c>
      <c r="Q397" s="65">
        <f t="shared" si="299"/>
        <v>1.2369721698644108E-3</v>
      </c>
      <c r="R397" s="65">
        <f t="shared" si="299"/>
        <v>1.2086822064761966E-3</v>
      </c>
      <c r="S397" s="65">
        <f t="shared" si="299"/>
        <v>1.1788166081980577E-3</v>
      </c>
      <c r="T397" s="65">
        <f t="shared" si="299"/>
        <v>1.1495387090319981E-3</v>
      </c>
      <c r="U397" s="65">
        <f t="shared" si="299"/>
        <v>1.1228864347779014E-3</v>
      </c>
      <c r="V397" s="65">
        <f t="shared" si="299"/>
        <v>1.1002357970187589E-3</v>
      </c>
      <c r="W397" s="65">
        <f t="shared" si="299"/>
        <v>1.0820966926730776E-3</v>
      </c>
      <c r="X397" s="65">
        <f t="shared" si="299"/>
        <v>1.0682557509864208E-3</v>
      </c>
      <c r="Y397" s="65">
        <f t="shared" si="299"/>
        <v>1.0580815488016001E-3</v>
      </c>
      <c r="Z397" s="65">
        <f t="shared" si="299"/>
        <v>1.0508071414262214E-3</v>
      </c>
      <c r="AA397" s="65">
        <f t="shared" si="299"/>
        <v>1.0457088561380199E-3</v>
      </c>
      <c r="AB397" s="65">
        <f t="shared" si="299"/>
        <v>1.0421856276387688E-3</v>
      </c>
      <c r="AC397" s="65">
        <f t="shared" si="299"/>
        <v>1.0397745068075209E-3</v>
      </c>
    </row>
    <row r="398" spans="1:29" x14ac:dyDescent="0.25">
      <c r="A398" s="30" t="str">
        <f t="shared" si="298"/>
        <v>Residual value (vehicle)</v>
      </c>
      <c r="B398" s="68">
        <f>((1+B358)^B365)*B358/(((1+B358)^B365)-1)*(B355)/B370/(B367)</f>
        <v>-6.7337961459558828E-5</v>
      </c>
      <c r="C398" s="68">
        <f t="shared" ref="C398:AC398" si="300">((1+C358)^C365)*C358/(((1+C358)^C365)-1)*(C355)/C370/(C367)</f>
        <v>-6.7372372244207035E-5</v>
      </c>
      <c r="D398" s="68">
        <f t="shared" si="300"/>
        <v>-6.7421630515992462E-5</v>
      </c>
      <c r="E398" s="68">
        <f t="shared" si="300"/>
        <v>-6.7492097937778083E-5</v>
      </c>
      <c r="F398" s="68">
        <f t="shared" si="300"/>
        <v>-6.7592811432918334E-5</v>
      </c>
      <c r="G398" s="68">
        <f t="shared" si="300"/>
        <v>-6.773655135557234E-5</v>
      </c>
      <c r="H398" s="68">
        <f t="shared" si="300"/>
        <v>-6.7941272268694643E-5</v>
      </c>
      <c r="I398" s="68">
        <f t="shared" si="300"/>
        <v>-6.8231946618219335E-5</v>
      </c>
      <c r="J398" s="68">
        <f t="shared" si="300"/>
        <v>-6.8642786879250924E-5</v>
      </c>
      <c r="K398" s="68">
        <f t="shared" si="300"/>
        <v>-6.9219599193566945E-5</v>
      </c>
      <c r="L398" s="68">
        <f t="shared" si="300"/>
        <v>-7.0021577699820272E-5</v>
      </c>
      <c r="M398" s="68">
        <f t="shared" si="300"/>
        <v>-7.1121060229817985E-5</v>
      </c>
      <c r="N398" s="68">
        <f t="shared" si="300"/>
        <v>-7.2598646934350151E-5</v>
      </c>
      <c r="O398" s="68">
        <f t="shared" si="300"/>
        <v>-7.4530138205932043E-5</v>
      </c>
      <c r="P398" s="68">
        <f t="shared" si="300"/>
        <v>-7.6962524998091712E-5</v>
      </c>
      <c r="Q398" s="68">
        <f t="shared" si="300"/>
        <v>-7.9881319327009486E-5</v>
      </c>
      <c r="R398" s="68">
        <f t="shared" si="300"/>
        <v>-8.3181815055634491E-5</v>
      </c>
      <c r="S398" s="68">
        <f t="shared" si="300"/>
        <v>-8.6666134854750698E-5</v>
      </c>
      <c r="T398" s="68">
        <f t="shared" si="300"/>
        <v>-9.008188975745766E-5</v>
      </c>
      <c r="U398" s="68">
        <f t="shared" si="300"/>
        <v>-9.3191321753768942E-5</v>
      </c>
      <c r="V398" s="68">
        <f t="shared" si="300"/>
        <v>-9.583389615900226E-5</v>
      </c>
      <c r="W398" s="68">
        <f t="shared" si="300"/>
        <v>-9.7950124999331722E-5</v>
      </c>
      <c r="X398" s="68">
        <f t="shared" si="300"/>
        <v>-9.9564901529441686E-5</v>
      </c>
      <c r="Y398" s="68">
        <f t="shared" si="300"/>
        <v>-1.0075189178433743E-4</v>
      </c>
      <c r="Z398" s="68">
        <f t="shared" si="300"/>
        <v>-1.0160057264479828E-4</v>
      </c>
      <c r="AA398" s="68">
        <f t="shared" si="300"/>
        <v>-1.0219537259508843E-4</v>
      </c>
      <c r="AB398" s="68">
        <f t="shared" si="300"/>
        <v>-1.0260641592000108E-4</v>
      </c>
      <c r="AC398" s="68">
        <f t="shared" si="300"/>
        <v>-1.0288771335031333E-4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4.305425874053325E-4</v>
      </c>
      <c r="C402" s="66">
        <f t="shared" ref="C402:AC402" si="304">C360/C370/(C367)</f>
        <v>4.305425874053325E-4</v>
      </c>
      <c r="D402" s="66">
        <f t="shared" si="304"/>
        <v>4.305425874053325E-4</v>
      </c>
      <c r="E402" s="66">
        <f t="shared" si="304"/>
        <v>4.305425874053325E-4</v>
      </c>
      <c r="F402" s="66">
        <f t="shared" si="304"/>
        <v>4.305425874053325E-4</v>
      </c>
      <c r="G402" s="66">
        <f t="shared" si="304"/>
        <v>4.305425874053325E-4</v>
      </c>
      <c r="H402" s="66">
        <f t="shared" si="304"/>
        <v>4.305425874053325E-4</v>
      </c>
      <c r="I402" s="66">
        <f t="shared" si="304"/>
        <v>4.305425874053325E-4</v>
      </c>
      <c r="J402" s="66">
        <f t="shared" si="304"/>
        <v>4.305425874053325E-4</v>
      </c>
      <c r="K402" s="66">
        <f t="shared" si="304"/>
        <v>4.305425874053325E-4</v>
      </c>
      <c r="L402" s="66">
        <f t="shared" si="304"/>
        <v>4.305425874053325E-4</v>
      </c>
      <c r="M402" s="66">
        <f t="shared" si="304"/>
        <v>4.305425874053325E-4</v>
      </c>
      <c r="N402" s="66">
        <f t="shared" si="304"/>
        <v>4.305425874053325E-4</v>
      </c>
      <c r="O402" s="66">
        <f t="shared" si="304"/>
        <v>4.305425874053325E-4</v>
      </c>
      <c r="P402" s="66">
        <f t="shared" si="304"/>
        <v>4.305425874053325E-4</v>
      </c>
      <c r="Q402" s="66">
        <f t="shared" si="304"/>
        <v>4.305425874053325E-4</v>
      </c>
      <c r="R402" s="66">
        <f t="shared" si="304"/>
        <v>4.305425874053325E-4</v>
      </c>
      <c r="S402" s="66">
        <f t="shared" si="304"/>
        <v>4.305425874053325E-4</v>
      </c>
      <c r="T402" s="66">
        <f t="shared" si="304"/>
        <v>4.305425874053325E-4</v>
      </c>
      <c r="U402" s="66">
        <f t="shared" si="304"/>
        <v>4.305425874053325E-4</v>
      </c>
      <c r="V402" s="66">
        <f t="shared" si="304"/>
        <v>4.305425874053325E-4</v>
      </c>
      <c r="W402" s="66">
        <f t="shared" si="304"/>
        <v>4.305425874053325E-4</v>
      </c>
      <c r="X402" s="66">
        <f t="shared" si="304"/>
        <v>4.305425874053325E-4</v>
      </c>
      <c r="Y402" s="66">
        <f t="shared" si="304"/>
        <v>4.305425874053325E-4</v>
      </c>
      <c r="Z402" s="66">
        <f t="shared" si="304"/>
        <v>4.305425874053325E-4</v>
      </c>
      <c r="AA402" s="66">
        <f t="shared" si="304"/>
        <v>4.305425874053325E-4</v>
      </c>
      <c r="AB402" s="66">
        <f t="shared" si="304"/>
        <v>4.305425874053325E-4</v>
      </c>
      <c r="AC402" s="66">
        <f t="shared" si="304"/>
        <v>4.305425874053325E-4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2.4929435480202329E-2</v>
      </c>
      <c r="C404" s="66">
        <f t="shared" ref="C404:AC404" si="306">C362*C363*C370/C370/(C367)</f>
        <v>2.3925969605526138E-2</v>
      </c>
      <c r="D404" s="66">
        <f t="shared" si="306"/>
        <v>2.2921959175414862E-2</v>
      </c>
      <c r="E404" s="66">
        <f t="shared" si="306"/>
        <v>2.2016681961250777E-2</v>
      </c>
      <c r="F404" s="66">
        <f t="shared" si="306"/>
        <v>2.1110378274810944E-2</v>
      </c>
      <c r="G404" s="66">
        <f t="shared" si="306"/>
        <v>2.020269397251865E-2</v>
      </c>
      <c r="H404" s="66">
        <f t="shared" si="306"/>
        <v>1.9293166939854573E-2</v>
      </c>
      <c r="I404" s="66">
        <f t="shared" si="306"/>
        <v>1.8381205814213389E-2</v>
      </c>
      <c r="J404" s="66">
        <f t="shared" si="306"/>
        <v>1.7937265927528374E-2</v>
      </c>
      <c r="K404" s="66">
        <f t="shared" si="306"/>
        <v>1.7488189680818875E-2</v>
      </c>
      <c r="L404" s="66">
        <f t="shared" si="306"/>
        <v>1.7032372911900722E-2</v>
      </c>
      <c r="M404" s="66">
        <f t="shared" si="306"/>
        <v>1.6567975451505536E-2</v>
      </c>
      <c r="N404" s="66">
        <f t="shared" si="306"/>
        <v>1.6093137076594651E-2</v>
      </c>
      <c r="O404" s="66">
        <f t="shared" si="306"/>
        <v>1.5509626211890823E-2</v>
      </c>
      <c r="P404" s="66">
        <f t="shared" si="306"/>
        <v>1.491492541416529E-2</v>
      </c>
      <c r="Q404" s="66">
        <f t="shared" si="306"/>
        <v>1.4311053402986945E-2</v>
      </c>
      <c r="R404" s="66">
        <f t="shared" si="306"/>
        <v>1.3702528941384932E-2</v>
      </c>
      <c r="S404" s="66">
        <f t="shared" si="306"/>
        <v>1.3095973637332746E-2</v>
      </c>
      <c r="T404" s="66">
        <f t="shared" si="306"/>
        <v>1.2653504102422237E-2</v>
      </c>
      <c r="U404" s="66">
        <f t="shared" si="306"/>
        <v>1.2223970732425912E-2</v>
      </c>
      <c r="V404" s="66">
        <f t="shared" si="306"/>
        <v>1.1810733484618505E-2</v>
      </c>
      <c r="W404" s="66">
        <f t="shared" si="306"/>
        <v>1.1414215869229888E-2</v>
      </c>
      <c r="X404" s="66">
        <f t="shared" si="306"/>
        <v>1.1032670067791295E-2</v>
      </c>
      <c r="Y404" s="66">
        <f t="shared" si="306"/>
        <v>1.0762552215695709E-2</v>
      </c>
      <c r="Z404" s="66">
        <f t="shared" si="306"/>
        <v>1.0501323123662048E-2</v>
      </c>
      <c r="AA404" s="66">
        <f t="shared" si="306"/>
        <v>1.0246588581024577E-2</v>
      </c>
      <c r="AB404" s="66">
        <f t="shared" si="306"/>
        <v>9.9964388365703528E-3</v>
      </c>
      <c r="AC404" s="66">
        <f t="shared" si="306"/>
        <v>9.7494494830798577E-3</v>
      </c>
    </row>
    <row r="405" spans="1:29" x14ac:dyDescent="0.25">
      <c r="A405" s="59" t="str">
        <f>A368</f>
        <v>Market failure (av. utilization)</v>
      </c>
      <c r="B405" s="66">
        <f t="shared" ref="B405:AC405" si="307">B394/B368-B394/B367</f>
        <v>1.3112697635247292E-2</v>
      </c>
      <c r="C405" s="66">
        <f t="shared" si="307"/>
        <v>1.2640323406991512E-2</v>
      </c>
      <c r="D405" s="66">
        <f t="shared" si="307"/>
        <v>1.2167626041277992E-2</v>
      </c>
      <c r="E405" s="66">
        <f t="shared" si="307"/>
        <v>1.1741295835132903E-2</v>
      </c>
      <c r="F405" s="66">
        <f t="shared" si="307"/>
        <v>1.1314346348796554E-2</v>
      </c>
      <c r="G405" s="66">
        <f t="shared" si="307"/>
        <v>1.0886553361175447E-2</v>
      </c>
      <c r="H405" s="66">
        <f t="shared" si="307"/>
        <v>1.0457618535640811E-2</v>
      </c>
      <c r="I405" s="66">
        <f t="shared" si="307"/>
        <v>1.0027151102974832E-2</v>
      </c>
      <c r="J405" s="66">
        <f t="shared" si="307"/>
        <v>9.8163877077288367E-3</v>
      </c>
      <c r="K405" s="66">
        <f t="shared" si="307"/>
        <v>9.6024596302817337E-3</v>
      </c>
      <c r="L405" s="66">
        <f t="shared" si="307"/>
        <v>9.3843453484433424E-3</v>
      </c>
      <c r="M405" s="66">
        <f t="shared" si="307"/>
        <v>9.1608530760214184E-3</v>
      </c>
      <c r="N405" s="66">
        <f t="shared" si="307"/>
        <v>8.9307443746042825E-3</v>
      </c>
      <c r="O405" s="66">
        <f t="shared" si="307"/>
        <v>8.6474512002767054E-3</v>
      </c>
      <c r="P405" s="66">
        <f t="shared" si="307"/>
        <v>8.3566360406697494E-3</v>
      </c>
      <c r="Q405" s="66">
        <f t="shared" si="307"/>
        <v>8.0593141382639746E-3</v>
      </c>
      <c r="R405" s="66">
        <f t="shared" si="307"/>
        <v>7.7580835873374554E-3</v>
      </c>
      <c r="S405" s="66">
        <f t="shared" si="307"/>
        <v>7.4569517181000723E-3</v>
      </c>
      <c r="T405" s="66">
        <f t="shared" si="307"/>
        <v>7.2333455115215911E-3</v>
      </c>
      <c r="U405" s="66">
        <f t="shared" si="307"/>
        <v>7.017206652111363E-3</v>
      </c>
      <c r="V405" s="66">
        <f t="shared" si="307"/>
        <v>6.8108393768305259E-3</v>
      </c>
      <c r="W405" s="66">
        <f t="shared" si="307"/>
        <v>6.6147109304424655E-3</v>
      </c>
      <c r="X405" s="66">
        <f t="shared" si="307"/>
        <v>6.4278866858987673E-3</v>
      </c>
      <c r="Y405" s="66">
        <f t="shared" si="307"/>
        <v>6.2954259590586228E-3</v>
      </c>
      <c r="Z405" s="66">
        <f t="shared" si="307"/>
        <v>6.1686719918729767E-3</v>
      </c>
      <c r="AA405" s="66">
        <f t="shared" si="307"/>
        <v>6.0461178140489916E-3</v>
      </c>
      <c r="AB405" s="66">
        <f t="shared" si="307"/>
        <v>5.9265488652121071E-3</v>
      </c>
      <c r="AC405" s="66">
        <f t="shared" si="307"/>
        <v>5.8090515608581975E-3</v>
      </c>
    </row>
    <row r="406" spans="1:29" x14ac:dyDescent="0.25">
      <c r="A406" s="59" t="str">
        <f>A369</f>
        <v>Payload loss (fuel)</v>
      </c>
      <c r="B406" s="66">
        <f>B394/(B367-B369)-B394/B367</f>
        <v>1.1610201031208543E-3</v>
      </c>
      <c r="C406" s="66">
        <f t="shared" ref="C406:AC406" si="308">C394/(C367-C369)-C394/C367</f>
        <v>1.1191953016607067E-3</v>
      </c>
      <c r="D406" s="66">
        <f t="shared" si="308"/>
        <v>1.0773418890714891E-3</v>
      </c>
      <c r="E406" s="66">
        <f t="shared" si="308"/>
        <v>1.0395939020690602E-3</v>
      </c>
      <c r="F406" s="66">
        <f t="shared" si="308"/>
        <v>1.0017910829663614E-3</v>
      </c>
      <c r="G406" s="66">
        <f t="shared" si="308"/>
        <v>9.6391357885407605E-4</v>
      </c>
      <c r="H406" s="66">
        <f t="shared" si="308"/>
        <v>9.2593497450986495E-4</v>
      </c>
      <c r="I406" s="66">
        <f t="shared" si="308"/>
        <v>8.8782067057589786E-4</v>
      </c>
      <c r="J406" s="66">
        <f t="shared" si="308"/>
        <v>8.6915932828849143E-4</v>
      </c>
      <c r="K406" s="66">
        <f t="shared" si="308"/>
        <v>8.5021777976452759E-4</v>
      </c>
      <c r="L406" s="66">
        <f t="shared" si="308"/>
        <v>8.3090557772675516E-4</v>
      </c>
      <c r="M406" s="66">
        <f t="shared" si="308"/>
        <v>8.1111719943939564E-4</v>
      </c>
      <c r="N406" s="66">
        <f t="shared" si="308"/>
        <v>7.9074299150141969E-4</v>
      </c>
      <c r="O406" s="66">
        <f t="shared" si="308"/>
        <v>7.6565974169116868E-4</v>
      </c>
      <c r="P406" s="66">
        <f t="shared" si="308"/>
        <v>7.3991048276763477E-4</v>
      </c>
      <c r="Q406" s="66">
        <f t="shared" si="308"/>
        <v>7.1358510599212055E-4</v>
      </c>
      <c r="R406" s="66">
        <f t="shared" si="308"/>
        <v>6.8691365096217039E-4</v>
      </c>
      <c r="S406" s="66">
        <f t="shared" si="308"/>
        <v>6.6025093337344562E-4</v>
      </c>
      <c r="T406" s="66">
        <f t="shared" si="308"/>
        <v>6.4045246716597573E-4</v>
      </c>
      <c r="U406" s="66">
        <f t="shared" si="308"/>
        <v>6.2131517232236026E-4</v>
      </c>
      <c r="V406" s="66">
        <f t="shared" si="308"/>
        <v>6.0304306982353686E-4</v>
      </c>
      <c r="W406" s="66">
        <f t="shared" si="308"/>
        <v>5.8567753029959389E-4</v>
      </c>
      <c r="X406" s="66">
        <f t="shared" si="308"/>
        <v>5.6913580031395412E-4</v>
      </c>
      <c r="Y406" s="66">
        <f t="shared" si="308"/>
        <v>5.5740750679164966E-4</v>
      </c>
      <c r="Z406" s="66">
        <f t="shared" si="308"/>
        <v>5.4618449928042073E-4</v>
      </c>
      <c r="AA406" s="66">
        <f t="shared" si="308"/>
        <v>5.3533334811892153E-4</v>
      </c>
      <c r="AB406" s="66">
        <f t="shared" si="308"/>
        <v>5.2474651410732223E-4</v>
      </c>
      <c r="AC406" s="66">
        <f t="shared" si="308"/>
        <v>5.143431069509867E-4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4.2124403613936684E-2</v>
      </c>
      <c r="C408" s="67">
        <f t="shared" ref="C408:AC408" si="310">C397+C398+C399+C400+C401+C402+C403+C404+C405+C406+C407</f>
        <v>4.0606409349177218E-2</v>
      </c>
      <c r="D408" s="67">
        <f t="shared" si="310"/>
        <v>3.9087376668733256E-2</v>
      </c>
      <c r="E408" s="67">
        <f t="shared" si="310"/>
        <v>3.7717346787527417E-2</v>
      </c>
      <c r="F408" s="67">
        <f t="shared" si="310"/>
        <v>3.6345326823623625E-2</v>
      </c>
      <c r="G408" s="67">
        <f t="shared" si="310"/>
        <v>3.49705962331954E-2</v>
      </c>
      <c r="H408" s="67">
        <f t="shared" si="310"/>
        <v>3.3592196299055445E-2</v>
      </c>
      <c r="I408" s="67">
        <f t="shared" si="310"/>
        <v>3.2208871268040291E-2</v>
      </c>
      <c r="J408" s="67">
        <f t="shared" si="310"/>
        <v>3.1531574315609143E-2</v>
      </c>
      <c r="K408" s="67">
        <f t="shared" si="310"/>
        <v>3.0844107525062982E-2</v>
      </c>
      <c r="L408" s="67">
        <f t="shared" si="310"/>
        <v>3.0143188192280242E-2</v>
      </c>
      <c r="M408" s="67">
        <f t="shared" si="310"/>
        <v>2.9424986462674364E-2</v>
      </c>
      <c r="N408" s="67">
        <f t="shared" si="310"/>
        <v>2.8685522562807847E-2</v>
      </c>
      <c r="O408" s="67">
        <f t="shared" si="310"/>
        <v>2.7775148143223904E-2</v>
      </c>
      <c r="P408" s="67">
        <f t="shared" si="310"/>
        <v>2.6840601510528639E-2</v>
      </c>
      <c r="Q408" s="67">
        <f t="shared" si="310"/>
        <v>2.5885145188735078E-2</v>
      </c>
      <c r="R408" s="67">
        <f t="shared" si="310"/>
        <v>2.4917128262059756E-2</v>
      </c>
      <c r="S408" s="67">
        <f t="shared" si="310"/>
        <v>2.3949428453104209E-2</v>
      </c>
      <c r="T408" s="67">
        <f t="shared" si="310"/>
        <v>2.323086059133898E-2</v>
      </c>
      <c r="U408" s="67">
        <f t="shared" si="310"/>
        <v>2.2536289360838409E-2</v>
      </c>
      <c r="V408" s="67">
        <f t="shared" si="310"/>
        <v>2.1873119523086963E-2</v>
      </c>
      <c r="W408" s="67">
        <f t="shared" si="310"/>
        <v>2.1242852588600328E-2</v>
      </c>
      <c r="X408" s="67">
        <f t="shared" si="310"/>
        <v>2.064248509441563E-2</v>
      </c>
      <c r="Y408" s="67">
        <f t="shared" si="310"/>
        <v>2.0216817029517883E-2</v>
      </c>
      <c r="Z408" s="67">
        <f t="shared" si="310"/>
        <v>1.9809487874551505E-2</v>
      </c>
      <c r="AA408" s="67">
        <f t="shared" si="310"/>
        <v>1.941565491769006E-2</v>
      </c>
      <c r="AB408" s="67">
        <f t="shared" si="310"/>
        <v>1.9031415118563186E-2</v>
      </c>
      <c r="AC408" s="67">
        <f t="shared" si="310"/>
        <v>1.8653832635300887E-2</v>
      </c>
    </row>
    <row r="410" spans="1:29" x14ac:dyDescent="0.25">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9" ma:contentTypeDescription="Create a new document." ma:contentTypeScope="" ma:versionID="cbe229f57cd7fbce4b7d0eded258be0c">
  <xsd:schema xmlns:xsd="http://www.w3.org/2001/XMLSchema" xmlns:xs="http://www.w3.org/2001/XMLSchema" xmlns:p="http://schemas.microsoft.com/office/2006/metadata/properties" xmlns:ns2="604ca3ef-bd55-4483-a940-28967f5dfccd" xmlns:ns3="ed883d50-e259-4370-a1f8-3b07c74a6f2b" targetNamespace="http://schemas.microsoft.com/office/2006/metadata/properties" ma:root="true" ma:fieldsID="ea2a2b05a77dcbfb8b5c818a1c0b2847" ns2:_="" ns3:_="">
    <xsd:import namespace="604ca3ef-bd55-4483-a940-28967f5dfccd"/>
    <xsd:import namespace="ed883d50-e259-4370-a1f8-3b07c74a6f2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6e7bc199-5fe5-462f-a3d8-26f806c1f49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d883d50-e259-4370-a1f8-3b07c74a6f2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eb3277d0-1036-4ab1-a5cb-c9dd855085ba}" ma:internalName="TaxCatchAll" ma:showField="CatchAllData" ma:web="ed883d50-e259-4370-a1f8-3b07c74a6f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04ca3ef-bd55-4483-a940-28967f5dfccd">
      <Terms xmlns="http://schemas.microsoft.com/office/infopath/2007/PartnerControls"/>
    </lcf76f155ced4ddcb4097134ff3c332f>
    <TaxCatchAll xmlns="ed883d50-e259-4370-a1f8-3b07c74a6f2b" xsi:nil="true"/>
  </documentManagement>
</p:properties>
</file>

<file path=customXml/itemProps1.xml><?xml version="1.0" encoding="utf-8"?>
<ds:datastoreItem xmlns:ds="http://schemas.openxmlformats.org/officeDocument/2006/customXml" ds:itemID="{C69811AE-8B35-42CB-87BF-6713D4C1F0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ed883d50-e259-4370-a1f8-3b07c74a6f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B3B386C5-F0F8-49F0-A26B-B7A25C6BCF28}">
  <ds:schemaRefs>
    <ds:schemaRef ds:uri="http://schemas.microsoft.com/office/infopath/2007/PartnerControls"/>
    <ds:schemaRef ds:uri="http://purl.org/dc/elements/1.1/"/>
    <ds:schemaRef ds:uri="http://schemas.microsoft.com/office/2006/metadata/properties"/>
    <ds:schemaRef ds:uri="e3bebc04-41cd-4c9b-8948-0bf19cce4780"/>
    <ds:schemaRef ds:uri="http://purl.org/dc/terms/"/>
    <ds:schemaRef ds:uri="http://schemas.openxmlformats.org/package/2006/metadata/core-properties"/>
    <ds:schemaRef ds:uri="http://schemas.microsoft.com/office/2006/documentManagement/types"/>
    <ds:schemaRef ds:uri="1d2ad661-40b4-4211-810e-9f8311f21e61"/>
    <ds:schemaRef ds:uri="http://www.w3.org/XML/1998/namespace"/>
    <ds:schemaRef ds:uri="http://purl.org/dc/dcmitype/"/>
    <ds:schemaRef ds:uri="604ca3ef-bd55-4483-a940-28967f5dfccd"/>
    <ds:schemaRef ds:uri="ed883d50-e259-4370-a1f8-3b07c74a6f2b"/>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Transfer costs</vt:lpstr>
      <vt:lpstr>Parameter Input</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2023-12-11T12:54:34Z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